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39F5AB16-1A52-46C2-AF4E-54E69F35FE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alary summary" sheetId="3" r:id="rId3"/>
    <sheet name="Salary increment" sheetId="4" r:id="rId4"/>
  </sheets>
  <definedNames>
    <definedName name="_xlnm._FilterDatabase" localSheetId="3" hidden="1">'Salary increment'!$A$2:$E$2</definedName>
    <definedName name="_xlnm._FilterDatabase" localSheetId="0" hidden="1">'Salary Sheets'!$A$3:$X$125</definedName>
    <definedName name="_xlnm.Print_Area" localSheetId="0">'Salary Sheets'!$A$1:$Q$101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K1008" i="2" l="1"/>
  <c r="E78" i="4"/>
  <c r="R269" i="2"/>
  <c r="K200" i="2" l="1"/>
  <c r="E77" i="4"/>
  <c r="E76" i="4"/>
  <c r="E75" i="4"/>
  <c r="E74" i="4"/>
  <c r="C997" i="2" l="1"/>
  <c r="I993" i="2" s="1"/>
  <c r="K993" i="2" s="1"/>
  <c r="C996" i="2"/>
  <c r="C995" i="2"/>
  <c r="B26" i="1" l="1"/>
  <c r="V75" i="2" l="1"/>
  <c r="W586" i="2" l="1"/>
  <c r="R586" i="2"/>
  <c r="R587" i="2" s="1"/>
  <c r="K67" i="2"/>
  <c r="K486" i="2"/>
  <c r="K501" i="2" l="1"/>
  <c r="H17" i="1" l="1"/>
  <c r="E17" i="1"/>
  <c r="B17" i="1"/>
  <c r="U1036" i="2"/>
  <c r="W1036" i="2" s="1"/>
  <c r="Y1036" i="2" s="1"/>
  <c r="R1036" i="2"/>
  <c r="U1035" i="2"/>
  <c r="W1035" i="2" s="1"/>
  <c r="Y1035" i="2" s="1"/>
  <c r="R1035" i="2"/>
  <c r="U1034" i="2"/>
  <c r="W1034" i="2" s="1"/>
  <c r="Y1034" i="2" s="1"/>
  <c r="R1034" i="2"/>
  <c r="U1033" i="2"/>
  <c r="W1033" i="2" s="1"/>
  <c r="Y1033" i="2" s="1"/>
  <c r="R1033" i="2"/>
  <c r="U1032" i="2"/>
  <c r="W1032" i="2" s="1"/>
  <c r="Y1032" i="2" s="1"/>
  <c r="R1032" i="2"/>
  <c r="C1032" i="2"/>
  <c r="K1031" i="2"/>
  <c r="G1031" i="2"/>
  <c r="O17" i="1" s="1"/>
  <c r="C1031" i="2"/>
  <c r="G17" i="1" s="1"/>
  <c r="Y1030" i="2"/>
  <c r="U1031" i="2" s="1"/>
  <c r="C1030" i="2"/>
  <c r="F17" i="1" s="1"/>
  <c r="K1029" i="2"/>
  <c r="J17" i="1" s="1"/>
  <c r="G1029" i="2"/>
  <c r="M17" i="1" s="1"/>
  <c r="R1027" i="2"/>
  <c r="R1026" i="2"/>
  <c r="W1025" i="2"/>
  <c r="Y1025" i="2" s="1"/>
  <c r="U1026" i="2" s="1"/>
  <c r="W1026" i="2" s="1"/>
  <c r="Y1026" i="2" s="1"/>
  <c r="U1027" i="2" s="1"/>
  <c r="W1027" i="2" s="1"/>
  <c r="Y1027" i="2" s="1"/>
  <c r="U1028" i="2" s="1"/>
  <c r="W1028" i="2" s="1"/>
  <c r="Y1028" i="2" s="1"/>
  <c r="U1029" i="2" s="1"/>
  <c r="W1029" i="2" s="1"/>
  <c r="Y1029" i="2" s="1"/>
  <c r="U1030" i="2" s="1"/>
  <c r="H1023" i="2"/>
  <c r="G1023" i="2"/>
  <c r="H21" i="1"/>
  <c r="E21" i="1"/>
  <c r="B21" i="1"/>
  <c r="U1020" i="2"/>
  <c r="W1020" i="2" s="1"/>
  <c r="Y1020" i="2" s="1"/>
  <c r="R1020" i="2"/>
  <c r="U1019" i="2"/>
  <c r="W1019" i="2" s="1"/>
  <c r="Y1019" i="2" s="1"/>
  <c r="R1019" i="2"/>
  <c r="U1018" i="2"/>
  <c r="W1018" i="2" s="1"/>
  <c r="Y1018" i="2" s="1"/>
  <c r="R1018" i="2"/>
  <c r="U1017" i="2"/>
  <c r="W1017" i="2" s="1"/>
  <c r="Y1017" i="2" s="1"/>
  <c r="R1017" i="2"/>
  <c r="U1016" i="2"/>
  <c r="W1016" i="2" s="1"/>
  <c r="Y1016" i="2" s="1"/>
  <c r="R1016" i="2"/>
  <c r="Y1014" i="2"/>
  <c r="U1015" i="2" s="1"/>
  <c r="C1016" i="2"/>
  <c r="G1015" i="2"/>
  <c r="K1015" i="2" s="1"/>
  <c r="C1015" i="2"/>
  <c r="G21" i="1" s="1"/>
  <c r="R1011" i="2"/>
  <c r="C1014" i="2"/>
  <c r="F21" i="1" s="1"/>
  <c r="R1010" i="2"/>
  <c r="K1013" i="2"/>
  <c r="J21" i="1" s="1"/>
  <c r="G1013" i="2"/>
  <c r="M21" i="1" s="1"/>
  <c r="W1009" i="2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U1013" i="2" s="1"/>
  <c r="W1013" i="2" s="1"/>
  <c r="Y1013" i="2" s="1"/>
  <c r="U1014" i="2" s="1"/>
  <c r="H1007" i="2"/>
  <c r="G1007" i="2"/>
  <c r="O21" i="1" l="1"/>
  <c r="I1028" i="2"/>
  <c r="W1031" i="2"/>
  <c r="G1028" i="2"/>
  <c r="L17" i="1" s="1"/>
  <c r="I1012" i="2"/>
  <c r="G1012" i="2"/>
  <c r="L21" i="1" s="1"/>
  <c r="W1015" i="2"/>
  <c r="K1028" i="2" l="1"/>
  <c r="K1030" i="2" s="1"/>
  <c r="I17" i="1"/>
  <c r="G1030" i="2"/>
  <c r="N17" i="1" s="1"/>
  <c r="Y1031" i="2"/>
  <c r="G1032" i="2" s="1"/>
  <c r="P17" i="1" s="1"/>
  <c r="K1012" i="2"/>
  <c r="K1014" i="2" s="1"/>
  <c r="I21" i="1"/>
  <c r="Y1015" i="2"/>
  <c r="G1016" i="2" s="1"/>
  <c r="P21" i="1" s="1"/>
  <c r="G1014" i="2"/>
  <c r="N21" i="1" s="1"/>
  <c r="K1032" i="2" l="1"/>
  <c r="Q17" i="1" s="1"/>
  <c r="K17" i="1"/>
  <c r="K1016" i="2"/>
  <c r="Q21" i="1" s="1"/>
  <c r="K21" i="1"/>
  <c r="X4" i="2" l="1"/>
  <c r="G79" i="2"/>
  <c r="N1" i="1"/>
  <c r="K140" i="2" l="1"/>
  <c r="H92" i="1" l="1"/>
  <c r="E92" i="1"/>
  <c r="B92" i="1"/>
  <c r="G731" i="2" l="1"/>
  <c r="H731" i="2"/>
  <c r="W737" i="2"/>
  <c r="Y737" i="2" s="1"/>
  <c r="W738" i="2"/>
  <c r="Y738" i="2" s="1"/>
  <c r="W739" i="2"/>
  <c r="Y739" i="2" s="1"/>
  <c r="W740" i="2"/>
  <c r="Y740" i="2" s="1"/>
  <c r="G737" i="2"/>
  <c r="K737" i="2"/>
  <c r="W741" i="2"/>
  <c r="Y741" i="2" s="1"/>
  <c r="C738" i="2"/>
  <c r="W742" i="2"/>
  <c r="C739" i="2"/>
  <c r="G739" i="2"/>
  <c r="R743" i="2"/>
  <c r="U743" i="2"/>
  <c r="W743" i="2" s="1"/>
  <c r="Y743" i="2" s="1"/>
  <c r="C740" i="2"/>
  <c r="U744" i="2"/>
  <c r="W744" i="2" s="1"/>
  <c r="Y744" i="2" s="1"/>
  <c r="U745" i="2"/>
  <c r="W745" i="2" s="1"/>
  <c r="Y745" i="2" s="1"/>
  <c r="R746" i="2"/>
  <c r="U746" i="2"/>
  <c r="W746" i="2" s="1"/>
  <c r="Y746" i="2" s="1"/>
  <c r="U747" i="2"/>
  <c r="W747" i="2" s="1"/>
  <c r="Y747" i="2" s="1"/>
  <c r="H70" i="1"/>
  <c r="E70" i="1"/>
  <c r="B70" i="1"/>
  <c r="E93" i="1"/>
  <c r="I736" i="2" l="1"/>
  <c r="K736" i="2" s="1"/>
  <c r="K739" i="2"/>
  <c r="G738" i="2"/>
  <c r="G736" i="2"/>
  <c r="K738" i="2"/>
  <c r="Y742" i="2"/>
  <c r="G740" i="2" s="1"/>
  <c r="H91" i="1"/>
  <c r="E91" i="1"/>
  <c r="B91" i="1"/>
  <c r="H96" i="1"/>
  <c r="E96" i="1"/>
  <c r="B96" i="1"/>
  <c r="H95" i="1"/>
  <c r="E95" i="1"/>
  <c r="B95" i="1"/>
  <c r="H130" i="1"/>
  <c r="E130" i="1"/>
  <c r="B130" i="1"/>
  <c r="H19" i="1"/>
  <c r="E19" i="1"/>
  <c r="B19" i="1"/>
  <c r="K740" i="2" l="1"/>
  <c r="E73" i="1"/>
  <c r="H94" i="1"/>
  <c r="E94" i="1"/>
  <c r="H73" i="1"/>
  <c r="H93" i="1" l="1"/>
  <c r="U1004" i="2"/>
  <c r="W1004" i="2" s="1"/>
  <c r="Y1004" i="2" s="1"/>
  <c r="R1004" i="2"/>
  <c r="U1003" i="2"/>
  <c r="W1003" i="2" s="1"/>
  <c r="Y1003" i="2" s="1"/>
  <c r="R1003" i="2"/>
  <c r="U1002" i="2"/>
  <c r="W1002" i="2" s="1"/>
  <c r="Y1002" i="2" s="1"/>
  <c r="R1002" i="2"/>
  <c r="U1001" i="2"/>
  <c r="W1001" i="2" s="1"/>
  <c r="Y1001" i="2" s="1"/>
  <c r="R1001" i="2"/>
  <c r="U1000" i="2"/>
  <c r="W1000" i="2" s="1"/>
  <c r="Y1000" i="2" s="1"/>
  <c r="R1000" i="2"/>
  <c r="G996" i="2"/>
  <c r="K996" i="2" s="1"/>
  <c r="Y998" i="2"/>
  <c r="U999" i="2" s="1"/>
  <c r="W999" i="2" s="1"/>
  <c r="K994" i="2"/>
  <c r="G994" i="2"/>
  <c r="R995" i="2"/>
  <c r="R994" i="2"/>
  <c r="W993" i="2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U998" i="2" s="1"/>
  <c r="H988" i="2"/>
  <c r="G988" i="2"/>
  <c r="U988" i="2"/>
  <c r="W988" i="2" s="1"/>
  <c r="Y988" i="2" s="1"/>
  <c r="R988" i="2"/>
  <c r="U987" i="2"/>
  <c r="W987" i="2" s="1"/>
  <c r="Y987" i="2" s="1"/>
  <c r="R987" i="2"/>
  <c r="U986" i="2"/>
  <c r="W986" i="2" s="1"/>
  <c r="Y986" i="2" s="1"/>
  <c r="R986" i="2"/>
  <c r="U985" i="2"/>
  <c r="W985" i="2" s="1"/>
  <c r="Y985" i="2" s="1"/>
  <c r="R985" i="2"/>
  <c r="U984" i="2"/>
  <c r="W984" i="2" s="1"/>
  <c r="Y984" i="2" s="1"/>
  <c r="R984" i="2"/>
  <c r="G980" i="2"/>
  <c r="C980" i="2"/>
  <c r="R983" i="2"/>
  <c r="C981" i="2" s="1"/>
  <c r="C979" i="2"/>
  <c r="Y982" i="2"/>
  <c r="U983" i="2" s="1"/>
  <c r="K978" i="2"/>
  <c r="G978" i="2"/>
  <c r="R979" i="2"/>
  <c r="R978" i="2"/>
  <c r="W977" i="2"/>
  <c r="Y977" i="2" s="1"/>
  <c r="U978" i="2" s="1"/>
  <c r="W978" i="2" s="1"/>
  <c r="Y978" i="2" s="1"/>
  <c r="U979" i="2" s="1"/>
  <c r="W979" i="2" s="1"/>
  <c r="Y979" i="2" s="1"/>
  <c r="U980" i="2" s="1"/>
  <c r="W980" i="2" s="1"/>
  <c r="Y980" i="2" s="1"/>
  <c r="U981" i="2" s="1"/>
  <c r="W981" i="2" s="1"/>
  <c r="Y981" i="2" s="1"/>
  <c r="U982" i="2" s="1"/>
  <c r="H972" i="2"/>
  <c r="G972" i="2"/>
  <c r="J130" i="1" l="1"/>
  <c r="F19" i="1"/>
  <c r="F130" i="1"/>
  <c r="G130" i="1"/>
  <c r="M19" i="1"/>
  <c r="J19" i="1"/>
  <c r="G19" i="1"/>
  <c r="M130" i="1"/>
  <c r="O19" i="1"/>
  <c r="K980" i="2"/>
  <c r="O130" i="1"/>
  <c r="G995" i="2"/>
  <c r="Y999" i="2"/>
  <c r="G997" i="2" s="1"/>
  <c r="G993" i="2"/>
  <c r="I977" i="2"/>
  <c r="G977" i="2"/>
  <c r="W983" i="2"/>
  <c r="C963" i="2"/>
  <c r="U972" i="2"/>
  <c r="W972" i="2" s="1"/>
  <c r="Y972" i="2" s="1"/>
  <c r="R972" i="2"/>
  <c r="U971" i="2"/>
  <c r="W971" i="2" s="1"/>
  <c r="Y971" i="2" s="1"/>
  <c r="R971" i="2"/>
  <c r="U970" i="2"/>
  <c r="W970" i="2" s="1"/>
  <c r="Y970" i="2" s="1"/>
  <c r="R970" i="2"/>
  <c r="U969" i="2"/>
  <c r="W969" i="2" s="1"/>
  <c r="Y969" i="2" s="1"/>
  <c r="R969" i="2"/>
  <c r="U968" i="2"/>
  <c r="W968" i="2" s="1"/>
  <c r="Y968" i="2" s="1"/>
  <c r="R968" i="2"/>
  <c r="G964" i="2"/>
  <c r="C964" i="2"/>
  <c r="R967" i="2"/>
  <c r="C965" i="2" s="1"/>
  <c r="K962" i="2"/>
  <c r="G962" i="2"/>
  <c r="R963" i="2"/>
  <c r="R962" i="2"/>
  <c r="W961" i="2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Y966" i="2" s="1"/>
  <c r="U967" i="2" s="1"/>
  <c r="H956" i="2"/>
  <c r="G956" i="2"/>
  <c r="U956" i="2"/>
  <c r="W956" i="2" s="1"/>
  <c r="Y956" i="2" s="1"/>
  <c r="R956" i="2"/>
  <c r="U955" i="2"/>
  <c r="W955" i="2" s="1"/>
  <c r="Y955" i="2" s="1"/>
  <c r="R955" i="2"/>
  <c r="U954" i="2"/>
  <c r="W954" i="2" s="1"/>
  <c r="Y954" i="2" s="1"/>
  <c r="R954" i="2"/>
  <c r="U953" i="2"/>
  <c r="W953" i="2" s="1"/>
  <c r="Y953" i="2" s="1"/>
  <c r="R953" i="2"/>
  <c r="U952" i="2"/>
  <c r="W952" i="2" s="1"/>
  <c r="Y952" i="2" s="1"/>
  <c r="R952" i="2"/>
  <c r="G948" i="2"/>
  <c r="C948" i="2"/>
  <c r="R951" i="2"/>
  <c r="C949" i="2" s="1"/>
  <c r="C947" i="2"/>
  <c r="K946" i="2"/>
  <c r="G946" i="2"/>
  <c r="R947" i="2"/>
  <c r="R946" i="2"/>
  <c r="W945" i="2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H940" i="2"/>
  <c r="G940" i="2"/>
  <c r="U940" i="2"/>
  <c r="W940" i="2" s="1"/>
  <c r="Y940" i="2" s="1"/>
  <c r="R940" i="2"/>
  <c r="U939" i="2"/>
  <c r="W939" i="2" s="1"/>
  <c r="Y939" i="2" s="1"/>
  <c r="R939" i="2"/>
  <c r="U938" i="2"/>
  <c r="W938" i="2" s="1"/>
  <c r="Y938" i="2" s="1"/>
  <c r="R938" i="2"/>
  <c r="U937" i="2"/>
  <c r="W937" i="2" s="1"/>
  <c r="Y937" i="2" s="1"/>
  <c r="R937" i="2"/>
  <c r="U936" i="2"/>
  <c r="W936" i="2" s="1"/>
  <c r="Y936" i="2" s="1"/>
  <c r="R936" i="2"/>
  <c r="G932" i="2"/>
  <c r="C932" i="2"/>
  <c r="R935" i="2"/>
  <c r="C933" i="2" s="1"/>
  <c r="C931" i="2"/>
  <c r="K930" i="2"/>
  <c r="G930" i="2"/>
  <c r="R931" i="2"/>
  <c r="R930" i="2"/>
  <c r="W929" i="2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H924" i="2"/>
  <c r="G924" i="2"/>
  <c r="C553" i="2"/>
  <c r="H90" i="1"/>
  <c r="E90" i="1"/>
  <c r="B90" i="1"/>
  <c r="V511" i="2"/>
  <c r="G214" i="2"/>
  <c r="H214" i="2"/>
  <c r="K215" i="2"/>
  <c r="G219" i="2"/>
  <c r="G220" i="2"/>
  <c r="U224" i="2"/>
  <c r="W224" i="2" s="1"/>
  <c r="Y224" i="2" s="1"/>
  <c r="C221" i="2"/>
  <c r="G221" i="2"/>
  <c r="C222" i="2"/>
  <c r="G222" i="2"/>
  <c r="C223" i="2"/>
  <c r="G223" i="2"/>
  <c r="U227" i="2"/>
  <c r="W227" i="2" s="1"/>
  <c r="Y227" i="2" s="1"/>
  <c r="U228" i="2"/>
  <c r="W228" i="2" s="1"/>
  <c r="Y228" i="2" s="1"/>
  <c r="R230" i="2"/>
  <c r="M94" i="1" l="1"/>
  <c r="G95" i="1"/>
  <c r="N19" i="1"/>
  <c r="G96" i="1"/>
  <c r="F95" i="1"/>
  <c r="F94" i="1"/>
  <c r="M95" i="1"/>
  <c r="M96" i="1"/>
  <c r="P19" i="1"/>
  <c r="F96" i="1"/>
  <c r="J94" i="1"/>
  <c r="K220" i="2"/>
  <c r="J95" i="1"/>
  <c r="L130" i="1"/>
  <c r="O94" i="1"/>
  <c r="L19" i="1"/>
  <c r="J96" i="1"/>
  <c r="K222" i="2"/>
  <c r="G94" i="1"/>
  <c r="K932" i="2"/>
  <c r="K964" i="2"/>
  <c r="O95" i="1"/>
  <c r="K995" i="2"/>
  <c r="I19" i="1"/>
  <c r="K948" i="2"/>
  <c r="O96" i="1"/>
  <c r="K977" i="2"/>
  <c r="K979" i="2" s="1"/>
  <c r="I130" i="1"/>
  <c r="I961" i="2"/>
  <c r="I929" i="2"/>
  <c r="I219" i="2"/>
  <c r="Y983" i="2"/>
  <c r="G981" i="2" s="1"/>
  <c r="G979" i="2"/>
  <c r="I945" i="2"/>
  <c r="W967" i="2"/>
  <c r="G961" i="2"/>
  <c r="W951" i="2"/>
  <c r="G945" i="2"/>
  <c r="G929" i="2"/>
  <c r="W935" i="2"/>
  <c r="V210" i="2"/>
  <c r="U924" i="2"/>
  <c r="W924" i="2" s="1"/>
  <c r="Y924" i="2" s="1"/>
  <c r="R924" i="2"/>
  <c r="U923" i="2"/>
  <c r="W923" i="2" s="1"/>
  <c r="Y923" i="2" s="1"/>
  <c r="R923" i="2"/>
  <c r="U922" i="2"/>
  <c r="W922" i="2" s="1"/>
  <c r="Y922" i="2" s="1"/>
  <c r="R922" i="2"/>
  <c r="U921" i="2"/>
  <c r="W921" i="2" s="1"/>
  <c r="Y921" i="2" s="1"/>
  <c r="R921" i="2"/>
  <c r="U920" i="2"/>
  <c r="W920" i="2" s="1"/>
  <c r="Y920" i="2" s="1"/>
  <c r="R920" i="2"/>
  <c r="G916" i="2"/>
  <c r="C916" i="2"/>
  <c r="R919" i="2"/>
  <c r="C917" i="2" s="1"/>
  <c r="C915" i="2"/>
  <c r="K914" i="2"/>
  <c r="G914" i="2"/>
  <c r="R915" i="2"/>
  <c r="R914" i="2"/>
  <c r="W913" i="2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H908" i="2"/>
  <c r="G908" i="2"/>
  <c r="U908" i="2"/>
  <c r="W908" i="2" s="1"/>
  <c r="Y908" i="2" s="1"/>
  <c r="R908" i="2"/>
  <c r="U907" i="2"/>
  <c r="W907" i="2" s="1"/>
  <c r="Y907" i="2" s="1"/>
  <c r="R907" i="2"/>
  <c r="U906" i="2"/>
  <c r="W906" i="2" s="1"/>
  <c r="Y906" i="2" s="1"/>
  <c r="R906" i="2"/>
  <c r="U905" i="2"/>
  <c r="W905" i="2" s="1"/>
  <c r="Y905" i="2" s="1"/>
  <c r="R905" i="2"/>
  <c r="U904" i="2"/>
  <c r="W904" i="2" s="1"/>
  <c r="Y904" i="2" s="1"/>
  <c r="R904" i="2"/>
  <c r="G900" i="2"/>
  <c r="C900" i="2"/>
  <c r="R903" i="2"/>
  <c r="C901" i="2" s="1"/>
  <c r="C899" i="2"/>
  <c r="K898" i="2"/>
  <c r="G898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H892" i="2"/>
  <c r="G892" i="2"/>
  <c r="U892" i="2"/>
  <c r="W892" i="2" s="1"/>
  <c r="Y892" i="2" s="1"/>
  <c r="R892" i="2"/>
  <c r="U891" i="2"/>
  <c r="W891" i="2" s="1"/>
  <c r="Y891" i="2" s="1"/>
  <c r="R891" i="2"/>
  <c r="U890" i="2"/>
  <c r="W890" i="2" s="1"/>
  <c r="Y890" i="2" s="1"/>
  <c r="R890" i="2"/>
  <c r="U889" i="2"/>
  <c r="W889" i="2" s="1"/>
  <c r="Y889" i="2" s="1"/>
  <c r="R889" i="2"/>
  <c r="U888" i="2"/>
  <c r="W888" i="2" s="1"/>
  <c r="Y888" i="2" s="1"/>
  <c r="R888" i="2"/>
  <c r="G884" i="2"/>
  <c r="C884" i="2"/>
  <c r="R887" i="2"/>
  <c r="C885" i="2" s="1"/>
  <c r="C883" i="2"/>
  <c r="K882" i="2"/>
  <c r="G882" i="2"/>
  <c r="R883" i="2"/>
  <c r="R882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76" i="2"/>
  <c r="G876" i="2"/>
  <c r="U876" i="2"/>
  <c r="W876" i="2" s="1"/>
  <c r="Y876" i="2" s="1"/>
  <c r="R876" i="2"/>
  <c r="U875" i="2"/>
  <c r="W875" i="2" s="1"/>
  <c r="Y875" i="2" s="1"/>
  <c r="R875" i="2"/>
  <c r="U874" i="2"/>
  <c r="W874" i="2" s="1"/>
  <c r="Y874" i="2" s="1"/>
  <c r="R874" i="2"/>
  <c r="U873" i="2"/>
  <c r="W873" i="2" s="1"/>
  <c r="Y873" i="2" s="1"/>
  <c r="R873" i="2"/>
  <c r="U872" i="2"/>
  <c r="W872" i="2" s="1"/>
  <c r="Y872" i="2" s="1"/>
  <c r="R872" i="2"/>
  <c r="G868" i="2"/>
  <c r="C868" i="2"/>
  <c r="R871" i="2"/>
  <c r="C869" i="2" s="1"/>
  <c r="C867" i="2"/>
  <c r="K866" i="2"/>
  <c r="G866" i="2"/>
  <c r="R867" i="2"/>
  <c r="R866" i="2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H860" i="2"/>
  <c r="G860" i="2"/>
  <c r="K850" i="2"/>
  <c r="K834" i="2"/>
  <c r="U860" i="2"/>
  <c r="W860" i="2" s="1"/>
  <c r="Y860" i="2" s="1"/>
  <c r="R860" i="2"/>
  <c r="U859" i="2"/>
  <c r="W859" i="2" s="1"/>
  <c r="Y859" i="2" s="1"/>
  <c r="R859" i="2"/>
  <c r="U858" i="2"/>
  <c r="W858" i="2" s="1"/>
  <c r="Y858" i="2" s="1"/>
  <c r="R858" i="2"/>
  <c r="U857" i="2"/>
  <c r="W857" i="2" s="1"/>
  <c r="Y857" i="2" s="1"/>
  <c r="R857" i="2"/>
  <c r="U856" i="2"/>
  <c r="W856" i="2" s="1"/>
  <c r="Y856" i="2" s="1"/>
  <c r="R856" i="2"/>
  <c r="G852" i="2"/>
  <c r="C852" i="2"/>
  <c r="R855" i="2"/>
  <c r="C853" i="2" s="1"/>
  <c r="C851" i="2"/>
  <c r="G850" i="2"/>
  <c r="R851" i="2"/>
  <c r="R850" i="2"/>
  <c r="W849" i="2"/>
  <c r="Y849" i="2" s="1"/>
  <c r="U850" i="2" s="1"/>
  <c r="W850" i="2" s="1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H844" i="2"/>
  <c r="G844" i="2"/>
  <c r="K19" i="1" l="1"/>
  <c r="K997" i="2"/>
  <c r="G93" i="1"/>
  <c r="J90" i="1"/>
  <c r="G91" i="1"/>
  <c r="I96" i="1"/>
  <c r="G73" i="1"/>
  <c r="L92" i="1"/>
  <c r="N130" i="1"/>
  <c r="M73" i="1"/>
  <c r="J93" i="1"/>
  <c r="P130" i="1"/>
  <c r="J91" i="1"/>
  <c r="M90" i="1"/>
  <c r="F90" i="1"/>
  <c r="M93" i="1"/>
  <c r="J73" i="1"/>
  <c r="G90" i="1"/>
  <c r="F93" i="1"/>
  <c r="L94" i="1"/>
  <c r="K219" i="2"/>
  <c r="K221" i="2" s="1"/>
  <c r="L95" i="1"/>
  <c r="G70" i="1"/>
  <c r="M70" i="1"/>
  <c r="J70" i="1"/>
  <c r="F73" i="1"/>
  <c r="M91" i="1"/>
  <c r="L96" i="1"/>
  <c r="I94" i="1"/>
  <c r="F70" i="1"/>
  <c r="I849" i="2"/>
  <c r="K929" i="2"/>
  <c r="K931" i="2" s="1"/>
  <c r="K852" i="2"/>
  <c r="O70" i="1"/>
  <c r="K130" i="1"/>
  <c r="F91" i="1"/>
  <c r="K868" i="2"/>
  <c r="O73" i="1"/>
  <c r="K916" i="2"/>
  <c r="O93" i="1"/>
  <c r="K900" i="2"/>
  <c r="O91" i="1"/>
  <c r="K961" i="2"/>
  <c r="K963" i="2" s="1"/>
  <c r="I95" i="1"/>
  <c r="K884" i="2"/>
  <c r="O90" i="1"/>
  <c r="K945" i="2"/>
  <c r="K947" i="2" s="1"/>
  <c r="Y967" i="2"/>
  <c r="G965" i="2" s="1"/>
  <c r="G963" i="2"/>
  <c r="G947" i="2"/>
  <c r="Y951" i="2"/>
  <c r="G949" i="2" s="1"/>
  <c r="Y935" i="2"/>
  <c r="G933" i="2" s="1"/>
  <c r="G931" i="2"/>
  <c r="I913" i="2"/>
  <c r="I897" i="2"/>
  <c r="W919" i="2"/>
  <c r="G913" i="2"/>
  <c r="W903" i="2"/>
  <c r="G897" i="2"/>
  <c r="I881" i="2"/>
  <c r="W887" i="2"/>
  <c r="G881" i="2"/>
  <c r="I865" i="2"/>
  <c r="W871" i="2"/>
  <c r="G865" i="2"/>
  <c r="G849" i="2"/>
  <c r="W855" i="2"/>
  <c r="L70" i="1" l="1"/>
  <c r="N95" i="1"/>
  <c r="Q130" i="1"/>
  <c r="Q19" i="1"/>
  <c r="K223" i="2"/>
  <c r="L93" i="1"/>
  <c r="L90" i="1"/>
  <c r="N94" i="1"/>
  <c r="K94" i="1"/>
  <c r="N96" i="1"/>
  <c r="L73" i="1"/>
  <c r="P94" i="1"/>
  <c r="K849" i="2"/>
  <c r="K851" i="2" s="1"/>
  <c r="P95" i="1"/>
  <c r="I91" i="1"/>
  <c r="L91" i="1"/>
  <c r="P96" i="1"/>
  <c r="I70" i="1"/>
  <c r="K933" i="2"/>
  <c r="K853" i="2"/>
  <c r="K70" i="1"/>
  <c r="K965" i="2"/>
  <c r="K95" i="1"/>
  <c r="K949" i="2"/>
  <c r="K96" i="1"/>
  <c r="K865" i="2"/>
  <c r="K867" i="2" s="1"/>
  <c r="I73" i="1"/>
  <c r="K897" i="2"/>
  <c r="K899" i="2" s="1"/>
  <c r="K913" i="2"/>
  <c r="K915" i="2" s="1"/>
  <c r="I93" i="1"/>
  <c r="K881" i="2"/>
  <c r="K883" i="2" s="1"/>
  <c r="I90" i="1"/>
  <c r="Y919" i="2"/>
  <c r="G917" i="2" s="1"/>
  <c r="G915" i="2"/>
  <c r="G899" i="2"/>
  <c r="Y903" i="2"/>
  <c r="G901" i="2" s="1"/>
  <c r="G883" i="2"/>
  <c r="Y887" i="2"/>
  <c r="G885" i="2" s="1"/>
  <c r="Y871" i="2"/>
  <c r="G869" i="2" s="1"/>
  <c r="G867" i="2"/>
  <c r="Y855" i="2"/>
  <c r="G853" i="2" s="1"/>
  <c r="G851" i="2"/>
  <c r="Q95" i="1" l="1"/>
  <c r="K93" i="1"/>
  <c r="Q96" i="1"/>
  <c r="P90" i="1"/>
  <c r="Q70" i="1"/>
  <c r="N91" i="1"/>
  <c r="Q94" i="1"/>
  <c r="P73" i="1"/>
  <c r="N90" i="1"/>
  <c r="N70" i="1"/>
  <c r="N73" i="1"/>
  <c r="P91" i="1"/>
  <c r="N93" i="1"/>
  <c r="P70" i="1"/>
  <c r="P93" i="1"/>
  <c r="K91" i="1"/>
  <c r="K869" i="2"/>
  <c r="K73" i="1"/>
  <c r="K885" i="2"/>
  <c r="K90" i="1"/>
  <c r="K917" i="2"/>
  <c r="K901" i="2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844" i="2"/>
  <c r="W844" i="2" s="1"/>
  <c r="Y844" i="2" s="1"/>
  <c r="R844" i="2"/>
  <c r="U843" i="2"/>
  <c r="W843" i="2" s="1"/>
  <c r="Y843" i="2" s="1"/>
  <c r="R843" i="2"/>
  <c r="U842" i="2"/>
  <c r="W842" i="2" s="1"/>
  <c r="Y842" i="2" s="1"/>
  <c r="R842" i="2"/>
  <c r="U841" i="2"/>
  <c r="W841" i="2" s="1"/>
  <c r="Y841" i="2" s="1"/>
  <c r="R841" i="2"/>
  <c r="U840" i="2"/>
  <c r="W840" i="2" s="1"/>
  <c r="Y840" i="2" s="1"/>
  <c r="R840" i="2"/>
  <c r="G836" i="2"/>
  <c r="C836" i="2"/>
  <c r="R839" i="2"/>
  <c r="C837" i="2" s="1"/>
  <c r="C835" i="2"/>
  <c r="G834" i="2"/>
  <c r="R835" i="2"/>
  <c r="R834" i="2"/>
  <c r="W833" i="2"/>
  <c r="Y833" i="2" s="1"/>
  <c r="U834" i="2" s="1"/>
  <c r="W834" i="2" s="1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H828" i="2"/>
  <c r="G828" i="2"/>
  <c r="U828" i="2"/>
  <c r="W828" i="2" s="1"/>
  <c r="Y828" i="2" s="1"/>
  <c r="R828" i="2"/>
  <c r="U827" i="2"/>
  <c r="W827" i="2" s="1"/>
  <c r="Y827" i="2" s="1"/>
  <c r="R827" i="2"/>
  <c r="U826" i="2"/>
  <c r="W826" i="2" s="1"/>
  <c r="Y826" i="2" s="1"/>
  <c r="R826" i="2"/>
  <c r="U825" i="2"/>
  <c r="W825" i="2" s="1"/>
  <c r="Y825" i="2" s="1"/>
  <c r="R825" i="2"/>
  <c r="U824" i="2"/>
  <c r="W824" i="2" s="1"/>
  <c r="Y824" i="2" s="1"/>
  <c r="R824" i="2"/>
  <c r="G820" i="2"/>
  <c r="C820" i="2"/>
  <c r="R823" i="2"/>
  <c r="C821" i="2" s="1"/>
  <c r="C819" i="2"/>
  <c r="K818" i="2"/>
  <c r="G818" i="2"/>
  <c r="R819" i="2"/>
  <c r="R818" i="2"/>
  <c r="W817" i="2"/>
  <c r="Y817" i="2" s="1"/>
  <c r="U818" i="2" s="1"/>
  <c r="W818" i="2" s="1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H812" i="2"/>
  <c r="G812" i="2"/>
  <c r="U812" i="2"/>
  <c r="W812" i="2" s="1"/>
  <c r="Y812" i="2" s="1"/>
  <c r="R812" i="2"/>
  <c r="U811" i="2"/>
  <c r="W811" i="2" s="1"/>
  <c r="Y811" i="2" s="1"/>
  <c r="R811" i="2"/>
  <c r="U810" i="2"/>
  <c r="W810" i="2" s="1"/>
  <c r="Y810" i="2" s="1"/>
  <c r="R810" i="2"/>
  <c r="U809" i="2"/>
  <c r="W809" i="2" s="1"/>
  <c r="Y809" i="2" s="1"/>
  <c r="R809" i="2"/>
  <c r="U808" i="2"/>
  <c r="W808" i="2" s="1"/>
  <c r="Y808" i="2" s="1"/>
  <c r="R808" i="2"/>
  <c r="G804" i="2"/>
  <c r="C804" i="2"/>
  <c r="C803" i="2"/>
  <c r="K802" i="2"/>
  <c r="G802" i="2"/>
  <c r="R803" i="2"/>
  <c r="R802" i="2"/>
  <c r="W801" i="2"/>
  <c r="Y801" i="2" s="1"/>
  <c r="U802" i="2" s="1"/>
  <c r="W802" i="2" s="1"/>
  <c r="Y802" i="2" s="1"/>
  <c r="U803" i="2" s="1"/>
  <c r="W803" i="2" s="1"/>
  <c r="Y803" i="2" s="1"/>
  <c r="U804" i="2" s="1"/>
  <c r="W804" i="2" s="1"/>
  <c r="Y804" i="2" s="1"/>
  <c r="U805" i="2" s="1"/>
  <c r="W805" i="2" s="1"/>
  <c r="Y805" i="2" s="1"/>
  <c r="U806" i="2" s="1"/>
  <c r="H796" i="2"/>
  <c r="G796" i="2"/>
  <c r="U796" i="2"/>
  <c r="W796" i="2" s="1"/>
  <c r="Y796" i="2" s="1"/>
  <c r="R796" i="2"/>
  <c r="U795" i="2"/>
  <c r="W795" i="2" s="1"/>
  <c r="Y795" i="2" s="1"/>
  <c r="R795" i="2"/>
  <c r="U794" i="2"/>
  <c r="W794" i="2" s="1"/>
  <c r="Y794" i="2" s="1"/>
  <c r="R794" i="2"/>
  <c r="U793" i="2"/>
  <c r="W793" i="2" s="1"/>
  <c r="Y793" i="2" s="1"/>
  <c r="R793" i="2"/>
  <c r="U792" i="2"/>
  <c r="W792" i="2" s="1"/>
  <c r="Y792" i="2" s="1"/>
  <c r="R792" i="2"/>
  <c r="G788" i="2"/>
  <c r="C788" i="2"/>
  <c r="C787" i="2"/>
  <c r="R790" i="2"/>
  <c r="R791" i="2" s="1"/>
  <c r="C789" i="2" s="1"/>
  <c r="K786" i="2"/>
  <c r="G786" i="2"/>
  <c r="W785" i="2"/>
  <c r="Y785" i="2" s="1"/>
  <c r="U786" i="2" s="1"/>
  <c r="W786" i="2" s="1"/>
  <c r="Y786" i="2" s="1"/>
  <c r="U787" i="2" s="1"/>
  <c r="W787" i="2" s="1"/>
  <c r="Y787" i="2" s="1"/>
  <c r="U788" i="2" s="1"/>
  <c r="W788" i="2" s="1"/>
  <c r="Y788" i="2" s="1"/>
  <c r="U789" i="2" s="1"/>
  <c r="W789" i="2" s="1"/>
  <c r="Y789" i="2" s="1"/>
  <c r="U790" i="2" s="1"/>
  <c r="H780" i="2"/>
  <c r="G780" i="2"/>
  <c r="C773" i="2"/>
  <c r="G772" i="2"/>
  <c r="C772" i="2"/>
  <c r="C771" i="2"/>
  <c r="K770" i="2"/>
  <c r="G770" i="2"/>
  <c r="P771" i="2"/>
  <c r="W769" i="2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U774" i="2" s="1"/>
  <c r="H764" i="2"/>
  <c r="G764" i="2"/>
  <c r="R764" i="2"/>
  <c r="R763" i="2"/>
  <c r="R762" i="2"/>
  <c r="R761" i="2"/>
  <c r="R760" i="2"/>
  <c r="G756" i="2"/>
  <c r="C756" i="2"/>
  <c r="C755" i="2"/>
  <c r="R758" i="2"/>
  <c r="R759" i="2" s="1"/>
  <c r="C757" i="2" s="1"/>
  <c r="G754" i="2"/>
  <c r="M82" i="1" s="1"/>
  <c r="R756" i="2"/>
  <c r="W754" i="2"/>
  <c r="Y754" i="2" s="1"/>
  <c r="U755" i="2" s="1"/>
  <c r="W755" i="2" s="1"/>
  <c r="Y755" i="2" s="1"/>
  <c r="U756" i="2" s="1"/>
  <c r="W756" i="2" s="1"/>
  <c r="Y756" i="2" s="1"/>
  <c r="U757" i="2" s="1"/>
  <c r="W757" i="2" s="1"/>
  <c r="Y757" i="2" s="1"/>
  <c r="U758" i="2" s="1"/>
  <c r="R754" i="2"/>
  <c r="W753" i="2"/>
  <c r="Y753" i="2" s="1"/>
  <c r="K749" i="2"/>
  <c r="H748" i="2"/>
  <c r="G748" i="2"/>
  <c r="W732" i="2"/>
  <c r="Y732" i="2" s="1"/>
  <c r="R732" i="2"/>
  <c r="W731" i="2"/>
  <c r="Y731" i="2" s="1"/>
  <c r="R731" i="2"/>
  <c r="W730" i="2"/>
  <c r="Y730" i="2" s="1"/>
  <c r="R730" i="2"/>
  <c r="W729" i="2"/>
  <c r="Y729" i="2" s="1"/>
  <c r="R729" i="2"/>
  <c r="W728" i="2"/>
  <c r="Y728" i="2" s="1"/>
  <c r="R728" i="2"/>
  <c r="G724" i="2"/>
  <c r="C724" i="2"/>
  <c r="W727" i="2"/>
  <c r="Y727" i="2" s="1"/>
  <c r="C723" i="2"/>
  <c r="W726" i="2"/>
  <c r="Y726" i="2" s="1"/>
  <c r="K722" i="2"/>
  <c r="G722" i="2"/>
  <c r="W725" i="2"/>
  <c r="Y725" i="2" s="1"/>
  <c r="G721" i="2"/>
  <c r="W724" i="2"/>
  <c r="Y724" i="2" s="1"/>
  <c r="W723" i="2"/>
  <c r="Y723" i="2" s="1"/>
  <c r="R723" i="2"/>
  <c r="R724" i="2" s="1"/>
  <c r="R725" i="2" s="1"/>
  <c r="W722" i="2"/>
  <c r="Y722" i="2" s="1"/>
  <c r="W721" i="2"/>
  <c r="Y721" i="2" s="1"/>
  <c r="H716" i="2"/>
  <c r="G716" i="2"/>
  <c r="R717" i="2"/>
  <c r="U715" i="2"/>
  <c r="W715" i="2" s="1"/>
  <c r="Y715" i="2" s="1"/>
  <c r="U716" i="2" s="1"/>
  <c r="W716" i="2" s="1"/>
  <c r="Y716" i="2" s="1"/>
  <c r="U717" i="2" s="1"/>
  <c r="W717" i="2" s="1"/>
  <c r="Y717" i="2" s="1"/>
  <c r="U714" i="2"/>
  <c r="W714" i="2" s="1"/>
  <c r="Y714" i="2" s="1"/>
  <c r="W713" i="2"/>
  <c r="Y713" i="2" s="1"/>
  <c r="G709" i="2"/>
  <c r="C709" i="2"/>
  <c r="R712" i="2"/>
  <c r="C710" i="2" s="1"/>
  <c r="C708" i="2"/>
  <c r="K707" i="2"/>
  <c r="G707" i="2"/>
  <c r="W706" i="2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U710" i="2" s="1"/>
  <c r="W710" i="2" s="1"/>
  <c r="Y710" i="2" s="1"/>
  <c r="U711" i="2" s="1"/>
  <c r="H701" i="2"/>
  <c r="G701" i="2"/>
  <c r="U701" i="2"/>
  <c r="W701" i="2" s="1"/>
  <c r="Y701" i="2" s="1"/>
  <c r="R701" i="2"/>
  <c r="U700" i="2"/>
  <c r="W700" i="2" s="1"/>
  <c r="Y700" i="2" s="1"/>
  <c r="R700" i="2"/>
  <c r="U699" i="2"/>
  <c r="W699" i="2" s="1"/>
  <c r="Y699" i="2" s="1"/>
  <c r="R699" i="2"/>
  <c r="U698" i="2"/>
  <c r="W698" i="2" s="1"/>
  <c r="Y698" i="2" s="1"/>
  <c r="R698" i="2"/>
  <c r="R697" i="2"/>
  <c r="G693" i="2"/>
  <c r="C693" i="2"/>
  <c r="C692" i="2"/>
  <c r="K691" i="2"/>
  <c r="G691" i="2"/>
  <c r="W690" i="2"/>
  <c r="Y690" i="2" s="1"/>
  <c r="U691" i="2" s="1"/>
  <c r="W691" i="2" s="1"/>
  <c r="Y691" i="2" s="1"/>
  <c r="U692" i="2" s="1"/>
  <c r="W692" i="2" s="1"/>
  <c r="Y692" i="2" s="1"/>
  <c r="U693" i="2" s="1"/>
  <c r="W693" i="2" s="1"/>
  <c r="Y693" i="2" s="1"/>
  <c r="U694" i="2" s="1"/>
  <c r="W694" i="2" s="1"/>
  <c r="Y694" i="2" s="1"/>
  <c r="U695" i="2" s="1"/>
  <c r="H685" i="2"/>
  <c r="G685" i="2"/>
  <c r="R682" i="2"/>
  <c r="G677" i="2"/>
  <c r="C677" i="2"/>
  <c r="C676" i="2"/>
  <c r="W679" i="2"/>
  <c r="Y679" i="2" s="1"/>
  <c r="R679" i="2"/>
  <c r="C678" i="2" s="1"/>
  <c r="K675" i="2"/>
  <c r="G675" i="2"/>
  <c r="R675" i="2"/>
  <c r="W674" i="2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H669" i="2"/>
  <c r="G669" i="2"/>
  <c r="W670" i="2"/>
  <c r="Y670" i="2" s="1"/>
  <c r="R669" i="2"/>
  <c r="U668" i="2"/>
  <c r="W668" i="2" s="1"/>
  <c r="Y668" i="2" s="1"/>
  <c r="U669" i="2" s="1"/>
  <c r="W669" i="2" s="1"/>
  <c r="Y669" i="2" s="1"/>
  <c r="W667" i="2"/>
  <c r="Y667" i="2" s="1"/>
  <c r="C663" i="2"/>
  <c r="G662" i="2"/>
  <c r="C662" i="2"/>
  <c r="C661" i="2"/>
  <c r="K660" i="2"/>
  <c r="G660" i="2"/>
  <c r="W659" i="2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W663" i="2" s="1"/>
  <c r="Y663" i="2" s="1"/>
  <c r="U664" i="2" s="1"/>
  <c r="H654" i="2"/>
  <c r="G654" i="2"/>
  <c r="W655" i="2"/>
  <c r="Y655" i="2" s="1"/>
  <c r="W654" i="2"/>
  <c r="Y654" i="2" s="1"/>
  <c r="U653" i="2"/>
  <c r="W653" i="2" s="1"/>
  <c r="Y653" i="2" s="1"/>
  <c r="U652" i="2"/>
  <c r="W652" i="2" s="1"/>
  <c r="Y652" i="2" s="1"/>
  <c r="G647" i="2"/>
  <c r="C647" i="2"/>
  <c r="C646" i="2"/>
  <c r="K645" i="2"/>
  <c r="G645" i="2"/>
  <c r="R647" i="2"/>
  <c r="R648" i="2" s="1"/>
  <c r="R649" i="2" s="1"/>
  <c r="C648" i="2" s="1"/>
  <c r="R645" i="2"/>
  <c r="W644" i="2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W649" i="2" s="1"/>
  <c r="H639" i="2"/>
  <c r="G639" i="2"/>
  <c r="U638" i="2"/>
  <c r="W638" i="2" s="1"/>
  <c r="Y638" i="2" s="1"/>
  <c r="U639" i="2" s="1"/>
  <c r="W639" i="2" s="1"/>
  <c r="Y639" i="2" s="1"/>
  <c r="G632" i="2"/>
  <c r="C632" i="2"/>
  <c r="G631" i="2"/>
  <c r="C631" i="2"/>
  <c r="G630" i="2"/>
  <c r="C630" i="2"/>
  <c r="G629" i="2"/>
  <c r="G628" i="2"/>
  <c r="K624" i="2"/>
  <c r="H623" i="2"/>
  <c r="G623" i="2"/>
  <c r="R623" i="2"/>
  <c r="R620" i="2"/>
  <c r="G615" i="2"/>
  <c r="C615" i="2"/>
  <c r="R618" i="2"/>
  <c r="C616" i="2" s="1"/>
  <c r="C614" i="2"/>
  <c r="G613" i="2"/>
  <c r="V616" i="2"/>
  <c r="V615" i="2"/>
  <c r="V614" i="2"/>
  <c r="V613" i="2"/>
  <c r="V612" i="2"/>
  <c r="W612" i="2" s="1"/>
  <c r="Y612" i="2" s="1"/>
  <c r="U613" i="2" s="1"/>
  <c r="K608" i="2"/>
  <c r="H607" i="2"/>
  <c r="G607" i="2"/>
  <c r="U605" i="2"/>
  <c r="R605" i="2"/>
  <c r="R604" i="2"/>
  <c r="C600" i="2"/>
  <c r="G599" i="2"/>
  <c r="C599" i="2"/>
  <c r="C598" i="2"/>
  <c r="G597" i="2"/>
  <c r="W596" i="2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K592" i="2"/>
  <c r="H591" i="2"/>
  <c r="G591" i="2"/>
  <c r="W592" i="2"/>
  <c r="Y592" i="2" s="1"/>
  <c r="C585" i="2"/>
  <c r="G584" i="2"/>
  <c r="C584" i="2"/>
  <c r="C583" i="2"/>
  <c r="G582" i="2"/>
  <c r="W581" i="2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K577" i="2"/>
  <c r="H576" i="2"/>
  <c r="G576" i="2"/>
  <c r="C570" i="2"/>
  <c r="G569" i="2"/>
  <c r="C569" i="2"/>
  <c r="C568" i="2"/>
  <c r="K567" i="2"/>
  <c r="G567" i="2"/>
  <c r="W568" i="2"/>
  <c r="Y568" i="2" s="1"/>
  <c r="U569" i="2" s="1"/>
  <c r="W569" i="2" s="1"/>
  <c r="Y569" i="2" s="1"/>
  <c r="U570" i="2" s="1"/>
  <c r="W570" i="2" s="1"/>
  <c r="Y570" i="2" s="1"/>
  <c r="U571" i="2" s="1"/>
  <c r="W566" i="2"/>
  <c r="Y566" i="2" s="1"/>
  <c r="U567" i="2" s="1"/>
  <c r="W567" i="2" s="1"/>
  <c r="Y567" i="2" s="1"/>
  <c r="H561" i="2"/>
  <c r="G561" i="2"/>
  <c r="C554" i="2"/>
  <c r="G553" i="2"/>
  <c r="G68" i="1"/>
  <c r="C552" i="2"/>
  <c r="G551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K546" i="2"/>
  <c r="H545" i="2"/>
  <c r="G545" i="2"/>
  <c r="W546" i="2"/>
  <c r="Y546" i="2" s="1"/>
  <c r="R546" i="2"/>
  <c r="W545" i="2"/>
  <c r="Y545" i="2" s="1"/>
  <c r="R545" i="2"/>
  <c r="W544" i="2"/>
  <c r="Y544" i="2" s="1"/>
  <c r="R544" i="2"/>
  <c r="W543" i="2"/>
  <c r="Y543" i="2" s="1"/>
  <c r="R543" i="2"/>
  <c r="W542" i="2"/>
  <c r="Y542" i="2" s="1"/>
  <c r="R542" i="2"/>
  <c r="G538" i="2"/>
  <c r="C538" i="2"/>
  <c r="C537" i="2"/>
  <c r="G536" i="2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R535" i="2"/>
  <c r="R536" i="2" s="1"/>
  <c r="R537" i="2" s="1"/>
  <c r="R538" i="2" s="1"/>
  <c r="R539" i="2" s="1"/>
  <c r="R540" i="2" s="1"/>
  <c r="R541" i="2" s="1"/>
  <c r="K531" i="2"/>
  <c r="H530" i="2"/>
  <c r="G530" i="2"/>
  <c r="U529" i="2"/>
  <c r="W529" i="2" s="1"/>
  <c r="Y529" i="2" s="1"/>
  <c r="U530" i="2" s="1"/>
  <c r="W530" i="2" s="1"/>
  <c r="Y530" i="2" s="1"/>
  <c r="U531" i="2" s="1"/>
  <c r="W531" i="2" s="1"/>
  <c r="Y531" i="2" s="1"/>
  <c r="U528" i="2"/>
  <c r="W528" i="2" s="1"/>
  <c r="Y528" i="2" s="1"/>
  <c r="G523" i="2"/>
  <c r="C523" i="2"/>
  <c r="W526" i="2"/>
  <c r="R526" i="2"/>
  <c r="C524" i="2" s="1"/>
  <c r="C522" i="2"/>
  <c r="W525" i="2"/>
  <c r="Y525" i="2" s="1"/>
  <c r="G521" i="2"/>
  <c r="W522" i="2"/>
  <c r="Y522" i="2" s="1"/>
  <c r="U523" i="2" s="1"/>
  <c r="W523" i="2" s="1"/>
  <c r="Y523" i="2" s="1"/>
  <c r="U524" i="2" s="1"/>
  <c r="W524" i="2" s="1"/>
  <c r="Y524" i="2" s="1"/>
  <c r="U525" i="2" s="1"/>
  <c r="G520" i="2" s="1"/>
  <c r="W521" i="2"/>
  <c r="Y521" i="2" s="1"/>
  <c r="W520" i="2"/>
  <c r="Y520" i="2" s="1"/>
  <c r="K521" i="2"/>
  <c r="H515" i="2"/>
  <c r="G515" i="2"/>
  <c r="C509" i="2"/>
  <c r="W512" i="2"/>
  <c r="Y512" i="2" s="1"/>
  <c r="W513" i="2" s="1"/>
  <c r="Y513" i="2" s="1"/>
  <c r="W514" i="2" s="1"/>
  <c r="Y514" i="2" s="1"/>
  <c r="W515" i="2" s="1"/>
  <c r="Y515" i="2" s="1"/>
  <c r="W516" i="2" s="1"/>
  <c r="Y516" i="2" s="1"/>
  <c r="G508" i="2"/>
  <c r="C508" i="2"/>
  <c r="C507" i="2"/>
  <c r="G506" i="2"/>
  <c r="R507" i="2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H500" i="2"/>
  <c r="G500" i="2"/>
  <c r="C494" i="2"/>
  <c r="G493" i="2"/>
  <c r="C493" i="2"/>
  <c r="C492" i="2"/>
  <c r="K491" i="2"/>
  <c r="G491" i="2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H485" i="2"/>
  <c r="G485" i="2"/>
  <c r="U484" i="2"/>
  <c r="W484" i="2" s="1"/>
  <c r="Y484" i="2" s="1"/>
  <c r="U485" i="2" s="1"/>
  <c r="W485" i="2" s="1"/>
  <c r="Y485" i="2" s="1"/>
  <c r="U486" i="2" s="1"/>
  <c r="W486" i="2" s="1"/>
  <c r="Y486" i="2" s="1"/>
  <c r="U483" i="2"/>
  <c r="W483" i="2" s="1"/>
  <c r="Y483" i="2" s="1"/>
  <c r="C479" i="2"/>
  <c r="G478" i="2"/>
  <c r="C478" i="2"/>
  <c r="C477" i="2"/>
  <c r="G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K471" i="2"/>
  <c r="H470" i="2"/>
  <c r="G470" i="2"/>
  <c r="W471" i="2"/>
  <c r="Y471" i="2" s="1"/>
  <c r="W470" i="2"/>
  <c r="Y470" i="2" s="1"/>
  <c r="W469" i="2"/>
  <c r="Y469" i="2" s="1"/>
  <c r="W468" i="2"/>
  <c r="Y468" i="2" s="1"/>
  <c r="C464" i="2"/>
  <c r="W467" i="2"/>
  <c r="Y467" i="2" s="1"/>
  <c r="G463" i="2"/>
  <c r="C463" i="2"/>
  <c r="C462" i="2"/>
  <c r="G461" i="2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K456" i="2"/>
  <c r="H455" i="2"/>
  <c r="G455" i="2"/>
  <c r="W456" i="2"/>
  <c r="Y456" i="2" s="1"/>
  <c r="W455" i="2"/>
  <c r="Y455" i="2" s="1"/>
  <c r="U454" i="2"/>
  <c r="W454" i="2" s="1"/>
  <c r="Y454" i="2" s="1"/>
  <c r="U453" i="2"/>
  <c r="W453" i="2" s="1"/>
  <c r="Y453" i="2" s="1"/>
  <c r="C449" i="2"/>
  <c r="G448" i="2"/>
  <c r="C448" i="2"/>
  <c r="C447" i="2"/>
  <c r="G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K441" i="2"/>
  <c r="H440" i="2"/>
  <c r="G440" i="2"/>
  <c r="W441" i="2"/>
  <c r="Y441" i="2" s="1"/>
  <c r="W440" i="2"/>
  <c r="Y440" i="2" s="1"/>
  <c r="R440" i="2"/>
  <c r="U439" i="2"/>
  <c r="W439" i="2" s="1"/>
  <c r="Y439" i="2" s="1"/>
  <c r="U438" i="2"/>
  <c r="W438" i="2" s="1"/>
  <c r="Y438" i="2" s="1"/>
  <c r="W437" i="2"/>
  <c r="Y437" i="2" s="1"/>
  <c r="R437" i="2"/>
  <c r="G433" i="2"/>
  <c r="C433" i="2"/>
  <c r="C432" i="2"/>
  <c r="G431" i="2"/>
  <c r="R433" i="2"/>
  <c r="R434" i="2" s="1"/>
  <c r="R435" i="2" s="1"/>
  <c r="R436" i="2" s="1"/>
  <c r="C434" i="2" s="1"/>
  <c r="R431" i="2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K426" i="2"/>
  <c r="H425" i="2"/>
  <c r="G425" i="2"/>
  <c r="W426" i="2"/>
  <c r="Y426" i="2" s="1"/>
  <c r="U423" i="2"/>
  <c r="W423" i="2" s="1"/>
  <c r="Y423" i="2" s="1"/>
  <c r="U424" i="2" s="1"/>
  <c r="W424" i="2" s="1"/>
  <c r="Y424" i="2" s="1"/>
  <c r="U425" i="2" s="1"/>
  <c r="W425" i="2" s="1"/>
  <c r="Y425" i="2" s="1"/>
  <c r="C419" i="2"/>
  <c r="G418" i="2"/>
  <c r="C418" i="2"/>
  <c r="C417" i="2"/>
  <c r="G416" i="2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K411" i="2"/>
  <c r="H410" i="2"/>
  <c r="G410" i="2"/>
  <c r="W411" i="2"/>
  <c r="Y411" i="2" s="1"/>
  <c r="R411" i="2"/>
  <c r="R410" i="2"/>
  <c r="U408" i="2"/>
  <c r="W408" i="2" s="1"/>
  <c r="Y408" i="2" s="1"/>
  <c r="U409" i="2" s="1"/>
  <c r="W409" i="2" s="1"/>
  <c r="Y409" i="2" s="1"/>
  <c r="U410" i="2" s="1"/>
  <c r="W410" i="2" s="1"/>
  <c r="Y410" i="2" s="1"/>
  <c r="C404" i="2"/>
  <c r="G403" i="2"/>
  <c r="C403" i="2"/>
  <c r="C402" i="2"/>
  <c r="G401" i="2"/>
  <c r="R401" i="2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K396" i="2"/>
  <c r="H395" i="2"/>
  <c r="G395" i="2"/>
  <c r="R396" i="2"/>
  <c r="R395" i="2"/>
  <c r="R394" i="2"/>
  <c r="R393" i="2"/>
  <c r="R392" i="2"/>
  <c r="G388" i="2"/>
  <c r="C388" i="2"/>
  <c r="R391" i="2"/>
  <c r="C387" i="2"/>
  <c r="R390" i="2"/>
  <c r="G386" i="2"/>
  <c r="R389" i="2"/>
  <c r="R388" i="2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K381" i="2"/>
  <c r="H380" i="2"/>
  <c r="G380" i="2"/>
  <c r="R381" i="2"/>
  <c r="R380" i="2"/>
  <c r="R379" i="2"/>
  <c r="R378" i="2"/>
  <c r="R377" i="2"/>
  <c r="G373" i="2"/>
  <c r="C373" i="2"/>
  <c r="C372" i="2"/>
  <c r="G371" i="2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R370" i="2"/>
  <c r="R371" i="2" s="1"/>
  <c r="R372" i="2" s="1"/>
  <c r="R373" i="2" s="1"/>
  <c r="R374" i="2" s="1"/>
  <c r="R375" i="2" s="1"/>
  <c r="K366" i="2"/>
  <c r="H365" i="2"/>
  <c r="G365" i="2"/>
  <c r="U365" i="2"/>
  <c r="W365" i="2" s="1"/>
  <c r="Y365" i="2" s="1"/>
  <c r="R365" i="2"/>
  <c r="U364" i="2"/>
  <c r="W364" i="2" s="1"/>
  <c r="Y364" i="2" s="1"/>
  <c r="R364" i="2"/>
  <c r="U363" i="2"/>
  <c r="W363" i="2" s="1"/>
  <c r="Y363" i="2" s="1"/>
  <c r="R363" i="2"/>
  <c r="U362" i="2"/>
  <c r="W362" i="2" s="1"/>
  <c r="Y362" i="2" s="1"/>
  <c r="R362" i="2"/>
  <c r="R361" i="2"/>
  <c r="G357" i="2"/>
  <c r="C357" i="2"/>
  <c r="R360" i="2"/>
  <c r="C358" i="2" s="1"/>
  <c r="C356" i="2"/>
  <c r="K355" i="2"/>
  <c r="G355" i="2"/>
  <c r="R357" i="2"/>
  <c r="R358" i="2" s="1"/>
  <c r="W354" i="2"/>
  <c r="Y354" i="2" s="1"/>
  <c r="U355" i="2" s="1"/>
  <c r="W355" i="2" s="1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H349" i="2"/>
  <c r="G349" i="2"/>
  <c r="W350" i="2"/>
  <c r="Y350" i="2" s="1"/>
  <c r="R350" i="2"/>
  <c r="W349" i="2"/>
  <c r="Y349" i="2" s="1"/>
  <c r="R349" i="2"/>
  <c r="W348" i="2"/>
  <c r="Y348" i="2" s="1"/>
  <c r="R348" i="2"/>
  <c r="W347" i="2"/>
  <c r="Y347" i="2" s="1"/>
  <c r="R347" i="2"/>
  <c r="W346" i="2"/>
  <c r="Y346" i="2" s="1"/>
  <c r="R346" i="2"/>
  <c r="G342" i="2"/>
  <c r="C342" i="2"/>
  <c r="C341" i="2"/>
  <c r="G340" i="2"/>
  <c r="W339" i="2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R339" i="2"/>
  <c r="R340" i="2" s="1"/>
  <c r="R341" i="2" s="1"/>
  <c r="R342" i="2" s="1"/>
  <c r="R343" i="2" s="1"/>
  <c r="R344" i="2" s="1"/>
  <c r="R345" i="2" s="1"/>
  <c r="K335" i="2"/>
  <c r="H334" i="2"/>
  <c r="G334" i="2"/>
  <c r="W335" i="2"/>
  <c r="Y335" i="2" s="1"/>
  <c r="R334" i="2"/>
  <c r="R333" i="2"/>
  <c r="U332" i="2"/>
  <c r="W332" i="2" s="1"/>
  <c r="Y332" i="2" s="1"/>
  <c r="U333" i="2" s="1"/>
  <c r="W333" i="2" s="1"/>
  <c r="Y333" i="2" s="1"/>
  <c r="U334" i="2" s="1"/>
  <c r="W334" i="2" s="1"/>
  <c r="Y334" i="2" s="1"/>
  <c r="R332" i="2"/>
  <c r="W331" i="2"/>
  <c r="Y331" i="2" s="1"/>
  <c r="R331" i="2"/>
  <c r="G327" i="2"/>
  <c r="C327" i="2"/>
  <c r="C326" i="2"/>
  <c r="G325" i="2"/>
  <c r="W324" i="2"/>
  <c r="Y324" i="2" s="1"/>
  <c r="U325" i="2" s="1"/>
  <c r="W325" i="2" s="1"/>
  <c r="Y325" i="2" s="1"/>
  <c r="U326" i="2" s="1"/>
  <c r="W326" i="2" s="1"/>
  <c r="Y326" i="2" s="1"/>
  <c r="U327" i="2" s="1"/>
  <c r="W327" i="2" s="1"/>
  <c r="Y327" i="2" s="1"/>
  <c r="U328" i="2" s="1"/>
  <c r="W328" i="2" s="1"/>
  <c r="Y328" i="2" s="1"/>
  <c r="U329" i="2" s="1"/>
  <c r="R324" i="2"/>
  <c r="R325" i="2" s="1"/>
  <c r="R326" i="2" s="1"/>
  <c r="R327" i="2" s="1"/>
  <c r="R328" i="2" s="1"/>
  <c r="R329" i="2" s="1"/>
  <c r="R330" i="2" s="1"/>
  <c r="K320" i="2"/>
  <c r="H319" i="2"/>
  <c r="G319" i="2"/>
  <c r="W320" i="2"/>
  <c r="Y320" i="2" s="1"/>
  <c r="R320" i="2"/>
  <c r="R319" i="2"/>
  <c r="R318" i="2"/>
  <c r="R317" i="2"/>
  <c r="R316" i="2"/>
  <c r="G312" i="2"/>
  <c r="C312" i="2"/>
  <c r="C311" i="2"/>
  <c r="G310" i="2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R309" i="2"/>
  <c r="R310" i="2" s="1"/>
  <c r="R311" i="2" s="1"/>
  <c r="R312" i="2" s="1"/>
  <c r="R313" i="2" s="1"/>
  <c r="R314" i="2" s="1"/>
  <c r="R315" i="2" s="1"/>
  <c r="K305" i="2"/>
  <c r="H304" i="2"/>
  <c r="G304" i="2"/>
  <c r="W305" i="2"/>
  <c r="Y305" i="2" s="1"/>
  <c r="R305" i="2"/>
  <c r="W304" i="2"/>
  <c r="Y304" i="2" s="1"/>
  <c r="R304" i="2"/>
  <c r="W303" i="2"/>
  <c r="Y303" i="2" s="1"/>
  <c r="R303" i="2"/>
  <c r="W302" i="2"/>
  <c r="Y302" i="2" s="1"/>
  <c r="R302" i="2"/>
  <c r="W301" i="2"/>
  <c r="Y301" i="2" s="1"/>
  <c r="R301" i="2"/>
  <c r="G297" i="2"/>
  <c r="C297" i="2"/>
  <c r="C296" i="2"/>
  <c r="G295" i="2"/>
  <c r="M56" i="1" s="1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R294" i="2"/>
  <c r="R295" i="2" s="1"/>
  <c r="R296" i="2" s="1"/>
  <c r="R297" i="2" s="1"/>
  <c r="R298" i="2" s="1"/>
  <c r="R299" i="2" s="1"/>
  <c r="R300" i="2" s="1"/>
  <c r="K290" i="2"/>
  <c r="H289" i="2"/>
  <c r="G289" i="2"/>
  <c r="W290" i="2"/>
  <c r="Y290" i="2" s="1"/>
  <c r="W289" i="2"/>
  <c r="Y289" i="2" s="1"/>
  <c r="W288" i="2"/>
  <c r="Y288" i="2" s="1"/>
  <c r="W287" i="2"/>
  <c r="Y287" i="2" s="1"/>
  <c r="W286" i="2"/>
  <c r="Y286" i="2" s="1"/>
  <c r="G282" i="2"/>
  <c r="C282" i="2"/>
  <c r="C281" i="2"/>
  <c r="G280" i="2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R279" i="2"/>
  <c r="R280" i="2" s="1"/>
  <c r="R281" i="2" s="1"/>
  <c r="R282" i="2" s="1"/>
  <c r="R283" i="2" s="1"/>
  <c r="R284" i="2" s="1"/>
  <c r="K275" i="2"/>
  <c r="H274" i="2"/>
  <c r="G274" i="2"/>
  <c r="G267" i="2"/>
  <c r="C267" i="2"/>
  <c r="C266" i="2"/>
  <c r="G265" i="2"/>
  <c r="P266" i="2"/>
  <c r="W264" i="2"/>
  <c r="Y264" i="2" s="1"/>
  <c r="U265" i="2" s="1"/>
  <c r="W265" i="2" s="1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U269" i="2" s="1"/>
  <c r="R264" i="2"/>
  <c r="R265" i="2" s="1"/>
  <c r="R266" i="2" s="1"/>
  <c r="K260" i="2"/>
  <c r="H259" i="2"/>
  <c r="G259" i="2"/>
  <c r="W260" i="2"/>
  <c r="Y260" i="2" s="1"/>
  <c r="W259" i="2"/>
  <c r="Y259" i="2" s="1"/>
  <c r="W258" i="2"/>
  <c r="Y258" i="2" s="1"/>
  <c r="W257" i="2"/>
  <c r="Y257" i="2" s="1"/>
  <c r="W256" i="2"/>
  <c r="Y256" i="2" s="1"/>
  <c r="G252" i="2"/>
  <c r="C252" i="2"/>
  <c r="C251" i="2"/>
  <c r="G250" i="2"/>
  <c r="W249" i="2"/>
  <c r="Y249" i="2" s="1"/>
  <c r="U250" i="2" s="1"/>
  <c r="W250" i="2" s="1"/>
  <c r="Y250" i="2" s="1"/>
  <c r="U251" i="2" s="1"/>
  <c r="W251" i="2" s="1"/>
  <c r="Y251" i="2" s="1"/>
  <c r="U252" i="2" s="1"/>
  <c r="W252" i="2" s="1"/>
  <c r="Y252" i="2" s="1"/>
  <c r="U253" i="2" s="1"/>
  <c r="W253" i="2" s="1"/>
  <c r="Y253" i="2" s="1"/>
  <c r="U254" i="2" s="1"/>
  <c r="R249" i="2"/>
  <c r="R250" i="2" s="1"/>
  <c r="R251" i="2" s="1"/>
  <c r="R252" i="2" s="1"/>
  <c r="R253" i="2" s="1"/>
  <c r="R254" i="2" s="1"/>
  <c r="K245" i="2"/>
  <c r="H244" i="2"/>
  <c r="G244" i="2"/>
  <c r="C238" i="2"/>
  <c r="G237" i="2"/>
  <c r="C237" i="2"/>
  <c r="C236" i="2"/>
  <c r="K235" i="2"/>
  <c r="G235" i="2"/>
  <c r="W238" i="2"/>
  <c r="Y238" i="2" s="1"/>
  <c r="U239" i="2" s="1"/>
  <c r="W239" i="2" s="1"/>
  <c r="W234" i="2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H229" i="2"/>
  <c r="G229" i="2"/>
  <c r="G65" i="1"/>
  <c r="F65" i="1"/>
  <c r="J65" i="1"/>
  <c r="W215" i="2"/>
  <c r="Y215" i="2" s="1"/>
  <c r="W214" i="2"/>
  <c r="Y214" i="2" s="1"/>
  <c r="W213" i="2"/>
  <c r="Y213" i="2" s="1"/>
  <c r="W212" i="2"/>
  <c r="Y212" i="2" s="1"/>
  <c r="W211" i="2"/>
  <c r="Y211" i="2" s="1"/>
  <c r="G207" i="2"/>
  <c r="C207" i="2"/>
  <c r="C206" i="2"/>
  <c r="V209" i="2"/>
  <c r="G205" i="2" s="1"/>
  <c r="V208" i="2"/>
  <c r="V207" i="2"/>
  <c r="V205" i="2"/>
  <c r="V204" i="2"/>
  <c r="W204" i="2" s="1"/>
  <c r="Y204" i="2" s="1"/>
  <c r="U205" i="2" s="1"/>
  <c r="R204" i="2"/>
  <c r="R205" i="2" s="1"/>
  <c r="R206" i="2" s="1"/>
  <c r="R207" i="2" s="1"/>
  <c r="R208" i="2" s="1"/>
  <c r="R209" i="2" s="1"/>
  <c r="C208" i="2" s="1"/>
  <c r="H199" i="2"/>
  <c r="G199" i="2"/>
  <c r="R197" i="2"/>
  <c r="R196" i="2"/>
  <c r="G192" i="2"/>
  <c r="C192" i="2"/>
  <c r="R195" i="2"/>
  <c r="C191" i="2"/>
  <c r="R194" i="2"/>
  <c r="G190" i="2"/>
  <c r="W189" i="2"/>
  <c r="Y189" i="2" s="1"/>
  <c r="U190" i="2" s="1"/>
  <c r="W190" i="2" s="1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R189" i="2"/>
  <c r="R190" i="2" s="1"/>
  <c r="R191" i="2" s="1"/>
  <c r="R192" i="2" s="1"/>
  <c r="R193" i="2" s="1"/>
  <c r="K185" i="2"/>
  <c r="H184" i="2"/>
  <c r="G184" i="2"/>
  <c r="W185" i="2"/>
  <c r="Y185" i="2" s="1"/>
  <c r="R185" i="2"/>
  <c r="W184" i="2"/>
  <c r="Y184" i="2" s="1"/>
  <c r="R184" i="2"/>
  <c r="W183" i="2"/>
  <c r="Y183" i="2" s="1"/>
  <c r="R183" i="2"/>
  <c r="W182" i="2"/>
  <c r="Y182" i="2" s="1"/>
  <c r="R182" i="2"/>
  <c r="W181" i="2"/>
  <c r="Y181" i="2" s="1"/>
  <c r="R181" i="2"/>
  <c r="G177" i="2"/>
  <c r="C177" i="2"/>
  <c r="C176" i="2"/>
  <c r="G175" i="2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R174" i="2"/>
  <c r="R175" i="2" s="1"/>
  <c r="R176" i="2" s="1"/>
  <c r="R177" i="2" s="1"/>
  <c r="R178" i="2" s="1"/>
  <c r="R179" i="2" s="1"/>
  <c r="R180" i="2" s="1"/>
  <c r="K170" i="2"/>
  <c r="H169" i="2"/>
  <c r="G169" i="2"/>
  <c r="W170" i="2"/>
  <c r="Y170" i="2" s="1"/>
  <c r="R170" i="2"/>
  <c r="W169" i="2"/>
  <c r="Y169" i="2" s="1"/>
  <c r="R169" i="2"/>
  <c r="W168" i="2"/>
  <c r="Y168" i="2" s="1"/>
  <c r="R168" i="2"/>
  <c r="W167" i="2"/>
  <c r="Y167" i="2" s="1"/>
  <c r="R167" i="2"/>
  <c r="W166" i="2"/>
  <c r="Y166" i="2" s="1"/>
  <c r="R166" i="2"/>
  <c r="G162" i="2"/>
  <c r="C162" i="2"/>
  <c r="C161" i="2"/>
  <c r="G160" i="2"/>
  <c r="W159" i="2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R159" i="2"/>
  <c r="R160" i="2" s="1"/>
  <c r="R161" i="2" s="1"/>
  <c r="R162" i="2" s="1"/>
  <c r="R163" i="2" s="1"/>
  <c r="R164" i="2" s="1"/>
  <c r="K155" i="2"/>
  <c r="H154" i="2"/>
  <c r="G154" i="2"/>
  <c r="W155" i="2"/>
  <c r="Y155" i="2" s="1"/>
  <c r="R155" i="2"/>
  <c r="W154" i="2"/>
  <c r="Y154" i="2" s="1"/>
  <c r="R154" i="2"/>
  <c r="W153" i="2"/>
  <c r="Y153" i="2" s="1"/>
  <c r="R153" i="2"/>
  <c r="W152" i="2"/>
  <c r="Y152" i="2" s="1"/>
  <c r="R152" i="2"/>
  <c r="W151" i="2"/>
  <c r="Y151" i="2" s="1"/>
  <c r="R151" i="2"/>
  <c r="G147" i="2"/>
  <c r="C147" i="2"/>
  <c r="C146" i="2"/>
  <c r="G145" i="2"/>
  <c r="R145" i="2"/>
  <c r="R146" i="2" s="1"/>
  <c r="R147" i="2" s="1"/>
  <c r="R148" i="2" s="1"/>
  <c r="R149" i="2" s="1"/>
  <c r="R150" i="2" s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H139" i="2"/>
  <c r="G139" i="2"/>
  <c r="W140" i="2"/>
  <c r="Y140" i="2" s="1"/>
  <c r="R140" i="2"/>
  <c r="R139" i="2"/>
  <c r="U138" i="2"/>
  <c r="W138" i="2" s="1"/>
  <c r="Y138" i="2" s="1"/>
  <c r="U139" i="2" s="1"/>
  <c r="W139" i="2" s="1"/>
  <c r="Y139" i="2" s="1"/>
  <c r="R138" i="2"/>
  <c r="U137" i="2"/>
  <c r="W137" i="2" s="1"/>
  <c r="Y137" i="2" s="1"/>
  <c r="R137" i="2"/>
  <c r="R136" i="2"/>
  <c r="G132" i="2"/>
  <c r="C132" i="2"/>
  <c r="C131" i="2"/>
  <c r="G130" i="2"/>
  <c r="W129" i="2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R129" i="2"/>
  <c r="R130" i="2" s="1"/>
  <c r="R131" i="2" s="1"/>
  <c r="R132" i="2" s="1"/>
  <c r="R133" i="2" s="1"/>
  <c r="R134" i="2" s="1"/>
  <c r="R135" i="2" s="1"/>
  <c r="K125" i="2"/>
  <c r="H124" i="2"/>
  <c r="G124" i="2"/>
  <c r="W125" i="2"/>
  <c r="Y125" i="2" s="1"/>
  <c r="R125" i="2"/>
  <c r="W124" i="2"/>
  <c r="Y124" i="2" s="1"/>
  <c r="R124" i="2"/>
  <c r="W123" i="2"/>
  <c r="Y123" i="2" s="1"/>
  <c r="R123" i="2"/>
  <c r="W122" i="2"/>
  <c r="Y122" i="2" s="1"/>
  <c r="R122" i="2"/>
  <c r="W121" i="2"/>
  <c r="Y121" i="2" s="1"/>
  <c r="R121" i="2"/>
  <c r="G117" i="2"/>
  <c r="C117" i="2"/>
  <c r="C116" i="2"/>
  <c r="G115" i="2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R114" i="2"/>
  <c r="R115" i="2" s="1"/>
  <c r="R116" i="2" s="1"/>
  <c r="R117" i="2" s="1"/>
  <c r="R118" i="2" s="1"/>
  <c r="R119" i="2" s="1"/>
  <c r="R120" i="2" s="1"/>
  <c r="K110" i="2"/>
  <c r="H109" i="2"/>
  <c r="G109" i="2"/>
  <c r="W110" i="2"/>
  <c r="Y110" i="2" s="1"/>
  <c r="W109" i="2"/>
  <c r="Y109" i="2" s="1"/>
  <c r="W108" i="2"/>
  <c r="Y108" i="2" s="1"/>
  <c r="W107" i="2"/>
  <c r="Y107" i="2" s="1"/>
  <c r="C103" i="2"/>
  <c r="W106" i="2"/>
  <c r="Y106" i="2" s="1"/>
  <c r="G102" i="2"/>
  <c r="K102" i="2" s="1"/>
  <c r="C102" i="2"/>
  <c r="C101" i="2"/>
  <c r="R104" i="2"/>
  <c r="G100" i="2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K95" i="2"/>
  <c r="H94" i="2"/>
  <c r="G94" i="2"/>
  <c r="R95" i="2"/>
  <c r="R94" i="2"/>
  <c r="R93" i="2"/>
  <c r="R92" i="2"/>
  <c r="R91" i="2"/>
  <c r="G87" i="2"/>
  <c r="C87" i="2"/>
  <c r="C86" i="2"/>
  <c r="G85" i="2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R84" i="2"/>
  <c r="R85" i="2" s="1"/>
  <c r="R86" i="2" s="1"/>
  <c r="R87" i="2" s="1"/>
  <c r="R88" i="2" s="1"/>
  <c r="R89" i="2" s="1"/>
  <c r="R90" i="2" s="1"/>
  <c r="K80" i="2"/>
  <c r="H79" i="2"/>
  <c r="G74" i="2"/>
  <c r="C74" i="2"/>
  <c r="C73" i="2"/>
  <c r="G72" i="2"/>
  <c r="R71" i="2"/>
  <c r="R72" i="2" s="1"/>
  <c r="R73" i="2" s="1"/>
  <c r="R74" i="2" s="1"/>
  <c r="C75" i="2" s="1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H66" i="2"/>
  <c r="G66" i="2"/>
  <c r="R65" i="2"/>
  <c r="R63" i="2"/>
  <c r="W62" i="2"/>
  <c r="Y62" i="2" s="1"/>
  <c r="U63" i="2" s="1"/>
  <c r="W63" i="2" s="1"/>
  <c r="Y63" i="2" s="1"/>
  <c r="U64" i="2" s="1"/>
  <c r="W64" i="2" s="1"/>
  <c r="Y64" i="2" s="1"/>
  <c r="U65" i="2" s="1"/>
  <c r="W65" i="2" s="1"/>
  <c r="Y65" i="2" s="1"/>
  <c r="R62" i="2"/>
  <c r="R61" i="2"/>
  <c r="G61" i="2"/>
  <c r="C61" i="2"/>
  <c r="C60" i="2"/>
  <c r="G59" i="2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R54" i="2"/>
  <c r="R55" i="2" s="1"/>
  <c r="R56" i="2" s="1"/>
  <c r="R57" i="2" s="1"/>
  <c r="R58" i="2" s="1"/>
  <c r="R59" i="2" s="1"/>
  <c r="R60" i="2" s="1"/>
  <c r="K54" i="2"/>
  <c r="H53" i="2"/>
  <c r="G53" i="2"/>
  <c r="W50" i="2"/>
  <c r="Y50" i="2" s="1"/>
  <c r="R50" i="2"/>
  <c r="W49" i="2"/>
  <c r="Y49" i="2" s="1"/>
  <c r="R49" i="2"/>
  <c r="W48" i="2"/>
  <c r="Y48" i="2" s="1"/>
  <c r="W47" i="2"/>
  <c r="Y47" i="2" s="1"/>
  <c r="W46" i="2"/>
  <c r="Y46" i="2" s="1"/>
  <c r="R46" i="2"/>
  <c r="G46" i="2"/>
  <c r="C46" i="2"/>
  <c r="R45" i="2"/>
  <c r="C47" i="2" s="1"/>
  <c r="C45" i="2"/>
  <c r="V44" i="2"/>
  <c r="G44" i="2" s="1"/>
  <c r="K44" i="2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U33" i="2"/>
  <c r="W33" i="2" s="1"/>
  <c r="Y33" i="2" s="1"/>
  <c r="U32" i="2"/>
  <c r="W32" i="2" s="1"/>
  <c r="Y32" i="2" s="1"/>
  <c r="W31" i="2"/>
  <c r="Y31" i="2" s="1"/>
  <c r="R31" i="2"/>
  <c r="G31" i="2"/>
  <c r="C31" i="2"/>
  <c r="W30" i="2"/>
  <c r="Y30" i="2" s="1"/>
  <c r="R30" i="2"/>
  <c r="C30" i="2"/>
  <c r="R29" i="2"/>
  <c r="K29" i="2"/>
  <c r="K30" i="2" s="1"/>
  <c r="G29" i="2"/>
  <c r="R28" i="2"/>
  <c r="W27" i="2"/>
  <c r="Y27" i="2" s="1"/>
  <c r="U28" i="2" s="1"/>
  <c r="W28" i="2" s="1"/>
  <c r="Y28" i="2" s="1"/>
  <c r="U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U18" i="2"/>
  <c r="W18" i="2" s="1"/>
  <c r="Y18" i="2" s="1"/>
  <c r="U17" i="2"/>
  <c r="W17" i="2" s="1"/>
  <c r="Y17" i="2" s="1"/>
  <c r="R17" i="2"/>
  <c r="R16" i="2"/>
  <c r="G16" i="2"/>
  <c r="K16" i="2" s="1"/>
  <c r="C16" i="2"/>
  <c r="C15" i="2"/>
  <c r="G14" i="2"/>
  <c r="U13" i="2"/>
  <c r="W13" i="2" s="1"/>
  <c r="Y13" i="2" s="1"/>
  <c r="U14" i="2" s="1"/>
  <c r="W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R9" i="2"/>
  <c r="R10" i="2" s="1"/>
  <c r="R11" i="2" s="1"/>
  <c r="T11" i="2" s="1"/>
  <c r="K9" i="2"/>
  <c r="H8" i="2"/>
  <c r="G8" i="2"/>
  <c r="O129" i="1"/>
  <c r="D125" i="1"/>
  <c r="C125" i="1"/>
  <c r="H108" i="1"/>
  <c r="E108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J89" i="1"/>
  <c r="H89" i="1"/>
  <c r="E89" i="1"/>
  <c r="B89" i="1"/>
  <c r="H88" i="1"/>
  <c r="H87" i="1"/>
  <c r="H86" i="1"/>
  <c r="B86" i="1"/>
  <c r="H85" i="1"/>
  <c r="B85" i="1"/>
  <c r="H84" i="1"/>
  <c r="B84" i="1"/>
  <c r="H83" i="1"/>
  <c r="E83" i="1"/>
  <c r="B83" i="1"/>
  <c r="H82" i="1"/>
  <c r="B82" i="1"/>
  <c r="Q54" i="1"/>
  <c r="I54" i="1"/>
  <c r="H54" i="1"/>
  <c r="E54" i="1"/>
  <c r="B54" i="1"/>
  <c r="H81" i="1"/>
  <c r="E81" i="1"/>
  <c r="B81" i="1"/>
  <c r="H80" i="1"/>
  <c r="B80" i="1"/>
  <c r="H79" i="1"/>
  <c r="H75" i="1"/>
  <c r="E75" i="1"/>
  <c r="B75" i="1"/>
  <c r="H74" i="1"/>
  <c r="E74" i="1"/>
  <c r="B74" i="1"/>
  <c r="H72" i="1"/>
  <c r="E72" i="1"/>
  <c r="B72" i="1"/>
  <c r="H71" i="1"/>
  <c r="E71" i="1"/>
  <c r="B71" i="1"/>
  <c r="H69" i="1"/>
  <c r="F69" i="1"/>
  <c r="E69" i="1"/>
  <c r="B69" i="1"/>
  <c r="H68" i="1"/>
  <c r="B68" i="1"/>
  <c r="H67" i="1"/>
  <c r="B67" i="1"/>
  <c r="H66" i="1"/>
  <c r="E66" i="1"/>
  <c r="B66" i="1"/>
  <c r="O65" i="1"/>
  <c r="M65" i="1"/>
  <c r="L65" i="1"/>
  <c r="H65" i="1"/>
  <c r="E65" i="1"/>
  <c r="B65" i="1"/>
  <c r="J64" i="1"/>
  <c r="H64" i="1"/>
  <c r="E64" i="1"/>
  <c r="B64" i="1"/>
  <c r="H63" i="1"/>
  <c r="E63" i="1"/>
  <c r="B63" i="1"/>
  <c r="H62" i="1"/>
  <c r="E62" i="1"/>
  <c r="B62" i="1"/>
  <c r="H61" i="1"/>
  <c r="B61" i="1"/>
  <c r="H60" i="1"/>
  <c r="E60" i="1"/>
  <c r="B60" i="1"/>
  <c r="H56" i="1"/>
  <c r="B56" i="1"/>
  <c r="H55" i="1"/>
  <c r="E55" i="1"/>
  <c r="B55" i="1"/>
  <c r="H53" i="1"/>
  <c r="B53" i="1"/>
  <c r="H52" i="1"/>
  <c r="B52" i="1"/>
  <c r="H51" i="1"/>
  <c r="E51" i="1"/>
  <c r="B51" i="1"/>
  <c r="H50" i="1"/>
  <c r="H47" i="1"/>
  <c r="B47" i="1"/>
  <c r="H46" i="1"/>
  <c r="B46" i="1"/>
  <c r="H45" i="1"/>
  <c r="B45" i="1"/>
  <c r="H44" i="1"/>
  <c r="B44" i="1"/>
  <c r="H43" i="1"/>
  <c r="B43" i="1"/>
  <c r="H42" i="1"/>
  <c r="U41" i="1"/>
  <c r="H41" i="1"/>
  <c r="H40" i="1"/>
  <c r="H36" i="1"/>
  <c r="B36" i="1"/>
  <c r="H35" i="1"/>
  <c r="B35" i="1"/>
  <c r="H34" i="1"/>
  <c r="B34" i="1"/>
  <c r="H33" i="1"/>
  <c r="E33" i="1"/>
  <c r="B33" i="1"/>
  <c r="H29" i="1"/>
  <c r="B29" i="1"/>
  <c r="H28" i="1"/>
  <c r="B28" i="1"/>
  <c r="H27" i="1"/>
  <c r="B27" i="1"/>
  <c r="H26" i="1"/>
  <c r="H22" i="1"/>
  <c r="E22" i="1"/>
  <c r="B22" i="1"/>
  <c r="I20" i="1"/>
  <c r="E20" i="1"/>
  <c r="B20" i="1"/>
  <c r="O18" i="1"/>
  <c r="H18" i="1"/>
  <c r="B18" i="1"/>
  <c r="O16" i="1"/>
  <c r="M16" i="1"/>
  <c r="L16" i="1"/>
  <c r="H16" i="1"/>
  <c r="H15" i="1"/>
  <c r="H14" i="1"/>
  <c r="B14" i="1"/>
  <c r="Q11" i="1"/>
  <c r="E11" i="1"/>
  <c r="D7" i="1"/>
  <c r="D5" i="1"/>
  <c r="D4" i="1"/>
  <c r="P1" i="1"/>
  <c r="E110" i="1"/>
  <c r="O20" i="1" l="1"/>
  <c r="O50" i="1"/>
  <c r="E36" i="1"/>
  <c r="K709" i="2"/>
  <c r="O108" i="1"/>
  <c r="G18" i="1"/>
  <c r="F34" i="1"/>
  <c r="J33" i="1"/>
  <c r="M15" i="1"/>
  <c r="F41" i="1"/>
  <c r="M64" i="1"/>
  <c r="K280" i="2"/>
  <c r="E50" i="1"/>
  <c r="M29" i="1"/>
  <c r="G34" i="1"/>
  <c r="M74" i="1"/>
  <c r="K756" i="2"/>
  <c r="K788" i="2"/>
  <c r="M75" i="1"/>
  <c r="G83" i="1"/>
  <c r="I16" i="1"/>
  <c r="G22" i="1"/>
  <c r="F15" i="1"/>
  <c r="K74" i="2"/>
  <c r="K87" i="2"/>
  <c r="E84" i="1"/>
  <c r="G41" i="1"/>
  <c r="G88" i="1"/>
  <c r="F47" i="1"/>
  <c r="E52" i="1"/>
  <c r="M85" i="1"/>
  <c r="F29" i="1"/>
  <c r="M26" i="1"/>
  <c r="O34" i="1"/>
  <c r="G33" i="1"/>
  <c r="M36" i="1"/>
  <c r="J92" i="1"/>
  <c r="K597" i="2"/>
  <c r="G46" i="1"/>
  <c r="F81" i="1"/>
  <c r="F80" i="1"/>
  <c r="J74" i="1"/>
  <c r="M51" i="1"/>
  <c r="G69" i="1"/>
  <c r="J75" i="1"/>
  <c r="K820" i="2"/>
  <c r="M89" i="1"/>
  <c r="F18" i="1"/>
  <c r="F43" i="1"/>
  <c r="K327" i="2"/>
  <c r="M34" i="1"/>
  <c r="K599" i="2"/>
  <c r="F66" i="1"/>
  <c r="M20" i="1"/>
  <c r="M41" i="1"/>
  <c r="K647" i="2"/>
  <c r="G14" i="1"/>
  <c r="M87" i="1"/>
  <c r="K418" i="2"/>
  <c r="J81" i="1"/>
  <c r="O88" i="1"/>
  <c r="F85" i="1"/>
  <c r="G29" i="1"/>
  <c r="F26" i="1"/>
  <c r="K493" i="2"/>
  <c r="F36" i="1"/>
  <c r="G92" i="1"/>
  <c r="K569" i="2"/>
  <c r="F44" i="1"/>
  <c r="K631" i="2"/>
  <c r="G81" i="1"/>
  <c r="G80" i="1"/>
  <c r="F74" i="1"/>
  <c r="L69" i="1"/>
  <c r="K724" i="2"/>
  <c r="M71" i="1"/>
  <c r="F75" i="1"/>
  <c r="F89" i="1"/>
  <c r="Q93" i="1"/>
  <c r="M22" i="1"/>
  <c r="M79" i="1"/>
  <c r="G84" i="1"/>
  <c r="E61" i="1"/>
  <c r="K295" i="2"/>
  <c r="G35" i="1"/>
  <c r="M46" i="1"/>
  <c r="J80" i="1"/>
  <c r="F22" i="1"/>
  <c r="K117" i="2"/>
  <c r="M88" i="1"/>
  <c r="G43" i="1"/>
  <c r="E26" i="1"/>
  <c r="F92" i="1"/>
  <c r="J72" i="1"/>
  <c r="K615" i="2"/>
  <c r="M81" i="1"/>
  <c r="G66" i="1"/>
  <c r="G79" i="1"/>
  <c r="K325" i="2"/>
  <c r="M86" i="1"/>
  <c r="K536" i="2"/>
  <c r="N46" i="1"/>
  <c r="F20" i="1"/>
  <c r="G15" i="1"/>
  <c r="G47" i="1"/>
  <c r="F64" i="1"/>
  <c r="M61" i="1"/>
  <c r="F86" i="1"/>
  <c r="M28" i="1"/>
  <c r="E16" i="1"/>
  <c r="K61" i="2"/>
  <c r="E14" i="1"/>
  <c r="F40" i="1"/>
  <c r="K207" i="2"/>
  <c r="M62" i="1"/>
  <c r="M67" i="1"/>
  <c r="M53" i="1"/>
  <c r="M50" i="1"/>
  <c r="G85" i="1"/>
  <c r="O29" i="1"/>
  <c r="K416" i="2"/>
  <c r="F28" i="1"/>
  <c r="G26" i="1"/>
  <c r="G36" i="1"/>
  <c r="O92" i="1"/>
  <c r="M42" i="1"/>
  <c r="M63" i="1"/>
  <c r="M45" i="1"/>
  <c r="M60" i="1"/>
  <c r="K677" i="2"/>
  <c r="G74" i="1"/>
  <c r="M66" i="1"/>
  <c r="G75" i="1"/>
  <c r="K282" i="2"/>
  <c r="K371" i="2"/>
  <c r="M33" i="1"/>
  <c r="Q73" i="1"/>
  <c r="F79" i="1"/>
  <c r="K312" i="2"/>
  <c r="F46" i="1"/>
  <c r="K754" i="2"/>
  <c r="M47" i="1"/>
  <c r="K250" i="2"/>
  <c r="F33" i="1"/>
  <c r="M44" i="1"/>
  <c r="K46" i="2"/>
  <c r="K132" i="2"/>
  <c r="E35" i="1"/>
  <c r="F55" i="1"/>
  <c r="M18" i="1"/>
  <c r="M84" i="1"/>
  <c r="K130" i="2"/>
  <c r="G40" i="1"/>
  <c r="G87" i="1"/>
  <c r="K237" i="2"/>
  <c r="F62" i="1"/>
  <c r="G61" i="1"/>
  <c r="F67" i="1"/>
  <c r="M52" i="1"/>
  <c r="K373" i="2"/>
  <c r="K386" i="2"/>
  <c r="G86" i="1"/>
  <c r="G28" i="1"/>
  <c r="K448" i="2"/>
  <c r="K461" i="2"/>
  <c r="M35" i="1"/>
  <c r="O36" i="1"/>
  <c r="F42" i="1"/>
  <c r="F63" i="1"/>
  <c r="F45" i="1"/>
  <c r="E46" i="1"/>
  <c r="P46" i="1"/>
  <c r="J60" i="1"/>
  <c r="K693" i="2"/>
  <c r="I706" i="2"/>
  <c r="M69" i="1"/>
  <c r="F108" i="1"/>
  <c r="J66" i="1"/>
  <c r="K804" i="2"/>
  <c r="M83" i="1"/>
  <c r="G89" i="1"/>
  <c r="Q90" i="1"/>
  <c r="G16" i="1"/>
  <c r="M14" i="1"/>
  <c r="K252" i="2"/>
  <c r="F27" i="1"/>
  <c r="K431" i="2"/>
  <c r="M72" i="1"/>
  <c r="K582" i="2"/>
  <c r="G60" i="1"/>
  <c r="G27" i="1"/>
  <c r="F88" i="1"/>
  <c r="F72" i="1"/>
  <c r="M40" i="1"/>
  <c r="K175" i="2"/>
  <c r="F87" i="1"/>
  <c r="K205" i="2"/>
  <c r="N16" i="1"/>
  <c r="F16" i="1"/>
  <c r="G20" i="1"/>
  <c r="J22" i="1"/>
  <c r="K59" i="2"/>
  <c r="F84" i="1"/>
  <c r="K162" i="2"/>
  <c r="E87" i="1"/>
  <c r="G62" i="1"/>
  <c r="K267" i="2"/>
  <c r="G67" i="1"/>
  <c r="M55" i="1"/>
  <c r="K388" i="2"/>
  <c r="K401" i="2"/>
  <c r="M27" i="1"/>
  <c r="K433" i="2"/>
  <c r="F35" i="1"/>
  <c r="M92" i="1"/>
  <c r="G42" i="1"/>
  <c r="M68" i="1"/>
  <c r="G63" i="1"/>
  <c r="K613" i="2"/>
  <c r="L46" i="1"/>
  <c r="F60" i="1"/>
  <c r="M80" i="1"/>
  <c r="J69" i="1"/>
  <c r="G108" i="1"/>
  <c r="J83" i="1"/>
  <c r="K836" i="2"/>
  <c r="M43" i="1"/>
  <c r="I753" i="2"/>
  <c r="K753" i="2" s="1"/>
  <c r="K755" i="2" s="1"/>
  <c r="E88" i="1"/>
  <c r="K145" i="2"/>
  <c r="I204" i="2"/>
  <c r="I785" i="2"/>
  <c r="I66" i="1" s="1"/>
  <c r="I581" i="2"/>
  <c r="I44" i="1" s="1"/>
  <c r="Q91" i="1"/>
  <c r="I354" i="2"/>
  <c r="J53" i="1"/>
  <c r="G53" i="1"/>
  <c r="F53" i="1"/>
  <c r="G52" i="1"/>
  <c r="F52" i="1"/>
  <c r="G56" i="1"/>
  <c r="F56" i="1"/>
  <c r="M54" i="1"/>
  <c r="G54" i="1"/>
  <c r="F54" i="1"/>
  <c r="J54" i="1"/>
  <c r="G50" i="1"/>
  <c r="F50" i="1"/>
  <c r="G51" i="1"/>
  <c r="F51" i="1"/>
  <c r="K706" i="2"/>
  <c r="J51" i="1"/>
  <c r="J55" i="1"/>
  <c r="G55" i="1"/>
  <c r="J82" i="1"/>
  <c r="G82" i="1"/>
  <c r="F82" i="1"/>
  <c r="R267" i="2"/>
  <c r="R268" i="2" s="1"/>
  <c r="I550" i="2"/>
  <c r="C193" i="2"/>
  <c r="I189" i="2" s="1"/>
  <c r="E68" i="1"/>
  <c r="K551" i="2"/>
  <c r="O67" i="1"/>
  <c r="E27" i="1"/>
  <c r="O46" i="1"/>
  <c r="O61" i="1"/>
  <c r="C328" i="2"/>
  <c r="I324" i="2" s="1"/>
  <c r="F61" i="1"/>
  <c r="I674" i="2"/>
  <c r="C148" i="2"/>
  <c r="I144" i="2" s="1"/>
  <c r="K14" i="2"/>
  <c r="O41" i="1"/>
  <c r="E42" i="1"/>
  <c r="E56" i="1"/>
  <c r="O89" i="1"/>
  <c r="O80" i="1"/>
  <c r="W613" i="2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I475" i="2"/>
  <c r="C298" i="2"/>
  <c r="I294" i="2" s="1"/>
  <c r="E45" i="1"/>
  <c r="K147" i="2"/>
  <c r="F71" i="1"/>
  <c r="E44" i="1"/>
  <c r="E53" i="1"/>
  <c r="C62" i="2"/>
  <c r="I58" i="2" s="1"/>
  <c r="O85" i="1"/>
  <c r="O22" i="1"/>
  <c r="K342" i="2"/>
  <c r="G71" i="1"/>
  <c r="C88" i="2"/>
  <c r="I84" i="2" s="1"/>
  <c r="O82" i="1"/>
  <c r="I43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I445" i="2"/>
  <c r="O75" i="1"/>
  <c r="C178" i="2"/>
  <c r="I174" i="2" s="1"/>
  <c r="O63" i="1"/>
  <c r="E86" i="1"/>
  <c r="C32" i="2"/>
  <c r="E29" i="1"/>
  <c r="E47" i="1"/>
  <c r="I460" i="2"/>
  <c r="O79" i="1"/>
  <c r="E34" i="1"/>
  <c r="O69" i="1"/>
  <c r="I612" i="2"/>
  <c r="Y9" i="2"/>
  <c r="O74" i="1"/>
  <c r="O60" i="1"/>
  <c r="I99" i="2"/>
  <c r="O15" i="1"/>
  <c r="E41" i="1"/>
  <c r="O26" i="1"/>
  <c r="O51" i="1"/>
  <c r="O64" i="1"/>
  <c r="E82" i="1"/>
  <c r="G723" i="2"/>
  <c r="W375" i="2"/>
  <c r="Y375" i="2" s="1"/>
  <c r="E85" i="1"/>
  <c r="K177" i="2"/>
  <c r="O43" i="1"/>
  <c r="O81" i="1"/>
  <c r="K662" i="2"/>
  <c r="I833" i="2"/>
  <c r="O28" i="1"/>
  <c r="K160" i="2"/>
  <c r="E40" i="1"/>
  <c r="O83" i="1"/>
  <c r="G45" i="1"/>
  <c r="O52" i="1"/>
  <c r="C313" i="2"/>
  <c r="I309" i="2" s="1"/>
  <c r="K340" i="2"/>
  <c r="I430" i="2"/>
  <c r="C539" i="2"/>
  <c r="I535" i="2" s="1"/>
  <c r="K584" i="2"/>
  <c r="O44" i="1"/>
  <c r="J71" i="1"/>
  <c r="J108" i="1"/>
  <c r="I234" i="2"/>
  <c r="K357" i="2"/>
  <c r="O55" i="1"/>
  <c r="K478" i="2"/>
  <c r="O35" i="1"/>
  <c r="Y526" i="2"/>
  <c r="U527" i="2" s="1"/>
  <c r="W527" i="2" s="1"/>
  <c r="Y527" i="2" s="1"/>
  <c r="G522" i="2"/>
  <c r="O27" i="1"/>
  <c r="G64" i="1"/>
  <c r="M108" i="1"/>
  <c r="C118" i="2"/>
  <c r="K523" i="2"/>
  <c r="G725" i="2"/>
  <c r="K553" i="2"/>
  <c r="O68" i="1"/>
  <c r="O66" i="1"/>
  <c r="I71" i="2"/>
  <c r="R165" i="2"/>
  <c r="C163" i="2" s="1"/>
  <c r="I159" i="2" s="1"/>
  <c r="K538" i="2"/>
  <c r="O42" i="1"/>
  <c r="E28" i="1"/>
  <c r="E67" i="1"/>
  <c r="C17" i="2"/>
  <c r="O33" i="1"/>
  <c r="E43" i="1"/>
  <c r="G44" i="1"/>
  <c r="C133" i="2"/>
  <c r="I129" i="2" s="1"/>
  <c r="K297" i="2"/>
  <c r="O56" i="1"/>
  <c r="R376" i="2"/>
  <c r="C374" i="2" s="1"/>
  <c r="I370" i="2" s="1"/>
  <c r="I400" i="2"/>
  <c r="C343" i="2"/>
  <c r="I339" i="2" s="1"/>
  <c r="I566" i="2"/>
  <c r="C725" i="2"/>
  <c r="I721" i="2" s="1"/>
  <c r="I596" i="2"/>
  <c r="I628" i="2"/>
  <c r="I51" i="1"/>
  <c r="O54" i="1"/>
  <c r="C694" i="2"/>
  <c r="I690" i="2" s="1"/>
  <c r="C805" i="2"/>
  <c r="I801" i="2" s="1"/>
  <c r="I644" i="2"/>
  <c r="I659" i="2"/>
  <c r="C389" i="2"/>
  <c r="I385" i="2" s="1"/>
  <c r="F83" i="1"/>
  <c r="I817" i="2"/>
  <c r="O14" i="1"/>
  <c r="O62" i="1"/>
  <c r="O86" i="1"/>
  <c r="O45" i="1"/>
  <c r="G72" i="1"/>
  <c r="U680" i="2"/>
  <c r="O40" i="1"/>
  <c r="O53" i="1"/>
  <c r="K403" i="2"/>
  <c r="K463" i="2"/>
  <c r="I490" i="2"/>
  <c r="K508" i="2"/>
  <c r="K772" i="2"/>
  <c r="I65" i="1"/>
  <c r="F68" i="1"/>
  <c r="O84" i="1"/>
  <c r="I769" i="2"/>
  <c r="O71" i="1"/>
  <c r="I415" i="2"/>
  <c r="I520" i="2"/>
  <c r="F14" i="1"/>
  <c r="O72" i="1"/>
  <c r="I505" i="2"/>
  <c r="K708" i="2"/>
  <c r="R15" i="3"/>
  <c r="W104" i="2"/>
  <c r="W164" i="2"/>
  <c r="W149" i="2"/>
  <c r="W44" i="2"/>
  <c r="W59" i="2"/>
  <c r="W89" i="2"/>
  <c r="W119" i="2"/>
  <c r="K85" i="2"/>
  <c r="E79" i="1"/>
  <c r="W269" i="2"/>
  <c r="W254" i="2"/>
  <c r="W284" i="2"/>
  <c r="W299" i="2"/>
  <c r="W450" i="2"/>
  <c r="G28" i="2"/>
  <c r="W29" i="2"/>
  <c r="J15" i="1"/>
  <c r="W179" i="2"/>
  <c r="Y239" i="2"/>
  <c r="W134" i="2"/>
  <c r="Y14" i="2"/>
  <c r="W194" i="2"/>
  <c r="K192" i="2"/>
  <c r="O87" i="1"/>
  <c r="K20" i="1"/>
  <c r="K32" i="2"/>
  <c r="K100" i="2"/>
  <c r="E18" i="1"/>
  <c r="W329" i="2"/>
  <c r="W806" i="2"/>
  <c r="K13" i="2"/>
  <c r="W465" i="2"/>
  <c r="W344" i="2"/>
  <c r="W838" i="2"/>
  <c r="R255" i="2"/>
  <c r="R256" i="2" s="1"/>
  <c r="R257" i="2" s="1"/>
  <c r="R258" i="2" s="1"/>
  <c r="R259" i="2" s="1"/>
  <c r="R260" i="2" s="1"/>
  <c r="W405" i="2"/>
  <c r="W664" i="2"/>
  <c r="W601" i="2"/>
  <c r="O47" i="1"/>
  <c r="W359" i="2"/>
  <c r="W390" i="2"/>
  <c r="W480" i="2"/>
  <c r="W314" i="2"/>
  <c r="W510" i="2"/>
  <c r="W711" i="2"/>
  <c r="R285" i="2"/>
  <c r="R286" i="2" s="1"/>
  <c r="R287" i="2" s="1"/>
  <c r="R288" i="2" s="1"/>
  <c r="R289" i="2" s="1"/>
  <c r="R290" i="2" s="1"/>
  <c r="E15" i="1"/>
  <c r="W420" i="2"/>
  <c r="K72" i="2"/>
  <c r="W435" i="2"/>
  <c r="K115" i="2"/>
  <c r="K190" i="2"/>
  <c r="Y495" i="2"/>
  <c r="N65" i="1"/>
  <c r="P65" i="1"/>
  <c r="W540" i="2"/>
  <c r="W555" i="2"/>
  <c r="W571" i="2"/>
  <c r="K265" i="2"/>
  <c r="K446" i="2"/>
  <c r="K310" i="2"/>
  <c r="K476" i="2"/>
  <c r="K506" i="2"/>
  <c r="W774" i="2"/>
  <c r="W790" i="2"/>
  <c r="J68" i="1"/>
  <c r="W822" i="2"/>
  <c r="Y649" i="2"/>
  <c r="W695" i="2"/>
  <c r="W758" i="2"/>
  <c r="K629" i="2"/>
  <c r="Y586" i="2"/>
  <c r="R13" i="3"/>
  <c r="K581" i="2" l="1"/>
  <c r="M99" i="1"/>
  <c r="E37" i="1"/>
  <c r="J34" i="1"/>
  <c r="I45" i="1"/>
  <c r="I79" i="1"/>
  <c r="I87" i="1"/>
  <c r="J47" i="1"/>
  <c r="J44" i="1"/>
  <c r="J67" i="1"/>
  <c r="J26" i="1"/>
  <c r="J87" i="1"/>
  <c r="I29" i="1"/>
  <c r="N92" i="1"/>
  <c r="I68" i="1"/>
  <c r="J41" i="1"/>
  <c r="J35" i="1"/>
  <c r="K566" i="2"/>
  <c r="K568" i="2" s="1"/>
  <c r="K72" i="1" s="1"/>
  <c r="I27" i="1"/>
  <c r="J61" i="1"/>
  <c r="J18" i="1"/>
  <c r="K174" i="2"/>
  <c r="K176" i="2" s="1"/>
  <c r="K178" i="2" s="1"/>
  <c r="I36" i="1"/>
  <c r="K817" i="2"/>
  <c r="K819" i="2" s="1"/>
  <c r="K821" i="2" s="1"/>
  <c r="P69" i="1"/>
  <c r="I82" i="1"/>
  <c r="K354" i="2"/>
  <c r="K356" i="2" s="1"/>
  <c r="K55" i="1" s="1"/>
  <c r="I33" i="1"/>
  <c r="J85" i="1"/>
  <c r="J40" i="1"/>
  <c r="I18" i="1"/>
  <c r="K460" i="2"/>
  <c r="K462" i="2" s="1"/>
  <c r="K464" i="2" s="1"/>
  <c r="I26" i="1"/>
  <c r="J88" i="1"/>
  <c r="J16" i="1"/>
  <c r="J45" i="1"/>
  <c r="J29" i="1"/>
  <c r="J43" i="1"/>
  <c r="J28" i="1"/>
  <c r="J63" i="1"/>
  <c r="I14" i="1"/>
  <c r="P16" i="1"/>
  <c r="K204" i="2"/>
  <c r="K206" i="2" s="1"/>
  <c r="K47" i="1" s="1"/>
  <c r="J86" i="1"/>
  <c r="J84" i="1"/>
  <c r="J62" i="1"/>
  <c r="J14" i="1"/>
  <c r="I46" i="1"/>
  <c r="I42" i="1"/>
  <c r="J79" i="1"/>
  <c r="I86" i="1"/>
  <c r="I63" i="1"/>
  <c r="I41" i="1"/>
  <c r="N69" i="1"/>
  <c r="I35" i="1"/>
  <c r="I88" i="1"/>
  <c r="K583" i="2"/>
  <c r="K585" i="2" s="1"/>
  <c r="J56" i="1"/>
  <c r="I92" i="1"/>
  <c r="K644" i="2"/>
  <c r="K646" i="2" s="1"/>
  <c r="K60" i="1" s="1"/>
  <c r="K234" i="2"/>
  <c r="K236" i="2" s="1"/>
  <c r="J46" i="1"/>
  <c r="J36" i="1"/>
  <c r="L20" i="1"/>
  <c r="I81" i="1"/>
  <c r="K721" i="2"/>
  <c r="K723" i="2" s="1"/>
  <c r="K725" i="2" s="1"/>
  <c r="I40" i="1"/>
  <c r="I22" i="1"/>
  <c r="I15" i="1"/>
  <c r="K674" i="2"/>
  <c r="K785" i="2"/>
  <c r="K787" i="2" s="1"/>
  <c r="K789" i="2" s="1"/>
  <c r="J27" i="1"/>
  <c r="J42" i="1"/>
  <c r="I55" i="1"/>
  <c r="I34" i="1"/>
  <c r="I114" i="2"/>
  <c r="I53" i="1"/>
  <c r="J52" i="1"/>
  <c r="I52" i="1"/>
  <c r="K294" i="2"/>
  <c r="K296" i="2" s="1"/>
  <c r="K54" i="1"/>
  <c r="J50" i="1"/>
  <c r="I50" i="1"/>
  <c r="R270" i="2"/>
  <c r="I56" i="1"/>
  <c r="K144" i="2"/>
  <c r="K146" i="2" s="1"/>
  <c r="K612" i="2"/>
  <c r="K614" i="2" s="1"/>
  <c r="K833" i="2"/>
  <c r="K835" i="2" s="1"/>
  <c r="I80" i="1"/>
  <c r="K475" i="2"/>
  <c r="K477" i="2" s="1"/>
  <c r="E76" i="1"/>
  <c r="K15" i="2"/>
  <c r="E57" i="1"/>
  <c r="C283" i="2"/>
  <c r="I279" i="2" s="1"/>
  <c r="I43" i="1"/>
  <c r="K84" i="2"/>
  <c r="K86" i="2" s="1"/>
  <c r="K58" i="2"/>
  <c r="K60" i="2" s="1"/>
  <c r="E30" i="1"/>
  <c r="K415" i="2"/>
  <c r="K417" i="2" s="1"/>
  <c r="I47" i="1"/>
  <c r="E48" i="1"/>
  <c r="G524" i="2"/>
  <c r="I83" i="1"/>
  <c r="K596" i="2"/>
  <c r="K598" i="2" s="1"/>
  <c r="I60" i="1"/>
  <c r="K309" i="2"/>
  <c r="K311" i="2" s="1"/>
  <c r="K71" i="2"/>
  <c r="K73" i="2" s="1"/>
  <c r="K43" i="2"/>
  <c r="K45" i="2" s="1"/>
  <c r="I89" i="1"/>
  <c r="K445" i="2"/>
  <c r="K447" i="2" s="1"/>
  <c r="K628" i="2"/>
  <c r="K630" i="2" s="1"/>
  <c r="K189" i="2"/>
  <c r="K191" i="2" s="1"/>
  <c r="K659" i="2"/>
  <c r="K661" i="2" s="1"/>
  <c r="K324" i="2"/>
  <c r="K326" i="2" s="1"/>
  <c r="K400" i="2"/>
  <c r="K402" i="2" s="1"/>
  <c r="K99" i="2"/>
  <c r="K101" i="2" s="1"/>
  <c r="U210" i="2"/>
  <c r="K505" i="2"/>
  <c r="K507" i="2" s="1"/>
  <c r="K535" i="2"/>
  <c r="K537" i="2" s="1"/>
  <c r="U496" i="2"/>
  <c r="U376" i="2"/>
  <c r="I72" i="1"/>
  <c r="I64" i="1"/>
  <c r="K690" i="2"/>
  <c r="K692" i="2" s="1"/>
  <c r="I74" i="1"/>
  <c r="K801" i="2"/>
  <c r="K803" i="2" s="1"/>
  <c r="I75" i="1"/>
  <c r="K64" i="1"/>
  <c r="K430" i="2"/>
  <c r="K432" i="2" s="1"/>
  <c r="I28" i="1"/>
  <c r="K129" i="2"/>
  <c r="K131" i="2" s="1"/>
  <c r="K339" i="2"/>
  <c r="K341" i="2" s="1"/>
  <c r="I69" i="1"/>
  <c r="K550" i="2"/>
  <c r="K552" i="2" s="1"/>
  <c r="K490" i="2"/>
  <c r="K492" i="2" s="1"/>
  <c r="K494" i="2" s="1"/>
  <c r="E23" i="1"/>
  <c r="C253" i="2"/>
  <c r="I249" i="2" s="1"/>
  <c r="K159" i="2"/>
  <c r="K161" i="2" s="1"/>
  <c r="W680" i="2"/>
  <c r="K769" i="2"/>
  <c r="K771" i="2" s="1"/>
  <c r="I108" i="1"/>
  <c r="U15" i="2"/>
  <c r="I71" i="1"/>
  <c r="K520" i="2"/>
  <c r="K522" i="2" s="1"/>
  <c r="K757" i="2"/>
  <c r="K82" i="1"/>
  <c r="K710" i="2"/>
  <c r="K51" i="1"/>
  <c r="O99" i="1"/>
  <c r="Y179" i="2"/>
  <c r="Y284" i="2"/>
  <c r="Y269" i="2"/>
  <c r="Y89" i="2"/>
  <c r="Y405" i="2"/>
  <c r="Y149" i="2"/>
  <c r="Y465" i="2"/>
  <c r="Y194" i="2"/>
  <c r="Y44" i="2"/>
  <c r="Y359" i="2"/>
  <c r="U587" i="2"/>
  <c r="Y435" i="2"/>
  <c r="K16" i="1"/>
  <c r="Y134" i="2"/>
  <c r="Y450" i="2"/>
  <c r="Y74" i="2"/>
  <c r="Y758" i="2"/>
  <c r="K370" i="2"/>
  <c r="K372" i="2" s="1"/>
  <c r="I85" i="1"/>
  <c r="Y314" i="2"/>
  <c r="Y119" i="2"/>
  <c r="Y822" i="2"/>
  <c r="Y695" i="2"/>
  <c r="Y571" i="2"/>
  <c r="Y164" i="2"/>
  <c r="Y540" i="2"/>
  <c r="K358" i="2"/>
  <c r="Y790" i="2"/>
  <c r="K385" i="2"/>
  <c r="K387" i="2" s="1"/>
  <c r="Y420" i="2"/>
  <c r="Y711" i="2"/>
  <c r="Y480" i="2"/>
  <c r="Y601" i="2"/>
  <c r="Y838" i="2"/>
  <c r="U839" i="2" s="1"/>
  <c r="Y806" i="2"/>
  <c r="Y299" i="2"/>
  <c r="Y59" i="2"/>
  <c r="Y774" i="2"/>
  <c r="G30" i="2"/>
  <c r="Y29" i="2"/>
  <c r="G32" i="2" s="1"/>
  <c r="U650" i="2"/>
  <c r="Y617" i="2"/>
  <c r="Y555" i="2"/>
  <c r="Y510" i="2"/>
  <c r="Y390" i="2"/>
  <c r="Y664" i="2"/>
  <c r="Y344" i="2"/>
  <c r="Y329" i="2"/>
  <c r="U240" i="2"/>
  <c r="U1" i="2"/>
  <c r="K43" i="1"/>
  <c r="Y254" i="2"/>
  <c r="Y104" i="2"/>
  <c r="K208" i="2" l="1"/>
  <c r="K570" i="2"/>
  <c r="J48" i="1"/>
  <c r="J37" i="1"/>
  <c r="J76" i="1"/>
  <c r="J97" i="1"/>
  <c r="J57" i="1"/>
  <c r="J23" i="1"/>
  <c r="Q34" i="1"/>
  <c r="Q83" i="1"/>
  <c r="E80" i="1"/>
  <c r="E97" i="1" s="1"/>
  <c r="E99" i="1" s="1"/>
  <c r="Q66" i="1"/>
  <c r="Q72" i="1"/>
  <c r="P92" i="1"/>
  <c r="I67" i="1"/>
  <c r="K45" i="1"/>
  <c r="K69" i="1"/>
  <c r="K434" i="2"/>
  <c r="K148" i="2"/>
  <c r="K44" i="1"/>
  <c r="Q47" i="1"/>
  <c r="K298" i="2"/>
  <c r="Q56" i="1" s="1"/>
  <c r="K108" i="1"/>
  <c r="K676" i="2"/>
  <c r="K80" i="1" s="1"/>
  <c r="K238" i="2"/>
  <c r="K29" i="1"/>
  <c r="I84" i="1"/>
  <c r="K41" i="1"/>
  <c r="Q69" i="1"/>
  <c r="K47" i="2"/>
  <c r="K68" i="1"/>
  <c r="K419" i="2"/>
  <c r="K17" i="2"/>
  <c r="Q16" i="1" s="1"/>
  <c r="K163" i="2"/>
  <c r="P20" i="1"/>
  <c r="K648" i="2"/>
  <c r="X3" i="2"/>
  <c r="K539" i="2"/>
  <c r="K663" i="2"/>
  <c r="K15" i="1"/>
  <c r="K479" i="2"/>
  <c r="K66" i="1"/>
  <c r="K34" i="1"/>
  <c r="N20" i="1"/>
  <c r="K83" i="1"/>
  <c r="I62" i="1"/>
  <c r="K600" i="2"/>
  <c r="J30" i="1"/>
  <c r="K88" i="1"/>
  <c r="K524" i="2"/>
  <c r="K92" i="1"/>
  <c r="Q43" i="1"/>
  <c r="K22" i="1"/>
  <c r="K114" i="2"/>
  <c r="K116" i="2" s="1"/>
  <c r="K328" i="2"/>
  <c r="K56" i="1"/>
  <c r="K343" i="2"/>
  <c r="Q51" i="1"/>
  <c r="Q55" i="1"/>
  <c r="Q82" i="1"/>
  <c r="K837" i="2"/>
  <c r="K89" i="1"/>
  <c r="R271" i="2"/>
  <c r="R272" i="2" s="1"/>
  <c r="R273" i="2" s="1"/>
  <c r="R274" i="2" s="1"/>
  <c r="C268" i="2"/>
  <c r="I264" i="2" s="1"/>
  <c r="K616" i="2"/>
  <c r="K404" i="2"/>
  <c r="U712" i="2"/>
  <c r="K279" i="2"/>
  <c r="K281" i="2" s="1"/>
  <c r="K62" i="2"/>
  <c r="K27" i="1"/>
  <c r="K63" i="1"/>
  <c r="K81" i="1"/>
  <c r="K53" i="1"/>
  <c r="K50" i="1"/>
  <c r="K133" i="2"/>
  <c r="U120" i="2"/>
  <c r="U255" i="2"/>
  <c r="K42" i="1"/>
  <c r="W376" i="2"/>
  <c r="G370" i="2"/>
  <c r="U165" i="2"/>
  <c r="U195" i="2"/>
  <c r="K40" i="1"/>
  <c r="W496" i="2"/>
  <c r="G490" i="2"/>
  <c r="U511" i="2"/>
  <c r="U150" i="2"/>
  <c r="U345" i="2"/>
  <c r="W587" i="2"/>
  <c r="G581" i="2"/>
  <c r="U45" i="2"/>
  <c r="K75" i="1"/>
  <c r="K805" i="2"/>
  <c r="U759" i="2"/>
  <c r="U436" i="2"/>
  <c r="U180" i="2"/>
  <c r="K249" i="2"/>
  <c r="K251" i="2" s="1"/>
  <c r="K694" i="2"/>
  <c r="K74" i="1"/>
  <c r="U105" i="2"/>
  <c r="W240" i="2"/>
  <c r="G234" i="2"/>
  <c r="U300" i="2"/>
  <c r="U75" i="2"/>
  <c r="K33" i="1"/>
  <c r="U330" i="2"/>
  <c r="U270" i="2"/>
  <c r="U541" i="2"/>
  <c r="K35" i="1"/>
  <c r="U285" i="2"/>
  <c r="W210" i="2"/>
  <c r="G204" i="2"/>
  <c r="K28" i="1"/>
  <c r="U466" i="2"/>
  <c r="U391" i="2"/>
  <c r="K71" i="1"/>
  <c r="K773" i="2"/>
  <c r="K554" i="2"/>
  <c r="Q44" i="1"/>
  <c r="Y680" i="2"/>
  <c r="U451" i="2"/>
  <c r="U421" i="2"/>
  <c r="U360" i="2"/>
  <c r="Q65" i="1"/>
  <c r="K65" i="1"/>
  <c r="U665" i="2"/>
  <c r="U618" i="2"/>
  <c r="W15" i="2"/>
  <c r="U696" i="2"/>
  <c r="U315" i="2"/>
  <c r="U406" i="2"/>
  <c r="U775" i="2"/>
  <c r="U481" i="2"/>
  <c r="U556" i="2"/>
  <c r="W650" i="2"/>
  <c r="K313" i="2"/>
  <c r="K52" i="1"/>
  <c r="U791" i="2"/>
  <c r="K87" i="1"/>
  <c r="K193" i="2"/>
  <c r="K103" i="2"/>
  <c r="K18" i="1"/>
  <c r="U90" i="2"/>
  <c r="K449" i="2"/>
  <c r="K26" i="1"/>
  <c r="U807" i="2"/>
  <c r="K509" i="2"/>
  <c r="K36" i="1"/>
  <c r="K389" i="2"/>
  <c r="K86" i="1"/>
  <c r="U60" i="2"/>
  <c r="U823" i="2"/>
  <c r="U572" i="2"/>
  <c r="K374" i="2"/>
  <c r="K85" i="1"/>
  <c r="K632" i="2"/>
  <c r="K46" i="1"/>
  <c r="U602" i="2"/>
  <c r="U135" i="2"/>
  <c r="K88" i="2"/>
  <c r="K79" i="1"/>
  <c r="K75" i="2"/>
  <c r="K14" i="1"/>
  <c r="J99" i="1" l="1"/>
  <c r="Q68" i="1"/>
  <c r="Q60" i="1"/>
  <c r="L64" i="1"/>
  <c r="Q75" i="1"/>
  <c r="L33" i="1"/>
  <c r="Q15" i="1"/>
  <c r="Q89" i="1"/>
  <c r="Q88" i="1"/>
  <c r="Q87" i="1"/>
  <c r="Q85" i="1"/>
  <c r="Q26" i="1"/>
  <c r="K118" i="2"/>
  <c r="Q40" i="1"/>
  <c r="Q22" i="1"/>
  <c r="Q28" i="1"/>
  <c r="Q36" i="1"/>
  <c r="Q79" i="1"/>
  <c r="K283" i="2"/>
  <c r="Q74" i="1"/>
  <c r="L44" i="1"/>
  <c r="Q29" i="1"/>
  <c r="Q42" i="1"/>
  <c r="Q92" i="1"/>
  <c r="Q81" i="1"/>
  <c r="L47" i="1"/>
  <c r="Q33" i="1"/>
  <c r="K62" i="1"/>
  <c r="Q45" i="1"/>
  <c r="Q64" i="1"/>
  <c r="Q27" i="1"/>
  <c r="Q108" i="1"/>
  <c r="D108" i="1" s="1"/>
  <c r="Q46" i="1"/>
  <c r="Q86" i="1"/>
  <c r="Q18" i="1"/>
  <c r="L85" i="1"/>
  <c r="Q63" i="1"/>
  <c r="Q35" i="1"/>
  <c r="K678" i="2"/>
  <c r="Q14" i="1"/>
  <c r="I61" i="1"/>
  <c r="K84" i="1"/>
  <c r="K97" i="1" s="1"/>
  <c r="K264" i="2"/>
  <c r="K266" i="2" s="1"/>
  <c r="K67" i="1"/>
  <c r="K253" i="2"/>
  <c r="Q53" i="1"/>
  <c r="Q52" i="1"/>
  <c r="D52" i="1" s="1"/>
  <c r="Q50" i="1"/>
  <c r="W712" i="2"/>
  <c r="G706" i="2"/>
  <c r="K57" i="1"/>
  <c r="Q41" i="1"/>
  <c r="K30" i="1"/>
  <c r="K48" i="1"/>
  <c r="Q71" i="1"/>
  <c r="W511" i="2"/>
  <c r="G505" i="2"/>
  <c r="W105" i="2"/>
  <c r="G99" i="2"/>
  <c r="Y587" i="2"/>
  <c r="G583" i="2"/>
  <c r="W60" i="2"/>
  <c r="Y60" i="2" s="1"/>
  <c r="G58" i="2"/>
  <c r="W150" i="2"/>
  <c r="G144" i="2"/>
  <c r="W255" i="2"/>
  <c r="G249" i="2"/>
  <c r="K37" i="1"/>
  <c r="W270" i="2"/>
  <c r="G264" i="2"/>
  <c r="W300" i="2"/>
  <c r="G294" i="2"/>
  <c r="W195" i="2"/>
  <c r="G189" i="2"/>
  <c r="W285" i="2"/>
  <c r="G279" i="2"/>
  <c r="Y240" i="2"/>
  <c r="G236" i="2"/>
  <c r="W436" i="2"/>
  <c r="G430" i="2"/>
  <c r="W391" i="2"/>
  <c r="G385" i="2"/>
  <c r="W90" i="2"/>
  <c r="G84" i="2"/>
  <c r="W345" i="2"/>
  <c r="G339" i="2"/>
  <c r="W572" i="2"/>
  <c r="G566" i="2"/>
  <c r="W180" i="2"/>
  <c r="G174" i="2"/>
  <c r="W45" i="2"/>
  <c r="G43" i="2"/>
  <c r="W120" i="2"/>
  <c r="G114" i="2"/>
  <c r="W759" i="2"/>
  <c r="G753" i="2"/>
  <c r="Y376" i="2"/>
  <c r="G372" i="2"/>
  <c r="W466" i="2"/>
  <c r="G460" i="2"/>
  <c r="W541" i="2"/>
  <c r="G535" i="2"/>
  <c r="W75" i="2"/>
  <c r="Y496" i="2"/>
  <c r="G492" i="2"/>
  <c r="W135" i="2"/>
  <c r="G129" i="2"/>
  <c r="Y210" i="2"/>
  <c r="G208" i="2" s="1"/>
  <c r="G206" i="2"/>
  <c r="W330" i="2"/>
  <c r="G324" i="2"/>
  <c r="W165" i="2"/>
  <c r="G159" i="2"/>
  <c r="K23" i="1"/>
  <c r="U681" i="2"/>
  <c r="W315" i="2"/>
  <c r="G309" i="2"/>
  <c r="W665" i="2"/>
  <c r="W421" i="2"/>
  <c r="W696" i="2"/>
  <c r="W481" i="2"/>
  <c r="W823" i="2"/>
  <c r="G817" i="2"/>
  <c r="Y650" i="2"/>
  <c r="W791" i="2"/>
  <c r="G785" i="2"/>
  <c r="W556" i="2"/>
  <c r="G550" i="2"/>
  <c r="Y15" i="2"/>
  <c r="W451" i="2"/>
  <c r="W775" i="2"/>
  <c r="W602" i="2"/>
  <c r="W839" i="2"/>
  <c r="G833" i="2"/>
  <c r="W807" i="2"/>
  <c r="G801" i="2"/>
  <c r="W406" i="2"/>
  <c r="W618" i="2"/>
  <c r="G612" i="2"/>
  <c r="W360" i="2"/>
  <c r="S39" i="1" l="1"/>
  <c r="Q30" i="1"/>
  <c r="P6" i="3" s="1"/>
  <c r="Q23" i="1"/>
  <c r="E116" i="1" s="1"/>
  <c r="Q37" i="1"/>
  <c r="L88" i="1"/>
  <c r="L89" i="1"/>
  <c r="L28" i="1"/>
  <c r="L15" i="1"/>
  <c r="L42" i="1"/>
  <c r="L84" i="1"/>
  <c r="L50" i="1"/>
  <c r="N64" i="1"/>
  <c r="L61" i="1"/>
  <c r="E123" i="1"/>
  <c r="L36" i="1"/>
  <c r="L72" i="1"/>
  <c r="N47" i="1"/>
  <c r="P47" i="1"/>
  <c r="N44" i="1"/>
  <c r="N33" i="1"/>
  <c r="K268" i="2"/>
  <c r="Y4" i="2" s="1"/>
  <c r="L53" i="1"/>
  <c r="L51" i="1"/>
  <c r="L52" i="1"/>
  <c r="L34" i="1"/>
  <c r="L22" i="1"/>
  <c r="L79" i="1"/>
  <c r="L67" i="1"/>
  <c r="Q67" i="1"/>
  <c r="T72" i="1" s="1"/>
  <c r="L66" i="1"/>
  <c r="L56" i="1"/>
  <c r="L45" i="1"/>
  <c r="L83" i="1"/>
  <c r="L41" i="1"/>
  <c r="L62" i="1"/>
  <c r="L18" i="1"/>
  <c r="S18" i="1"/>
  <c r="Q62" i="1"/>
  <c r="Q80" i="1"/>
  <c r="L82" i="1"/>
  <c r="Q84" i="1"/>
  <c r="AB132" i="2"/>
  <c r="T54" i="1"/>
  <c r="L75" i="1"/>
  <c r="L68" i="1"/>
  <c r="L40" i="1"/>
  <c r="N85" i="1"/>
  <c r="L43" i="1"/>
  <c r="L86" i="1"/>
  <c r="L87" i="1"/>
  <c r="T18" i="1"/>
  <c r="R1" i="2"/>
  <c r="U16" i="2"/>
  <c r="W681" i="2"/>
  <c r="G674" i="2"/>
  <c r="K61" i="1"/>
  <c r="K76" i="1" s="1"/>
  <c r="S56" i="1"/>
  <c r="Q57" i="1"/>
  <c r="E120" i="1" s="1"/>
  <c r="Q48" i="1"/>
  <c r="P8" i="3" s="1"/>
  <c r="R8" i="3" s="1"/>
  <c r="L54" i="1"/>
  <c r="E117" i="1"/>
  <c r="S27" i="1"/>
  <c r="Y712" i="2"/>
  <c r="G710" i="2" s="1"/>
  <c r="G708" i="2"/>
  <c r="Y541" i="2"/>
  <c r="G539" i="2" s="1"/>
  <c r="G537" i="2"/>
  <c r="Y120" i="2"/>
  <c r="G118" i="2" s="1"/>
  <c r="G116" i="2"/>
  <c r="Y436" i="2"/>
  <c r="G434" i="2" s="1"/>
  <c r="G432" i="2"/>
  <c r="Y165" i="2"/>
  <c r="G163" i="2" s="1"/>
  <c r="G161" i="2"/>
  <c r="Y135" i="2"/>
  <c r="G131" i="2"/>
  <c r="Y466" i="2"/>
  <c r="G464" i="2" s="1"/>
  <c r="G462" i="2"/>
  <c r="Y345" i="2"/>
  <c r="G343" i="2" s="1"/>
  <c r="G341" i="2"/>
  <c r="U241" i="2"/>
  <c r="W241" i="2" s="1"/>
  <c r="Y241" i="2" s="1"/>
  <c r="U242" i="2" s="1"/>
  <c r="W242" i="2" s="1"/>
  <c r="Y242" i="2" s="1"/>
  <c r="U243" i="2" s="1"/>
  <c r="W243" i="2" s="1"/>
  <c r="Y243" i="2" s="1"/>
  <c r="U244" i="2" s="1"/>
  <c r="W244" i="2" s="1"/>
  <c r="Y244" i="2" s="1"/>
  <c r="U245" i="2" s="1"/>
  <c r="W245" i="2" s="1"/>
  <c r="Y245" i="2" s="1"/>
  <c r="G238" i="2"/>
  <c r="Y270" i="2"/>
  <c r="G266" i="2"/>
  <c r="G60" i="2"/>
  <c r="W588" i="2"/>
  <c r="Y588" i="2" s="1"/>
  <c r="U589" i="2" s="1"/>
  <c r="W589" i="2" s="1"/>
  <c r="Y589" i="2" s="1"/>
  <c r="U590" i="2" s="1"/>
  <c r="W590" i="2" s="1"/>
  <c r="Y590" i="2" s="1"/>
  <c r="U591" i="2" s="1"/>
  <c r="W591" i="2" s="1"/>
  <c r="Y591" i="2" s="1"/>
  <c r="G585" i="2"/>
  <c r="Y330" i="2"/>
  <c r="G328" i="2" s="1"/>
  <c r="G326" i="2"/>
  <c r="W377" i="2"/>
  <c r="Y377" i="2" s="1"/>
  <c r="W378" i="2" s="1"/>
  <c r="Y378" i="2" s="1"/>
  <c r="W379" i="2" s="1"/>
  <c r="Y379" i="2" s="1"/>
  <c r="W380" i="2" s="1"/>
  <c r="Y380" i="2" s="1"/>
  <c r="W381" i="2" s="1"/>
  <c r="Y381" i="2" s="1"/>
  <c r="G374" i="2"/>
  <c r="Y90" i="2"/>
  <c r="G86" i="2"/>
  <c r="Y285" i="2"/>
  <c r="G283" i="2" s="1"/>
  <c r="G281" i="2"/>
  <c r="Y255" i="2"/>
  <c r="G253" i="2" s="1"/>
  <c r="G251" i="2"/>
  <c r="Y105" i="2"/>
  <c r="G103" i="2" s="1"/>
  <c r="G101" i="2"/>
  <c r="Y75" i="2"/>
  <c r="Y759" i="2"/>
  <c r="G755" i="2"/>
  <c r="Y180" i="2"/>
  <c r="G178" i="2" s="1"/>
  <c r="G176" i="2"/>
  <c r="Y391" i="2"/>
  <c r="G387" i="2"/>
  <c r="Y195" i="2"/>
  <c r="G191" i="2"/>
  <c r="Y572" i="2"/>
  <c r="G568" i="2"/>
  <c r="Y300" i="2"/>
  <c r="G298" i="2" s="1"/>
  <c r="G296" i="2"/>
  <c r="W497" i="2"/>
  <c r="Y497" i="2" s="1"/>
  <c r="W498" i="2" s="1"/>
  <c r="Y498" i="2" s="1"/>
  <c r="W499" i="2" s="1"/>
  <c r="Y499" i="2" s="1"/>
  <c r="W500" i="2" s="1"/>
  <c r="Y500" i="2" s="1"/>
  <c r="W501" i="2" s="1"/>
  <c r="Y501" i="2" s="1"/>
  <c r="G494" i="2"/>
  <c r="Y45" i="2"/>
  <c r="G47" i="2" s="1"/>
  <c r="G45" i="2"/>
  <c r="Y150" i="2"/>
  <c r="G148" i="2" s="1"/>
  <c r="G146" i="2"/>
  <c r="Y511" i="2"/>
  <c r="G509" i="2" s="1"/>
  <c r="G507" i="2"/>
  <c r="W61" i="2"/>
  <c r="Y61" i="2" s="1"/>
  <c r="G62" i="2"/>
  <c r="Y556" i="2"/>
  <c r="G552" i="2"/>
  <c r="Y406" i="2"/>
  <c r="Y823" i="2"/>
  <c r="G821" i="2" s="1"/>
  <c r="G819" i="2"/>
  <c r="Y696" i="2"/>
  <c r="Y451" i="2"/>
  <c r="Y791" i="2"/>
  <c r="G789" i="2" s="1"/>
  <c r="G787" i="2"/>
  <c r="Y360" i="2"/>
  <c r="Y839" i="2"/>
  <c r="G837" i="2" s="1"/>
  <c r="G835" i="2"/>
  <c r="Y665" i="2"/>
  <c r="Y807" i="2"/>
  <c r="G805" i="2" s="1"/>
  <c r="G803" i="2"/>
  <c r="Y775" i="2"/>
  <c r="Y421" i="2"/>
  <c r="Y618" i="2"/>
  <c r="G614" i="2"/>
  <c r="Y602" i="2"/>
  <c r="U651" i="2"/>
  <c r="Y481" i="2"/>
  <c r="Y315" i="2"/>
  <c r="G311" i="2"/>
  <c r="R6" i="3"/>
  <c r="S31" i="1" l="1"/>
  <c r="D16" i="1"/>
  <c r="E118" i="1"/>
  <c r="Q97" i="1"/>
  <c r="E122" i="1" s="1"/>
  <c r="P84" i="1"/>
  <c r="N87" i="1"/>
  <c r="N61" i="1"/>
  <c r="N41" i="1"/>
  <c r="N42" i="1"/>
  <c r="P34" i="1"/>
  <c r="N22" i="1"/>
  <c r="N52" i="1"/>
  <c r="P66" i="1"/>
  <c r="P15" i="1"/>
  <c r="P22" i="1"/>
  <c r="N18" i="1"/>
  <c r="P85" i="1"/>
  <c r="P42" i="1"/>
  <c r="N68" i="1"/>
  <c r="N15" i="1"/>
  <c r="P18" i="1"/>
  <c r="P64" i="1"/>
  <c r="N62" i="1"/>
  <c r="N53" i="1"/>
  <c r="P40" i="1"/>
  <c r="N51" i="1"/>
  <c r="Q61" i="1"/>
  <c r="Q76" i="1" s="1"/>
  <c r="N40" i="1"/>
  <c r="P75" i="1"/>
  <c r="N83" i="1"/>
  <c r="P36" i="1"/>
  <c r="N56" i="1"/>
  <c r="P62" i="1"/>
  <c r="P53" i="1"/>
  <c r="N50" i="1"/>
  <c r="N28" i="1"/>
  <c r="P51" i="1"/>
  <c r="N66" i="1"/>
  <c r="N75" i="1"/>
  <c r="N86" i="1"/>
  <c r="N36" i="1"/>
  <c r="N89" i="1"/>
  <c r="P83" i="1"/>
  <c r="N88" i="1"/>
  <c r="P56" i="1"/>
  <c r="N67" i="1"/>
  <c r="P44" i="1"/>
  <c r="P50" i="1"/>
  <c r="P28" i="1"/>
  <c r="L80" i="1"/>
  <c r="N79" i="1"/>
  <c r="P33" i="1"/>
  <c r="N45" i="1"/>
  <c r="P89" i="1"/>
  <c r="P88" i="1"/>
  <c r="N72" i="1"/>
  <c r="N82" i="1"/>
  <c r="P67" i="1"/>
  <c r="N34" i="1"/>
  <c r="N84" i="1"/>
  <c r="P43" i="1"/>
  <c r="N43" i="1"/>
  <c r="Y681" i="2"/>
  <c r="G676" i="2"/>
  <c r="U407" i="2"/>
  <c r="U697" i="2"/>
  <c r="W16" i="2"/>
  <c r="G13" i="2"/>
  <c r="W651" i="2"/>
  <c r="G644" i="2"/>
  <c r="U776" i="2"/>
  <c r="U361" i="2"/>
  <c r="E119" i="1"/>
  <c r="N54" i="1"/>
  <c r="P54" i="1"/>
  <c r="U573" i="2"/>
  <c r="W573" i="2" s="1"/>
  <c r="Y573" i="2" s="1"/>
  <c r="U574" i="2" s="1"/>
  <c r="W574" i="2" s="1"/>
  <c r="Y574" i="2" s="1"/>
  <c r="U575" i="2" s="1"/>
  <c r="W575" i="2" s="1"/>
  <c r="Y575" i="2" s="1"/>
  <c r="U576" i="2" s="1"/>
  <c r="W576" i="2" s="1"/>
  <c r="Y576" i="2" s="1"/>
  <c r="U577" i="2" s="1"/>
  <c r="W577" i="2" s="1"/>
  <c r="Y577" i="2" s="1"/>
  <c r="G570" i="2"/>
  <c r="W760" i="2"/>
  <c r="Y760" i="2" s="1"/>
  <c r="W761" i="2" s="1"/>
  <c r="Y761" i="2" s="1"/>
  <c r="W762" i="2" s="1"/>
  <c r="Y762" i="2" s="1"/>
  <c r="U763" i="2" s="1"/>
  <c r="W763" i="2" s="1"/>
  <c r="Y763" i="2" s="1"/>
  <c r="U764" i="2" s="1"/>
  <c r="W764" i="2" s="1"/>
  <c r="Y764" i="2" s="1"/>
  <c r="G757" i="2"/>
  <c r="U76" i="2"/>
  <c r="W392" i="2"/>
  <c r="Y392" i="2" s="1"/>
  <c r="W393" i="2" s="1"/>
  <c r="Y393" i="2" s="1"/>
  <c r="W394" i="2" s="1"/>
  <c r="Y394" i="2" s="1"/>
  <c r="W395" i="2" s="1"/>
  <c r="Y395" i="2" s="1"/>
  <c r="W396" i="2" s="1"/>
  <c r="Y396" i="2" s="1"/>
  <c r="G389" i="2"/>
  <c r="W196" i="2"/>
  <c r="Y196" i="2" s="1"/>
  <c r="W197" i="2" s="1"/>
  <c r="Y197" i="2" s="1"/>
  <c r="W198" i="2" s="1"/>
  <c r="Y198" i="2" s="1"/>
  <c r="W199" i="2" s="1"/>
  <c r="Y199" i="2" s="1"/>
  <c r="W200" i="2" s="1"/>
  <c r="Y200" i="2" s="1"/>
  <c r="G193" i="2"/>
  <c r="U91" i="2"/>
  <c r="W91" i="2" s="1"/>
  <c r="Y91" i="2" s="1"/>
  <c r="U92" i="2" s="1"/>
  <c r="W92" i="2" s="1"/>
  <c r="Y92" i="2" s="1"/>
  <c r="U93" i="2" s="1"/>
  <c r="W93" i="2" s="1"/>
  <c r="Y93" i="2" s="1"/>
  <c r="U94" i="2" s="1"/>
  <c r="W94" i="2" s="1"/>
  <c r="Y94" i="2" s="1"/>
  <c r="U95" i="2" s="1"/>
  <c r="W95" i="2" s="1"/>
  <c r="Y95" i="2" s="1"/>
  <c r="G88" i="2"/>
  <c r="W271" i="2"/>
  <c r="Y271" i="2" s="1"/>
  <c r="W272" i="2" s="1"/>
  <c r="Y272" i="2" s="1"/>
  <c r="W273" i="2" s="1"/>
  <c r="Y273" i="2" s="1"/>
  <c r="W274" i="2" s="1"/>
  <c r="Y274" i="2" s="1"/>
  <c r="W275" i="2" s="1"/>
  <c r="Y275" i="2" s="1"/>
  <c r="G268" i="2"/>
  <c r="U136" i="2"/>
  <c r="W136" i="2" s="1"/>
  <c r="Y136" i="2" s="1"/>
  <c r="G133" i="2"/>
  <c r="W316" i="2"/>
  <c r="Y316" i="2" s="1"/>
  <c r="W317" i="2" s="1"/>
  <c r="Y317" i="2" s="1"/>
  <c r="W318" i="2" s="1"/>
  <c r="Y318" i="2" s="1"/>
  <c r="W319" i="2" s="1"/>
  <c r="Y319" i="2" s="1"/>
  <c r="G313" i="2"/>
  <c r="U666" i="2"/>
  <c r="U482" i="2"/>
  <c r="U452" i="2"/>
  <c r="W619" i="2"/>
  <c r="Y619" i="2" s="1"/>
  <c r="W620" i="2" s="1"/>
  <c r="Y620" i="2" s="1"/>
  <c r="W621" i="2" s="1"/>
  <c r="Y621" i="2" s="1"/>
  <c r="W622" i="2" s="1"/>
  <c r="Y622" i="2" s="1"/>
  <c r="W623" i="2" s="1"/>
  <c r="Y623" i="2" s="1"/>
  <c r="G616" i="2"/>
  <c r="U422" i="2"/>
  <c r="U603" i="2"/>
  <c r="W557" i="2"/>
  <c r="Y557" i="2" s="1"/>
  <c r="W558" i="2" s="1"/>
  <c r="Y558" i="2" s="1"/>
  <c r="W559" i="2" s="1"/>
  <c r="Y559" i="2" s="1"/>
  <c r="W560" i="2" s="1"/>
  <c r="Y560" i="2" s="1"/>
  <c r="W561" i="2" s="1"/>
  <c r="Y561" i="2" s="1"/>
  <c r="G554" i="2"/>
  <c r="P12" i="3" l="1"/>
  <c r="R12" i="3" s="1"/>
  <c r="R16" i="3" s="1"/>
  <c r="Q99" i="1"/>
  <c r="D80" i="1"/>
  <c r="P52" i="1"/>
  <c r="P41" i="1"/>
  <c r="P86" i="1"/>
  <c r="N80" i="1"/>
  <c r="E121" i="1"/>
  <c r="E125" i="1" s="1"/>
  <c r="P87" i="1"/>
  <c r="P61" i="1"/>
  <c r="L60" i="1"/>
  <c r="P45" i="1"/>
  <c r="P82" i="1"/>
  <c r="R76" i="1"/>
  <c r="I113" i="1"/>
  <c r="U76" i="1"/>
  <c r="P79" i="1"/>
  <c r="P68" i="1"/>
  <c r="P72" i="1"/>
  <c r="Y16" i="2"/>
  <c r="G17" i="2" s="1"/>
  <c r="G15" i="2"/>
  <c r="W482" i="2"/>
  <c r="G475" i="2"/>
  <c r="W76" i="2"/>
  <c r="G71" i="2"/>
  <c r="W361" i="2"/>
  <c r="G354" i="2"/>
  <c r="W697" i="2"/>
  <c r="G690" i="2"/>
  <c r="W776" i="2"/>
  <c r="G769" i="2"/>
  <c r="W407" i="2"/>
  <c r="G400" i="2"/>
  <c r="W666" i="2"/>
  <c r="G659" i="2"/>
  <c r="W603" i="2"/>
  <c r="G596" i="2"/>
  <c r="W422" i="2"/>
  <c r="G415" i="2"/>
  <c r="W452" i="2"/>
  <c r="G445" i="2"/>
  <c r="Y651" i="2"/>
  <c r="G648" i="2" s="1"/>
  <c r="G646" i="2"/>
  <c r="U682" i="2"/>
  <c r="W682" i="2" s="1"/>
  <c r="Y682" i="2" s="1"/>
  <c r="U683" i="2" s="1"/>
  <c r="W683" i="2" s="1"/>
  <c r="Y683" i="2" s="1"/>
  <c r="U684" i="2" s="1"/>
  <c r="W684" i="2" s="1"/>
  <c r="Y684" i="2" s="1"/>
  <c r="U685" i="2" s="1"/>
  <c r="W685" i="2" s="1"/>
  <c r="Y685" i="2" s="1"/>
  <c r="G678" i="2"/>
  <c r="P16" i="3" l="1"/>
  <c r="L14" i="1"/>
  <c r="L35" i="1"/>
  <c r="P80" i="1"/>
  <c r="L63" i="1"/>
  <c r="L27" i="1"/>
  <c r="N60" i="1"/>
  <c r="L26" i="1"/>
  <c r="L55" i="1"/>
  <c r="L29" i="1"/>
  <c r="L74" i="1"/>
  <c r="P60" i="1"/>
  <c r="L81" i="1"/>
  <c r="Q101" i="1"/>
  <c r="D105" i="1" s="1"/>
  <c r="Y452" i="2"/>
  <c r="G449" i="2" s="1"/>
  <c r="G447" i="2"/>
  <c r="Y407" i="2"/>
  <c r="G404" i="2" s="1"/>
  <c r="G402" i="2"/>
  <c r="Y76" i="2"/>
  <c r="G73" i="2"/>
  <c r="Y666" i="2"/>
  <c r="G663" i="2" s="1"/>
  <c r="G661" i="2"/>
  <c r="L108" i="1"/>
  <c r="L71" i="1"/>
  <c r="Y361" i="2"/>
  <c r="G358" i="2" s="1"/>
  <c r="G356" i="2"/>
  <c r="Y422" i="2"/>
  <c r="G419" i="2" s="1"/>
  <c r="G417" i="2"/>
  <c r="Y776" i="2"/>
  <c r="G771" i="2"/>
  <c r="Y482" i="2"/>
  <c r="G479" i="2" s="1"/>
  <c r="G477" i="2"/>
  <c r="Y603" i="2"/>
  <c r="G598" i="2"/>
  <c r="Y697" i="2"/>
  <c r="G694" i="2" s="1"/>
  <c r="G692" i="2"/>
  <c r="N81" i="1" l="1"/>
  <c r="P74" i="1"/>
  <c r="N55" i="1"/>
  <c r="N29" i="1"/>
  <c r="D72" i="1"/>
  <c r="P81" i="1"/>
  <c r="N27" i="1"/>
  <c r="P29" i="1"/>
  <c r="P27" i="1"/>
  <c r="N63" i="1"/>
  <c r="N35" i="1"/>
  <c r="N26" i="1"/>
  <c r="N74" i="1"/>
  <c r="N14" i="1"/>
  <c r="P55" i="1"/>
  <c r="L99" i="1"/>
  <c r="P35" i="1"/>
  <c r="P26" i="1"/>
  <c r="D106" i="1"/>
  <c r="U777" i="2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G773" i="2"/>
  <c r="U77" i="2"/>
  <c r="W77" i="2" s="1"/>
  <c r="Y77" i="2" s="1"/>
  <c r="U78" i="2" s="1"/>
  <c r="W78" i="2" s="1"/>
  <c r="Y78" i="2" s="1"/>
  <c r="U79" i="2" s="1"/>
  <c r="W79" i="2" s="1"/>
  <c r="Y79" i="2" s="1"/>
  <c r="U80" i="2" s="1"/>
  <c r="W80" i="2" s="1"/>
  <c r="Y80" i="2" s="1"/>
  <c r="G75" i="2"/>
  <c r="U604" i="2"/>
  <c r="W604" i="2" s="1"/>
  <c r="Y604" i="2" s="1"/>
  <c r="G600" i="2"/>
  <c r="N71" i="1"/>
  <c r="N108" i="1"/>
  <c r="P63" i="1" l="1"/>
  <c r="N99" i="1"/>
  <c r="P14" i="1"/>
  <c r="P108" i="1"/>
  <c r="P71" i="1"/>
  <c r="P9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19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456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46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47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8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1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2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5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84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72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74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<sst xmlns="http://schemas.openxmlformats.org/spreadsheetml/2006/main" count="4111" uniqueCount="315">
  <si>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</si>
  <si>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</si>
  <si>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</si>
  <si>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</si>
  <si>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</si>
  <si>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</si>
  <si>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</si>
  <si>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</si>
  <si>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</si>
  <si>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</si>
  <si>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</si>
  <si>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</si>
  <si>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</si>
  <si>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</si>
  <si>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</si>
  <si>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</si>
  <si>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</si>
  <si>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</si>
  <si>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</si>
  <si>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</si>
  <si>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</si>
  <si>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</si>
  <si>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</si>
  <si>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</si>
  <si>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</si>
  <si>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</si>
  <si>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</si>
  <si>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</si>
  <si>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</si>
  <si>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</si>
  <si>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</si>
  <si>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</si>
  <si>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</si>
  <si>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</si>
  <si>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</si>
  <si>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</si>
  <si>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</si>
  <si>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</si>
  <si>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</si>
  <si>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</si>
  <si>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</si>
  <si>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</si>
  <si>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</si>
  <si>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</si>
  <si>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</si>
  <si>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</si>
  <si>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</si>
  <si>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</si>
  <si>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</si>
  <si>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</si>
  <si>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</si>
  <si>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</si>
  <si>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</si>
  <si>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</si>
  <si>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</si>
  <si>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</si>
  <si>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</si>
  <si>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</si>
  <si>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</si>
  <si>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</si>
  <si>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</si>
  <si>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Zafar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</si>
  <si>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</si>
  <si>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</si>
  <si>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</si>
  <si>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</si>
  <si>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</si>
  <si>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</si>
  <si>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</si>
  <si>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</si>
  <si>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</si>
  <si>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</si>
  <si>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</si>
  <si>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</si>
  <si>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</si>
  <si>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</si>
  <si>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</si>
  <si>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</si>
  <si>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</si>
  <si>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</si>
  <si>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</si>
  <si>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</si>
  <si>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</si>
  <si>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</si>
  <si>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</si>
  <si>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</si>
  <si>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</si>
  <si>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EIDI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</si>
  <si>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</si>
  <si>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</si>
  <si>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</si>
  <si>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</si>
  <si>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</si>
  <si>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</si>
  <si>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</si>
  <si>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</si>
  <si>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</si>
  <si>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</si>
  <si>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</si>
  <si>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</si>
  <si>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</si>
  <si>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</si>
  <si>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</si>
  <si>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</si>
  <si>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</si>
  <si>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</si>
  <si>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</si>
  <si>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</si>
  <si>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</si>
  <si>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</si>
  <si>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</si>
  <si>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</si>
  <si>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</si>
  <si>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</si>
  <si>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</si>
  <si>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</si>
  <si>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</si>
  <si>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</si>
  <si>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</si>
  <si>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</si>
  <si>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</si>
  <si>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</si>
  <si>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</si>
  <si>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</si>
  <si>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</si>
  <si>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</si>
  <si>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</si>
  <si>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</si>
  <si>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</si>
  <si>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</si>
  <si>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</si>
  <si>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</si>
  <si>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</si>
  <si>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</si>
  <si>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</si>
  <si>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</si>
  <si>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</si>
  <si>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</si>
  <si>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</si>
  <si>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</si>
  <si>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</si>
  <si>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</si>
  <si>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</si>
  <si>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</si>
  <si>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</si>
  <si>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</si>
  <si>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</si>
  <si>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</si>
  <si>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</si>
  <si>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</si>
  <si>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</si>
  <si>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</si>
  <si>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</si>
  <si>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</si>
  <si>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</si>
  <si>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</si>
  <si>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</si>
  <si>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</si>
  <si>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</si>
  <si>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</si>
  <si>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</si>
  <si>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</si>
  <si>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</si>
  <si>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</si>
  <si>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</si>
  <si>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</si>
  <si>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</si>
  <si>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</si>
  <si>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</si>
  <si>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</si>
  <si>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</si>
  <si>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</si>
  <si>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</si>
  <si>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</si>
  <si>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</si>
  <si>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</si>
  <si>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</si>
  <si>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</si>
  <si>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</si>
  <si>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Noor Alam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</si>
  <si>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</si>
  <si>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</si>
  <si>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</si>
  <si>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</si>
  <si>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</si>
  <si>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</si>
  <si>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</si>
  <si>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</si>
  <si>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</si>
  <si>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</si>
  <si>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</si>
  <si>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</si>
  <si>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</si>
  <si>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</si>
  <si>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</si>
  <si>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</si>
  <si>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</si>
  <si>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</si>
  <si>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</si>
  <si>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</si>
  <si>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</si>
  <si>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</si>
  <si>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</si>
  <si>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</si>
  <si>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</si>
  <si>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</si>
  <si>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</si>
  <si>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</si>
  <si>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</si>
  <si>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</si>
  <si>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</si>
  <si>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</si>
  <si>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</si>
  <si>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</si>
  <si>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</si>
  <si>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</si>
  <si>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</si>
  <si>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</si>
  <si>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</si>
  <si>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</si>
  <si>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</si>
  <si>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</si>
  <si>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</si>
  <si>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</si>
  <si>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</si>
  <si>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</si>
  <si>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</si>
  <si>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</si>
  <si>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</si>
  <si>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</si>
  <si>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</si>
  <si>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</si>
  <si>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</si>
  <si>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</si>
  <si>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</si>
  <si>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</si>
  <si>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</si>
  <si>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</si>
  <si>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</si>
  <si>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</si>
  <si>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</si>
  <si>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</si>
  <si>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</si>
  <si>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</si>
  <si>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</si>
  <si>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</si>
  <si>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</si>
  <si>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</si>
  <si>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</si>
  <si>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</si>
  <si>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</si>
  <si>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</si>
  <si>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</si>
  <si>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</si>
  <si>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</si>
  <si>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</si>
  <si>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</si>
  <si>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Salary Imcrement Summary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</si>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</sst>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9" tint="0.59999389629810485"/>
        <bgColor rgb="FFFBD4B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9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165" fontId="28" fillId="0" borderId="14" xfId="0" applyNumberFormat="1" applyFont="1" applyBorder="1" applyAlignment="1">
      <alignment horizontal="center" vertical="center"/>
    </xf>
    <xf numFmtId="165" fontId="11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9" fillId="7" borderId="14" xfId="0" applyNumberFormat="1" applyFont="1" applyFill="1" applyBorder="1" applyAlignment="1">
      <alignment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33" fillId="10" borderId="50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57" xfId="0" applyNumberFormat="1" applyFont="1" applyBorder="1" applyAlignment="1">
      <alignment vertical="center"/>
    </xf>
    <xf numFmtId="165" fontId="18" fillId="0" borderId="56" xfId="0" applyNumberFormat="1" applyFont="1" applyBorder="1" applyAlignment="1">
      <alignment vertical="center"/>
    </xf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165" fontId="18" fillId="0" borderId="19" xfId="0" applyNumberFormat="1" applyFont="1" applyBorder="1" applyAlignment="1">
      <alignment vertical="center"/>
    </xf>
    <xf numFmtId="165" fontId="18" fillId="0" borderId="18" xfId="0" applyNumberFormat="1" applyFont="1" applyBorder="1" applyAlignment="1">
      <alignment vertical="center"/>
    </xf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horizontal="center" vertical="center"/>
    </xf>
    <xf numFmtId="165" fontId="28" fillId="21" borderId="14" xfId="0" applyNumberFormat="1" applyFont="1" applyFill="1" applyBorder="1" applyAlignment="1">
      <alignment horizontal="center" vertical="center"/>
    </xf>
    <xf numFmtId="165" fontId="28" fillId="21" borderId="14" xfId="0" applyNumberFormat="1" applyFont="1" applyFill="1" applyBorder="1"/>
    <xf numFmtId="165" fontId="11" fillId="21" borderId="14" xfId="0" applyNumberFormat="1" applyFont="1" applyFill="1" applyBorder="1"/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0" fontId="62" fillId="0" borderId="61" xfId="0" applyFont="1" applyBorder="1"/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0" fontId="33" fillId="21" borderId="14" xfId="0" applyFont="1" applyFill="1" applyBorder="1" applyAlignment="1">
      <alignment horizontal="left" vertical="center"/>
    </xf>
    <xf numFmtId="165" fontId="9" fillId="21" borderId="0" xfId="0" applyNumberFormat="1" applyFont="1" applyFill="1" applyAlignment="1">
      <alignment vertical="center"/>
    </xf>
    <xf numFmtId="165" fontId="15" fillId="34" borderId="14" xfId="0" applyNumberFormat="1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165" fontId="9" fillId="21" borderId="14" xfId="0" applyNumberFormat="1" applyFont="1" applyFill="1" applyBorder="1" applyAlignment="1">
      <alignment horizontal="left" vertical="center" indent="1"/>
    </xf>
    <xf numFmtId="164" fontId="33" fillId="0" borderId="14" xfId="0" applyNumberFormat="1" applyFont="1" applyBorder="1" applyAlignment="1">
      <alignment horizontal="right" vertical="center"/>
    </xf>
    <xf numFmtId="0" fontId="12" fillId="7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6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right" vertical="center"/>
    </xf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3" fillId="0" borderId="5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54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14" fillId="0" borderId="15" xfId="0" applyFont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6" fillId="10" borderId="32" xfId="0" applyFont="1" applyFill="1" applyBorder="1" applyAlignment="1">
      <alignment horizontal="center" vertical="center"/>
    </xf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2" fillId="0" borderId="33" xfId="0" applyFont="1" applyBorder="1"/>
    <xf numFmtId="0" fontId="2" fillId="0" borderId="34" xfId="0" applyFont="1" applyBorder="1"/>
    <xf numFmtId="0" fontId="49" fillId="17" borderId="46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51" fillId="10" borderId="46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9" fillId="0" borderId="47" xfId="0" applyFont="1" applyBorder="1" applyAlignment="1">
      <alignment horizontal="right" vertical="center"/>
    </xf>
    <xf numFmtId="0" fontId="41" fillId="0" borderId="47" xfId="0" applyFont="1" applyBorder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49" fillId="8" borderId="46" xfId="0" applyFont="1" applyFill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7" fontId="64" fillId="0" borderId="60" xfId="0" applyNumberFormat="1" applyFont="1" applyBorder="1" applyAlignment="1">
      <alignment horizontal="center" vertical="center"/>
    </xf>
    <xf numFmtId="17" fontId="64" fillId="0" borderId="61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17" fontId="61" fillId="0" borderId="0" xfId="0" applyNumberFormat="1" applyFont="1" applyAlignment="1">
      <alignment horizontal="center"/>
    </xf>
    <xf numFmtId="0" fontId="62" fillId="0" borderId="6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view="pageBreakPreview" zoomScale="89" zoomScaleNormal="88" zoomScaleSheetLayoutView="89" workbookViewId="0">
      <pane ySplit="3" topLeftCell="A4" activePane="bottomLeft" state="frozen"/>
      <selection activeCell="J576" sqref="J576"/>
      <selection pane="bottomLeft" activeCell="U14" sqref="U14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2.2851562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2.7109375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17.8554687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420" t="s">
        <v>0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2"/>
      <c r="N1" s="426" t="str">
        <f>'Salary Record'!J1</f>
        <v>August</v>
      </c>
      <c r="O1" s="422"/>
      <c r="P1" s="428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423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5"/>
      <c r="N2" s="427"/>
      <c r="O2" s="425"/>
      <c r="P2" s="429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78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39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411" t="s">
        <v>17</v>
      </c>
      <c r="B6" s="412"/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3"/>
      <c r="R6" s="27"/>
      <c r="T6" s="13"/>
    </row>
    <row r="7" spans="1:26" ht="12.75" customHeight="1" x14ac:dyDescent="0.2">
      <c r="A7" s="14">
        <v>1</v>
      </c>
      <c r="B7" s="27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39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7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39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7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39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7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39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415" t="s">
        <v>23</v>
      </c>
      <c r="B11" s="413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9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80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414" t="s">
        <v>24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2"/>
      <c r="N13" s="412"/>
      <c r="O13" s="412"/>
      <c r="P13" s="412"/>
      <c r="Q13" s="413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73" t="str">
        <f>'Salary Record'!C68</f>
        <v>Ashraf Bhai</v>
      </c>
      <c r="C14" s="47"/>
      <c r="D14" s="48"/>
      <c r="E14" s="19">
        <f>'Salary Record'!K67</f>
        <v>90000</v>
      </c>
      <c r="F14" s="19">
        <f>'Salary Record'!C73</f>
        <v>0</v>
      </c>
      <c r="G14" s="25">
        <f>'Salary Record'!C74</f>
        <v>0</v>
      </c>
      <c r="H14" s="19">
        <f>'Salary Record'!I72</f>
        <v>0</v>
      </c>
      <c r="I14" s="19">
        <f>'Salary Record'!I71</f>
        <v>0</v>
      </c>
      <c r="J14" s="49">
        <f>'Salary Record'!K72</f>
        <v>0</v>
      </c>
      <c r="K14" s="49">
        <f>'Salary Record'!K73</f>
        <v>0</v>
      </c>
      <c r="L14" s="50">
        <f>'Salary Record'!G71</f>
        <v>33500</v>
      </c>
      <c r="M14" s="51">
        <f>'Salary Record'!G72</f>
        <v>0</v>
      </c>
      <c r="N14" s="52">
        <f>'Salary Record'!G73</f>
        <v>33500</v>
      </c>
      <c r="O14" s="51">
        <f>'Salary Record'!G74</f>
        <v>0</v>
      </c>
      <c r="P14" s="52">
        <f>'Salary Record'!G75</f>
        <v>33500</v>
      </c>
      <c r="Q14" s="381">
        <f>'Salary Record'!K75</f>
        <v>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85" customFormat="1" ht="15.6" customHeight="1" x14ac:dyDescent="0.2">
      <c r="A15" s="24">
        <v>2</v>
      </c>
      <c r="B15" s="273" t="s">
        <v>25</v>
      </c>
      <c r="C15" s="337"/>
      <c r="D15" s="338"/>
      <c r="E15" s="319">
        <f>'Salary Record'!K54</f>
        <v>52000</v>
      </c>
      <c r="F15" s="319">
        <f>'Salary Record'!C60</f>
        <v>0</v>
      </c>
      <c r="G15" s="314">
        <f>'Salary Record'!C61</f>
        <v>0</v>
      </c>
      <c r="H15" s="319">
        <f>'Salary Record'!I59</f>
        <v>25</v>
      </c>
      <c r="I15" s="319">
        <f>'Salary Record'!I58</f>
        <v>31</v>
      </c>
      <c r="J15" s="318">
        <f>'Salary Record'!K59</f>
        <v>5241.9354838709678</v>
      </c>
      <c r="K15" s="319">
        <f>'Salary Record'!K60</f>
        <v>57241.93548387097</v>
      </c>
      <c r="L15" s="315">
        <f>'Salary Record'!G58</f>
        <v>0</v>
      </c>
      <c r="M15" s="315">
        <f>'Salary Record'!G59</f>
        <v>0</v>
      </c>
      <c r="N15" s="315" t="str">
        <f>'Salary Record'!G60</f>
        <v/>
      </c>
      <c r="O15" s="315">
        <f>'Salary Record'!G61</f>
        <v>0</v>
      </c>
      <c r="P15" s="315" t="str">
        <f>'Salary Record'!G62</f>
        <v/>
      </c>
      <c r="Q15" s="339">
        <f>'Salary Record'!K62</f>
        <v>57241.93548387097</v>
      </c>
      <c r="R15" s="340"/>
      <c r="S15" s="340"/>
      <c r="T15" s="340"/>
      <c r="U15" s="341"/>
      <c r="V15" s="341"/>
      <c r="W15" s="341"/>
      <c r="X15" s="341"/>
      <c r="Y15" s="341"/>
      <c r="Z15" s="341"/>
    </row>
    <row r="16" spans="1:26" s="285" customFormat="1" ht="15.6" customHeight="1" x14ac:dyDescent="0.2">
      <c r="A16" s="24">
        <v>3</v>
      </c>
      <c r="B16" s="273" t="s">
        <v>26</v>
      </c>
      <c r="C16" s="369" t="s">
        <v>27</v>
      </c>
      <c r="D16" s="370">
        <f>SUM(Q16:Q48)</f>
        <v>2036947.5806451612</v>
      </c>
      <c r="E16" s="319">
        <f>'Salary Record'!K9</f>
        <v>75000</v>
      </c>
      <c r="F16" s="319">
        <f>'Salary Record'!C15</f>
        <v>0</v>
      </c>
      <c r="G16" s="319">
        <f>'Salary Record'!C16</f>
        <v>0</v>
      </c>
      <c r="H16" s="318">
        <f>'Salary Record'!I14</f>
        <v>0</v>
      </c>
      <c r="I16" s="319">
        <f>'Salary Record'!I13</f>
        <v>31</v>
      </c>
      <c r="J16" s="318">
        <f>'Salary Record'!K14</f>
        <v>0</v>
      </c>
      <c r="K16" s="319">
        <f>'Salary Record'!K15</f>
        <v>75000</v>
      </c>
      <c r="L16" s="315">
        <f>'Salary Record'!U9</f>
        <v>0</v>
      </c>
      <c r="M16" s="319">
        <f>'Salary Record'!V9</f>
        <v>0</v>
      </c>
      <c r="N16" s="317">
        <f>'Salary Record'!W9</f>
        <v>0</v>
      </c>
      <c r="O16" s="317">
        <f>'Salary Record'!X9</f>
        <v>0</v>
      </c>
      <c r="P16" s="317">
        <f>'Salary Record'!Y9</f>
        <v>0</v>
      </c>
      <c r="Q16" s="339">
        <f>'Salary Record'!K17</f>
        <v>75000</v>
      </c>
      <c r="R16" s="340"/>
      <c r="S16" s="340"/>
      <c r="T16" s="340"/>
      <c r="U16" s="341"/>
      <c r="V16" s="341"/>
      <c r="W16" s="341"/>
      <c r="X16" s="341"/>
      <c r="Y16" s="341"/>
      <c r="Z16" s="341"/>
    </row>
    <row r="17" spans="1:26" s="285" customFormat="1" ht="15.6" customHeight="1" x14ac:dyDescent="0.2">
      <c r="A17" s="24">
        <v>4</v>
      </c>
      <c r="B17" s="273" t="str">
        <f>'Salary Record'!C1025</f>
        <v>Abuzar Ghaffari</v>
      </c>
      <c r="C17" s="382"/>
      <c r="D17" s="383"/>
      <c r="E17" s="319">
        <f>'Salary Record'!K1024</f>
        <v>75000</v>
      </c>
      <c r="F17" s="319">
        <f>'Salary Record'!C1030</f>
        <v>0</v>
      </c>
      <c r="G17" s="319">
        <f>'Salary Record'!C1031</f>
        <v>0</v>
      </c>
      <c r="H17" s="318">
        <f>'Salary Record'!I1029</f>
        <v>0</v>
      </c>
      <c r="I17" s="319">
        <f>'Salary Record'!I1028</f>
        <v>31</v>
      </c>
      <c r="J17" s="318">
        <f>'Salary Record'!K1029</f>
        <v>0</v>
      </c>
      <c r="K17" s="319">
        <f>'Salary Record'!K1030</f>
        <v>75000</v>
      </c>
      <c r="L17" s="315" t="str">
        <f>'Salary Record'!G1028</f>
        <v/>
      </c>
      <c r="M17" s="319">
        <f>'Salary Record'!G1029</f>
        <v>0</v>
      </c>
      <c r="N17" s="317" t="str">
        <f>'Salary Record'!G1030</f>
        <v/>
      </c>
      <c r="O17" s="317">
        <f>'Salary Record'!G1031</f>
        <v>0</v>
      </c>
      <c r="P17" s="317" t="str">
        <f>'Salary Record'!G1032</f>
        <v/>
      </c>
      <c r="Q17" s="339">
        <f>'Salary Record'!K1032</f>
        <v>75000</v>
      </c>
      <c r="R17" s="340"/>
      <c r="S17" s="340"/>
      <c r="T17" s="340"/>
      <c r="U17" s="341"/>
      <c r="V17" s="341"/>
      <c r="W17" s="341"/>
      <c r="X17" s="341"/>
      <c r="Y17" s="341"/>
      <c r="Z17" s="341"/>
    </row>
    <row r="18" spans="1:26" s="285" customFormat="1" ht="15.6" customHeight="1" x14ac:dyDescent="0.2">
      <c r="A18" s="24">
        <v>5</v>
      </c>
      <c r="B18" s="273" t="str">
        <f>'Salary Record'!C96</f>
        <v>Ahsan Khan</v>
      </c>
      <c r="C18" s="316"/>
      <c r="D18" s="317"/>
      <c r="E18" s="319">
        <f>'Salary Record'!K95</f>
        <v>46000</v>
      </c>
      <c r="F18" s="315">
        <f>'Salary Record'!C101</f>
        <v>0</v>
      </c>
      <c r="G18" s="358">
        <f>'Salary Record'!C102</f>
        <v>0</v>
      </c>
      <c r="H18" s="315">
        <f>'Salary Record'!I100</f>
        <v>0</v>
      </c>
      <c r="I18" s="315">
        <f>'Salary Record'!I99</f>
        <v>0</v>
      </c>
      <c r="J18" s="318">
        <f>'Salary Record'!K100</f>
        <v>0</v>
      </c>
      <c r="K18" s="318">
        <f>'Salary Record'!K101</f>
        <v>0</v>
      </c>
      <c r="L18" s="315">
        <f>'Salary Record'!G99</f>
        <v>0</v>
      </c>
      <c r="M18" s="315">
        <f>'Salary Record'!G100</f>
        <v>0</v>
      </c>
      <c r="N18" s="317" t="str">
        <f>'Salary Record'!G101</f>
        <v/>
      </c>
      <c r="O18" s="317">
        <f>'Salary Record'!H101</f>
        <v>0</v>
      </c>
      <c r="P18" s="317" t="str">
        <f>'Salary Record'!G103</f>
        <v/>
      </c>
      <c r="Q18" s="339">
        <f>'Salary Record'!K103</f>
        <v>0</v>
      </c>
      <c r="R18" s="340"/>
      <c r="S18" s="340">
        <f>Q14+Q15+Q18+Q41</f>
        <v>108217.74193548388</v>
      </c>
      <c r="T18" s="340">
        <f>Q15+Q18+Q41</f>
        <v>108217.74193548388</v>
      </c>
      <c r="U18" s="340"/>
      <c r="V18" s="341"/>
      <c r="W18" s="341"/>
      <c r="X18" s="341"/>
      <c r="Y18" s="341"/>
      <c r="Z18" s="341"/>
    </row>
    <row r="19" spans="1:26" s="285" customFormat="1" ht="16.149999999999999" customHeight="1" x14ac:dyDescent="0.3">
      <c r="A19" s="368">
        <v>17</v>
      </c>
      <c r="B19" s="291" t="str">
        <f>'Salary Record'!C990</f>
        <v>Shahzaib</v>
      </c>
      <c r="C19" s="328"/>
      <c r="D19" s="329"/>
      <c r="E19" s="313">
        <f>'Salary Record'!K989</f>
        <v>52000</v>
      </c>
      <c r="F19" s="313">
        <f>'Salary Record'!C995</f>
        <v>0</v>
      </c>
      <c r="G19" s="314">
        <f>'Salary Record'!C996</f>
        <v>0</v>
      </c>
      <c r="H19" s="313">
        <f>'Salary Record'!I994</f>
        <v>0</v>
      </c>
      <c r="I19" s="313">
        <f>'Salary Record'!I993</f>
        <v>31</v>
      </c>
      <c r="J19" s="330">
        <f>'Salary Record'!K994</f>
        <v>0</v>
      </c>
      <c r="K19" s="319">
        <f>'Salary Record'!K995</f>
        <v>52000</v>
      </c>
      <c r="L19" s="315" t="str">
        <f>'Salary Record'!G993</f>
        <v/>
      </c>
      <c r="M19" s="319">
        <f>'Salary Record'!G994</f>
        <v>0</v>
      </c>
      <c r="N19" s="317" t="str">
        <f>'Salary Record'!G995</f>
        <v/>
      </c>
      <c r="O19" s="319">
        <f>'Salary Record'!G996</f>
        <v>0</v>
      </c>
      <c r="P19" s="317" t="str">
        <f>'Salary Record'!G997</f>
        <v/>
      </c>
      <c r="Q19" s="315">
        <f>'Salary Record'!K997</f>
        <v>52000</v>
      </c>
      <c r="R19" s="331"/>
      <c r="S19" s="332"/>
      <c r="T19" s="333"/>
      <c r="U19" s="333"/>
      <c r="V19" s="332"/>
      <c r="W19" s="332"/>
      <c r="X19" s="332"/>
      <c r="Y19" s="332"/>
      <c r="Z19" s="332"/>
    </row>
    <row r="20" spans="1:26" s="285" customFormat="1" ht="15.6" customHeight="1" x14ac:dyDescent="0.2">
      <c r="A20" s="24">
        <v>6</v>
      </c>
      <c r="B20" s="273" t="str">
        <f>'Salary Record'!C25</f>
        <v>Maasi</v>
      </c>
      <c r="C20" s="371"/>
      <c r="D20" s="355"/>
      <c r="E20" s="319">
        <f>'Salary Record'!K24</f>
        <v>6000</v>
      </c>
      <c r="F20" s="319">
        <f>'Salary Record'!C30</f>
        <v>0</v>
      </c>
      <c r="G20" s="314">
        <f>'Salary Record'!C31</f>
        <v>0</v>
      </c>
      <c r="H20" s="319"/>
      <c r="I20" s="319">
        <f>'Salary Record'!I28</f>
        <v>0</v>
      </c>
      <c r="J20" s="319"/>
      <c r="K20" s="319">
        <f>'Salary Record'!K30</f>
        <v>6000</v>
      </c>
      <c r="L20" s="319">
        <f>'Salary Record'!G28</f>
        <v>0</v>
      </c>
      <c r="M20" s="319">
        <f>'Salary Record'!G29</f>
        <v>0</v>
      </c>
      <c r="N20" s="317" t="str">
        <f>'Salary Record'!G30</f>
        <v/>
      </c>
      <c r="O20" s="319">
        <f>'Salary Record'!G31</f>
        <v>0</v>
      </c>
      <c r="P20" s="317" t="str">
        <f>'Salary Record'!G32</f>
        <v/>
      </c>
      <c r="Q20" s="339">
        <v>6000</v>
      </c>
      <c r="R20" s="340"/>
      <c r="S20" s="341"/>
      <c r="T20" s="340"/>
      <c r="U20" s="341"/>
      <c r="V20" s="341"/>
      <c r="W20" s="341"/>
      <c r="X20" s="341"/>
      <c r="Y20" s="341"/>
      <c r="Z20" s="341"/>
    </row>
    <row r="21" spans="1:26" s="285" customFormat="1" ht="16.149999999999999" customHeight="1" x14ac:dyDescent="0.3">
      <c r="A21" s="24">
        <v>7</v>
      </c>
      <c r="B21" s="291" t="str">
        <f>'Salary Record'!C1009</f>
        <v>Salman Ali Bhatti</v>
      </c>
      <c r="C21" s="328"/>
      <c r="D21" s="329"/>
      <c r="E21" s="313">
        <f>'Salary Record'!K1008</f>
        <v>28000</v>
      </c>
      <c r="F21" s="313">
        <f>'Salary Record'!C1014</f>
        <v>0</v>
      </c>
      <c r="G21" s="314">
        <f>'Salary Record'!C1015</f>
        <v>0</v>
      </c>
      <c r="H21" s="313">
        <f>'Salary Record'!I1013</f>
        <v>0</v>
      </c>
      <c r="I21" s="313">
        <f>'Salary Record'!I1012</f>
        <v>31</v>
      </c>
      <c r="J21" s="330">
        <f>'Salary Record'!K1013</f>
        <v>0</v>
      </c>
      <c r="K21" s="319">
        <f>'Salary Record'!K1014</f>
        <v>28000</v>
      </c>
      <c r="L21" s="315" t="str">
        <f>'Salary Record'!G1012</f>
        <v/>
      </c>
      <c r="M21" s="319">
        <f>'Salary Record'!G1013</f>
        <v>0</v>
      </c>
      <c r="N21" s="317" t="str">
        <f>'Salary Record'!G1014</f>
        <v/>
      </c>
      <c r="O21" s="319">
        <f>'Salary Record'!G1015</f>
        <v>0</v>
      </c>
      <c r="P21" s="317" t="str">
        <f>'Salary Record'!G1016</f>
        <v/>
      </c>
      <c r="Q21" s="315">
        <f>'Salary Record'!K1016</f>
        <v>28000</v>
      </c>
      <c r="R21" s="331"/>
      <c r="S21" s="332"/>
      <c r="T21" s="333"/>
      <c r="U21" s="333"/>
      <c r="V21" s="332"/>
      <c r="W21" s="332"/>
      <c r="X21" s="332"/>
      <c r="Y21" s="332"/>
      <c r="Z21" s="332"/>
    </row>
    <row r="22" spans="1:26" s="285" customFormat="1" ht="15.6" customHeight="1" x14ac:dyDescent="0.2">
      <c r="A22" s="24">
        <v>8</v>
      </c>
      <c r="B22" s="273" t="str">
        <f>'Salary Record'!C40</f>
        <v>Umer Farooq</v>
      </c>
      <c r="C22" s="337"/>
      <c r="D22" s="338"/>
      <c r="E22" s="319">
        <f>'Salary Record'!K39</f>
        <v>23000</v>
      </c>
      <c r="F22" s="319">
        <f>'Salary Record'!C45</f>
        <v>0</v>
      </c>
      <c r="G22" s="314">
        <f>'Salary Record'!C46</f>
        <v>0</v>
      </c>
      <c r="H22" s="319">
        <f>'Salary Record'!I44</f>
        <v>0</v>
      </c>
      <c r="I22" s="319">
        <f>'Salary Record'!I43</f>
        <v>31</v>
      </c>
      <c r="J22" s="365">
        <f>'Salary Record'!K44</f>
        <v>0</v>
      </c>
      <c r="K22" s="365">
        <f>'Salary Record'!K45</f>
        <v>23000</v>
      </c>
      <c r="L22" s="354">
        <f>'Salary Record'!G43</f>
        <v>0</v>
      </c>
      <c r="M22" s="354">
        <f>'Salary Record'!G44</f>
        <v>0</v>
      </c>
      <c r="N22" s="355" t="str">
        <f>'Salary Record'!G45</f>
        <v/>
      </c>
      <c r="O22" s="354">
        <f>'Salary Record'!G46</f>
        <v>0</v>
      </c>
      <c r="P22" s="355" t="str">
        <f>'Salary Record'!G47</f>
        <v/>
      </c>
      <c r="Q22" s="372">
        <f>'Salary Record'!K47</f>
        <v>23000</v>
      </c>
      <c r="R22" s="340"/>
      <c r="S22" s="340"/>
      <c r="T22" s="340"/>
      <c r="U22" s="341"/>
      <c r="V22" s="341"/>
      <c r="W22" s="341"/>
      <c r="X22" s="341"/>
      <c r="Y22" s="341"/>
      <c r="Z22" s="341"/>
    </row>
    <row r="23" spans="1:26" ht="12.75" customHeight="1" x14ac:dyDescent="0.3">
      <c r="A23" s="415" t="s">
        <v>23</v>
      </c>
      <c r="B23" s="413"/>
      <c r="C23" s="36"/>
      <c r="D23" s="36"/>
      <c r="E23" s="37">
        <f>SUM(E14:E22)</f>
        <v>447000</v>
      </c>
      <c r="F23" s="36"/>
      <c r="G23" s="36"/>
      <c r="H23" s="36"/>
      <c r="I23" s="36"/>
      <c r="J23" s="55">
        <f t="shared" ref="J23:K23" si="1">SUM(J14:J22)</f>
        <v>5241.9354838709678</v>
      </c>
      <c r="K23" s="55">
        <f t="shared" si="1"/>
        <v>316241.93548387097</v>
      </c>
      <c r="L23" s="55"/>
      <c r="M23" s="36"/>
      <c r="N23" s="36"/>
      <c r="O23" s="36"/>
      <c r="P23" s="36"/>
      <c r="Q23" s="37">
        <f>SUM(Q14:Q22)</f>
        <v>316241.93548387097</v>
      </c>
      <c r="R23" s="39"/>
      <c r="S23" s="41"/>
      <c r="T23" s="41"/>
      <c r="U23" s="40"/>
      <c r="V23" s="40"/>
      <c r="W23" s="40"/>
      <c r="X23" s="40"/>
      <c r="Y23" s="40"/>
      <c r="Z23" s="40"/>
    </row>
    <row r="24" spans="1:26" ht="12.75" customHeight="1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41"/>
      <c r="S24" s="40"/>
      <c r="T24" s="41"/>
      <c r="U24" s="40"/>
      <c r="V24" s="40"/>
      <c r="W24" s="40"/>
      <c r="X24" s="40"/>
      <c r="Y24" s="40"/>
      <c r="Z24" s="40"/>
    </row>
    <row r="25" spans="1:26" ht="21" customHeight="1" x14ac:dyDescent="0.2">
      <c r="A25" s="411" t="s">
        <v>28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3"/>
      <c r="R25" s="56"/>
      <c r="S25" s="57"/>
      <c r="T25" s="57"/>
      <c r="U25" s="58"/>
      <c r="V25" s="58"/>
      <c r="W25" s="58"/>
      <c r="X25" s="58"/>
      <c r="Y25" s="58"/>
      <c r="Z25" s="58"/>
    </row>
    <row r="26" spans="1:26" ht="16.899999999999999" customHeight="1" x14ac:dyDescent="0.2">
      <c r="A26" s="24">
        <v>1</v>
      </c>
      <c r="B26" s="273" t="str">
        <f>'Salary Record'!C442</f>
        <v>Khizer Mujeeb</v>
      </c>
      <c r="C26" s="59"/>
      <c r="D26" s="60"/>
      <c r="E26" s="19">
        <f>'Salary Record'!K441</f>
        <v>34500</v>
      </c>
      <c r="F26" s="19">
        <f>'Salary Record'!C447</f>
        <v>0</v>
      </c>
      <c r="G26" s="25">
        <f>'Salary Record'!C448</f>
        <v>0</v>
      </c>
      <c r="H26" s="19">
        <f>'Salary Record'!I446</f>
        <v>37</v>
      </c>
      <c r="I26" s="19">
        <f>'Salary Record'!I445</f>
        <v>31</v>
      </c>
      <c r="J26" s="18">
        <f>'Salary Record'!K446</f>
        <v>5147.177419354839</v>
      </c>
      <c r="K26" s="19">
        <f>'Salary Record'!K447</f>
        <v>39647.177419354841</v>
      </c>
      <c r="L26" s="26">
        <f>'Salary Record'!G445</f>
        <v>0</v>
      </c>
      <c r="M26" s="19">
        <f>'Salary Record'!G446</f>
        <v>0</v>
      </c>
      <c r="N26" s="20">
        <f>'Salary Record'!G447</f>
        <v>0</v>
      </c>
      <c r="O26" s="19">
        <f>'Salary Record'!G448</f>
        <v>0</v>
      </c>
      <c r="P26" s="20">
        <f>'Salary Record'!G449</f>
        <v>0</v>
      </c>
      <c r="Q26" s="26">
        <f>'Salary Record'!K449</f>
        <v>39647.177419354841</v>
      </c>
      <c r="R26" s="61" t="s">
        <v>29</v>
      </c>
      <c r="S26" s="62"/>
      <c r="T26" s="61"/>
      <c r="U26" s="62"/>
      <c r="V26" s="62"/>
      <c r="W26" s="62"/>
      <c r="X26" s="62"/>
      <c r="Y26" s="62"/>
      <c r="Z26" s="62"/>
    </row>
    <row r="27" spans="1:26" ht="16.899999999999999" customHeight="1" x14ac:dyDescent="0.2">
      <c r="A27" s="63">
        <v>2</v>
      </c>
      <c r="B27" s="273" t="str">
        <f>'Salary Record'!C412</f>
        <v>Hassan Khan</v>
      </c>
      <c r="C27" s="64"/>
      <c r="D27" s="65"/>
      <c r="E27" s="66">
        <f>'Salary Record'!K411</f>
        <v>30000</v>
      </c>
      <c r="F27" s="66">
        <f>'Salary Record'!C417</f>
        <v>0</v>
      </c>
      <c r="G27" s="67">
        <f>'Salary Record'!C418</f>
        <v>0</v>
      </c>
      <c r="H27" s="66">
        <f>'Salary Record'!I416</f>
        <v>59</v>
      </c>
      <c r="I27" s="66">
        <f>'Salary Record'!I415</f>
        <v>31</v>
      </c>
      <c r="J27" s="67">
        <f>'Salary Record'!K416</f>
        <v>7137.0967741935483</v>
      </c>
      <c r="K27" s="68">
        <f>'Salary Record'!K417</f>
        <v>37137.096774193546</v>
      </c>
      <c r="L27" s="69">
        <f>'Salary Record'!G415</f>
        <v>0</v>
      </c>
      <c r="M27" s="68">
        <f>'Salary Record'!G416</f>
        <v>0</v>
      </c>
      <c r="N27" s="70">
        <f>'Salary Record'!G417</f>
        <v>0</v>
      </c>
      <c r="O27" s="68">
        <f>'Salary Record'!G418</f>
        <v>0</v>
      </c>
      <c r="P27" s="70">
        <f>'Salary Record'!G419</f>
        <v>0</v>
      </c>
      <c r="Q27" s="26">
        <f>'Salary Record'!K419</f>
        <v>37137.096774193546</v>
      </c>
      <c r="R27" s="71"/>
      <c r="S27" s="72">
        <f>65000+Q30+30000</f>
        <v>243550.40322580645</v>
      </c>
      <c r="T27" s="72"/>
      <c r="U27" s="73"/>
      <c r="V27" s="73"/>
      <c r="W27" s="73"/>
      <c r="X27" s="73"/>
      <c r="Y27" s="73"/>
      <c r="Z27" s="73"/>
    </row>
    <row r="28" spans="1:26" ht="16.899999999999999" customHeight="1" x14ac:dyDescent="0.2">
      <c r="A28" s="24">
        <v>3</v>
      </c>
      <c r="B28" s="273" t="str">
        <f>'Salary Record'!C427</f>
        <v>Noor Alam</v>
      </c>
      <c r="C28" s="74"/>
      <c r="D28" s="17"/>
      <c r="E28" s="19">
        <f>'Salary Record'!K426</f>
        <v>32000</v>
      </c>
      <c r="F28" s="19">
        <f>'Salary Record'!C432</f>
        <v>0</v>
      </c>
      <c r="G28" s="25">
        <f>'Salary Record'!C433</f>
        <v>0</v>
      </c>
      <c r="H28" s="19">
        <f>'Salary Record'!I431</f>
        <v>11</v>
      </c>
      <c r="I28" s="19">
        <f>'Salary Record'!I430</f>
        <v>31</v>
      </c>
      <c r="J28" s="25">
        <f>'Salary Record'!K431</f>
        <v>1419.3548387096773</v>
      </c>
      <c r="K28" s="18">
        <f>'Salary Record'!K432</f>
        <v>33419.354838709674</v>
      </c>
      <c r="L28" s="26">
        <f>'Salary Record'!G430</f>
        <v>0</v>
      </c>
      <c r="M28" s="19">
        <f>'Salary Record'!G431</f>
        <v>0</v>
      </c>
      <c r="N28" s="20" t="str">
        <f>'Salary Record'!G432</f>
        <v/>
      </c>
      <c r="O28" s="19">
        <f>'Salary Record'!G433</f>
        <v>0</v>
      </c>
      <c r="P28" s="20" t="str">
        <f>'Salary Record'!G434</f>
        <v/>
      </c>
      <c r="Q28" s="26">
        <f>'Salary Record'!K434</f>
        <v>33419.354838709674</v>
      </c>
      <c r="R28" s="61"/>
      <c r="S28" s="62"/>
      <c r="T28" s="61"/>
      <c r="U28" s="61"/>
      <c r="V28" s="62"/>
      <c r="W28" s="62"/>
      <c r="X28" s="62"/>
      <c r="Y28" s="62"/>
      <c r="Z28" s="62"/>
    </row>
    <row r="29" spans="1:26" ht="16.899999999999999" customHeight="1" x14ac:dyDescent="0.2">
      <c r="A29" s="63">
        <v>4</v>
      </c>
      <c r="B29" s="377" t="str">
        <f>'Salary Record'!C397</f>
        <v>Junaid</v>
      </c>
      <c r="C29" s="75"/>
      <c r="D29" s="76"/>
      <c r="E29" s="26">
        <f>'Salary Record'!K396</f>
        <v>30000</v>
      </c>
      <c r="F29" s="19">
        <f>'Salary Record'!C402</f>
        <v>0</v>
      </c>
      <c r="G29" s="77">
        <f>'Salary Record'!C403</f>
        <v>0</v>
      </c>
      <c r="H29" s="19">
        <f>'Salary Record'!I401</f>
        <v>69</v>
      </c>
      <c r="I29" s="26">
        <f>'Salary Record'!I400</f>
        <v>31</v>
      </c>
      <c r="J29" s="18">
        <f>'Salary Record'!K401</f>
        <v>8346.7741935483864</v>
      </c>
      <c r="K29" s="19">
        <f>'Salary Record'!K402</f>
        <v>38346.774193548386</v>
      </c>
      <c r="L29" s="26">
        <f>'Salary Record'!G400</f>
        <v>0</v>
      </c>
      <c r="M29" s="26">
        <f>'Salary Record'!G401</f>
        <v>0</v>
      </c>
      <c r="N29" s="20">
        <f>'Salary Record'!G402</f>
        <v>0</v>
      </c>
      <c r="O29" s="26">
        <f>'Salary Record'!G403</f>
        <v>0</v>
      </c>
      <c r="P29" s="20">
        <f>'Salary Record'!G404</f>
        <v>0</v>
      </c>
      <c r="Q29" s="26">
        <f>'Salary Record'!K404</f>
        <v>38346.774193548386</v>
      </c>
      <c r="R29" s="61"/>
      <c r="S29" s="62"/>
      <c r="T29" s="61"/>
      <c r="U29" s="62"/>
      <c r="V29" s="61"/>
      <c r="W29" s="62"/>
      <c r="X29" s="62"/>
      <c r="Y29" s="62"/>
      <c r="Z29" s="62"/>
    </row>
    <row r="30" spans="1:26" ht="12.75" customHeight="1" x14ac:dyDescent="0.3">
      <c r="A30" s="415" t="s">
        <v>23</v>
      </c>
      <c r="B30" s="413"/>
      <c r="C30" s="36"/>
      <c r="D30" s="36"/>
      <c r="E30" s="37">
        <f>SUM(E26:E29)</f>
        <v>126500</v>
      </c>
      <c r="F30" s="36"/>
      <c r="G30" s="36"/>
      <c r="H30" s="36"/>
      <c r="I30" s="36"/>
      <c r="J30" s="78">
        <f t="shared" ref="J30:K30" si="2">SUM(J26:J29)</f>
        <v>22050.403225806451</v>
      </c>
      <c r="K30" s="78">
        <f t="shared" si="2"/>
        <v>148550.40322580645</v>
      </c>
      <c r="L30" s="36"/>
      <c r="M30" s="36"/>
      <c r="N30" s="36"/>
      <c r="O30" s="36"/>
      <c r="P30" s="36"/>
      <c r="Q30" s="407">
        <f>SUM(Q26:Q29)</f>
        <v>148550.40322580645</v>
      </c>
      <c r="R30" s="39"/>
      <c r="S30" s="41"/>
      <c r="T30" s="41"/>
      <c r="U30" s="40"/>
      <c r="V30" s="40"/>
      <c r="W30" s="40"/>
      <c r="X30" s="40"/>
      <c r="Y30" s="40"/>
      <c r="Z30" s="40"/>
    </row>
    <row r="31" spans="1:26" ht="12.75" customHeight="1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  <c r="R31" s="41"/>
      <c r="S31" s="41">
        <f>Q30+Q37+Q40+Q42+Q43+Q80+Q81+Q54+Q85+Q86+Q51+Q87</f>
        <v>701506.04838709673</v>
      </c>
      <c r="T31" s="41"/>
      <c r="U31" s="40"/>
      <c r="V31" s="40"/>
      <c r="W31" s="40"/>
      <c r="X31" s="40"/>
      <c r="Y31" s="40"/>
      <c r="Z31" s="40"/>
    </row>
    <row r="32" spans="1:26" ht="21" customHeight="1" x14ac:dyDescent="0.2">
      <c r="A32" s="414" t="s">
        <v>30</v>
      </c>
      <c r="B32" s="412"/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2"/>
      <c r="P32" s="412"/>
      <c r="Q32" s="413"/>
      <c r="R32" s="79"/>
      <c r="S32" s="45"/>
      <c r="T32" s="46"/>
      <c r="U32" s="45"/>
      <c r="V32" s="45"/>
      <c r="W32" s="45"/>
      <c r="X32" s="45"/>
      <c r="Y32" s="45"/>
      <c r="Z32" s="45"/>
    </row>
    <row r="33" spans="1:26" ht="14.45" customHeight="1" x14ac:dyDescent="0.2">
      <c r="A33" s="14">
        <v>1</v>
      </c>
      <c r="B33" s="377" t="str">
        <f>'Salary Record'!C487</f>
        <v>Ahsan Razak</v>
      </c>
      <c r="C33" s="30"/>
      <c r="D33" s="31"/>
      <c r="E33" s="19">
        <f>'Salary Record'!K486</f>
        <v>31500</v>
      </c>
      <c r="F33" s="19">
        <f>'Salary Record'!C492</f>
        <v>0</v>
      </c>
      <c r="G33" s="25">
        <f>'Salary Record'!C493</f>
        <v>0</v>
      </c>
      <c r="H33" s="19">
        <f>'Salary Record'!I491</f>
        <v>101</v>
      </c>
      <c r="I33" s="19">
        <f>'Salary Record'!I490</f>
        <v>31</v>
      </c>
      <c r="J33" s="25">
        <f>'Salary Record'!K491</f>
        <v>12828.629032258064</v>
      </c>
      <c r="K33" s="25">
        <f>'Salary Record'!K492</f>
        <v>44328.629032258061</v>
      </c>
      <c r="L33" s="26">
        <f>'Salary Record'!G490</f>
        <v>0</v>
      </c>
      <c r="M33" s="19">
        <f>'Salary Record'!G491</f>
        <v>0</v>
      </c>
      <c r="N33" s="20" t="str">
        <f>'Salary Record'!G492</f>
        <v/>
      </c>
      <c r="O33" s="19">
        <f>'Salary Record'!G493</f>
        <v>0</v>
      </c>
      <c r="P33" s="20" t="str">
        <f>'Salary Record'!G494</f>
        <v/>
      </c>
      <c r="Q33" s="26">
        <f>'Salary Record'!K494</f>
        <v>44328.629032258061</v>
      </c>
      <c r="R33" s="22" t="s">
        <v>29</v>
      </c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">
      <c r="A34" s="14">
        <v>2</v>
      </c>
      <c r="B34" s="377" t="str">
        <f>'Salary Record'!C457</f>
        <v>Suleman Dilawer</v>
      </c>
      <c r="C34" s="53"/>
      <c r="D34" s="20"/>
      <c r="E34" s="19">
        <f>'Salary Record'!K456</f>
        <v>30000</v>
      </c>
      <c r="F34" s="19">
        <f>'Salary Record'!C462</f>
        <v>0</v>
      </c>
      <c r="G34" s="25">
        <f>'Salary Record'!C463</f>
        <v>0</v>
      </c>
      <c r="H34" s="19">
        <f>'Salary Record'!I461</f>
        <v>73</v>
      </c>
      <c r="I34" s="19">
        <f>'Salary Record'!I460</f>
        <v>31</v>
      </c>
      <c r="J34" s="18">
        <f>'Salary Record'!K461</f>
        <v>8830.645161290322</v>
      </c>
      <c r="K34" s="18">
        <f>'Salary Record'!K462</f>
        <v>38830.645161290318</v>
      </c>
      <c r="L34" s="26">
        <f>'Salary Record'!G460</f>
        <v>0</v>
      </c>
      <c r="M34" s="19">
        <f>'Salary Record'!G461</f>
        <v>0</v>
      </c>
      <c r="N34" s="20" t="str">
        <f>'Salary Record'!G462</f>
        <v/>
      </c>
      <c r="O34" s="19">
        <f>'Salary Record'!G463</f>
        <v>0</v>
      </c>
      <c r="P34" s="20" t="str">
        <f>'Salary Record'!G464</f>
        <v/>
      </c>
      <c r="Q34" s="26">
        <f>'Salary Record'!K464</f>
        <v>38830.645161290318</v>
      </c>
      <c r="R34" s="22"/>
      <c r="S34" s="22"/>
      <c r="T34" s="22"/>
      <c r="U34" s="23"/>
      <c r="V34" s="23"/>
      <c r="W34" s="23"/>
      <c r="X34" s="23"/>
      <c r="Y34" s="23"/>
      <c r="Z34" s="23"/>
    </row>
    <row r="35" spans="1:26" ht="14.45" customHeight="1" x14ac:dyDescent="0.2">
      <c r="A35" s="14">
        <v>3</v>
      </c>
      <c r="B35" s="377" t="str">
        <f>'Salary Record'!C472</f>
        <v>Mumtaz Ali Chakar</v>
      </c>
      <c r="C35" s="53"/>
      <c r="D35" s="20"/>
      <c r="E35" s="80">
        <f>'Salary Record'!K471</f>
        <v>42500</v>
      </c>
      <c r="F35" s="80">
        <f>'Salary Record'!C477</f>
        <v>0</v>
      </c>
      <c r="G35" s="18">
        <f>'Salary Record'!C478</f>
        <v>0</v>
      </c>
      <c r="H35" s="80">
        <f>'Salary Record'!I476</f>
        <v>23</v>
      </c>
      <c r="I35" s="80">
        <f>'Salary Record'!I475</f>
        <v>31</v>
      </c>
      <c r="J35" s="18">
        <f>'Salary Record'!K476</f>
        <v>3941.5322580645161</v>
      </c>
      <c r="K35" s="19">
        <f>'Salary Record'!K477</f>
        <v>46441.532258064515</v>
      </c>
      <c r="L35" s="26">
        <f>'Salary Record'!G475</f>
        <v>0</v>
      </c>
      <c r="M35" s="19">
        <f>'Salary Record'!G476</f>
        <v>0</v>
      </c>
      <c r="N35" s="20">
        <f>'Salary Record'!G477</f>
        <v>0</v>
      </c>
      <c r="O35" s="19">
        <f>'Salary Record'!G478</f>
        <v>0</v>
      </c>
      <c r="P35" s="20">
        <f>'Salary Record'!G479</f>
        <v>0</v>
      </c>
      <c r="Q35" s="26">
        <f>'Salary Record'!K479</f>
        <v>46441.532258064515</v>
      </c>
      <c r="R35" s="22"/>
      <c r="S35" s="22"/>
      <c r="T35" s="22"/>
      <c r="U35" s="23"/>
      <c r="V35" s="23"/>
      <c r="W35" s="23"/>
      <c r="X35" s="23"/>
      <c r="Y35" s="23"/>
      <c r="Z35" s="23"/>
    </row>
    <row r="36" spans="1:26" ht="14.45" customHeight="1" x14ac:dyDescent="0.25">
      <c r="A36" s="14">
        <v>4</v>
      </c>
      <c r="B36" s="377" t="str">
        <f>'Salary Record'!C502</f>
        <v>Sufyan</v>
      </c>
      <c r="C36" s="81"/>
      <c r="D36" s="82"/>
      <c r="E36" s="83">
        <f>'Salary Record'!K501</f>
        <v>28000</v>
      </c>
      <c r="F36" s="83">
        <f>'Salary Record'!C507</f>
        <v>0</v>
      </c>
      <c r="G36" s="84">
        <f>'Salary Record'!C508</f>
        <v>0</v>
      </c>
      <c r="H36" s="83">
        <f>'Salary Record'!I506</f>
        <v>138</v>
      </c>
      <c r="I36" s="83">
        <f>'Salary Record'!I505</f>
        <v>31</v>
      </c>
      <c r="J36" s="85">
        <f>'Salary Record'!K506</f>
        <v>15580.645161290324</v>
      </c>
      <c r="K36" s="85">
        <f>'Salary Record'!K507</f>
        <v>43580.645161290326</v>
      </c>
      <c r="L36" s="83">
        <f>'Salary Record'!G505</f>
        <v>0</v>
      </c>
      <c r="M36" s="83">
        <f>'Salary Record'!G506</f>
        <v>0</v>
      </c>
      <c r="N36" s="86" t="str">
        <f>'Salary Record'!G507</f>
        <v/>
      </c>
      <c r="O36" s="83">
        <f>'Salary Record'!G508</f>
        <v>0</v>
      </c>
      <c r="P36" s="86" t="str">
        <f>'Salary Record'!G509</f>
        <v/>
      </c>
      <c r="Q36" s="87">
        <f>'Salary Record'!K509</f>
        <v>43580.645161290326</v>
      </c>
      <c r="R36" s="88"/>
      <c r="S36" s="22"/>
      <c r="T36" s="13"/>
    </row>
    <row r="37" spans="1:26" ht="12.75" customHeight="1" x14ac:dyDescent="0.3">
      <c r="A37" s="415" t="s">
        <v>23</v>
      </c>
      <c r="B37" s="413"/>
      <c r="C37" s="36"/>
      <c r="D37" s="36"/>
      <c r="E37" s="37">
        <f>SUM(E33:E36)</f>
        <v>132000</v>
      </c>
      <c r="F37" s="36"/>
      <c r="G37" s="36"/>
      <c r="H37" s="36"/>
      <c r="I37" s="36"/>
      <c r="J37" s="37">
        <f t="shared" ref="J37:K37" si="3">SUM(J33:J36)</f>
        <v>41181.451612903227</v>
      </c>
      <c r="K37" s="37">
        <f t="shared" si="3"/>
        <v>173181.45161290321</v>
      </c>
      <c r="L37" s="36"/>
      <c r="M37" s="36"/>
      <c r="N37" s="36"/>
      <c r="O37" s="36"/>
      <c r="P37" s="36"/>
      <c r="Q37" s="38">
        <f>SUM(Q33:Q36)</f>
        <v>173181.45161290321</v>
      </c>
      <c r="R37" s="39"/>
      <c r="S37" s="41"/>
      <c r="T37" s="41"/>
      <c r="U37" s="40"/>
      <c r="V37" s="40"/>
      <c r="W37" s="40"/>
      <c r="X37" s="40"/>
      <c r="Y37" s="40"/>
      <c r="Z37" s="40"/>
    </row>
    <row r="38" spans="1:26" ht="12.75" customHeight="1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1"/>
      <c r="S38" s="40"/>
      <c r="T38" s="41"/>
      <c r="U38" s="40"/>
      <c r="V38" s="40"/>
      <c r="W38" s="40"/>
      <c r="X38" s="40"/>
      <c r="Y38" s="40"/>
      <c r="Z38" s="40"/>
    </row>
    <row r="39" spans="1:26" ht="21" customHeight="1" x14ac:dyDescent="0.2">
      <c r="A39" s="433" t="s">
        <v>31</v>
      </c>
      <c r="B39" s="412"/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  <c r="R39" s="89"/>
      <c r="S39" s="90">
        <f>Q40+Q44+Q45+Q46+Q87</f>
        <v>273326.61290322582</v>
      </c>
      <c r="T39" s="90"/>
      <c r="U39" s="91"/>
      <c r="V39" s="91"/>
      <c r="W39" s="91"/>
      <c r="X39" s="91"/>
      <c r="Y39" s="91"/>
      <c r="Z39" s="91"/>
    </row>
    <row r="40" spans="1:26" s="285" customFormat="1" ht="16.149999999999999" customHeight="1" x14ac:dyDescent="0.2">
      <c r="A40" s="310">
        <v>1</v>
      </c>
      <c r="B40" s="273" t="s">
        <v>32</v>
      </c>
      <c r="C40" s="367"/>
      <c r="D40" s="360"/>
      <c r="E40" s="314">
        <f>'Salary Record'!K155</f>
        <v>70000</v>
      </c>
      <c r="F40" s="314">
        <f>'Salary Record'!C161</f>
        <v>0</v>
      </c>
      <c r="G40" s="314">
        <f>'Salary Record'!C162</f>
        <v>0</v>
      </c>
      <c r="H40" s="314">
        <f>'Salary Record'!I160</f>
        <v>49</v>
      </c>
      <c r="I40" s="314">
        <f>'Salary Record'!I159</f>
        <v>31</v>
      </c>
      <c r="J40" s="330">
        <f>'Salary Record'!K160</f>
        <v>13830.645161290322</v>
      </c>
      <c r="K40" s="318">
        <f>'Salary Record'!K161</f>
        <v>83830.645161290318</v>
      </c>
      <c r="L40" s="315">
        <f>'Salary Record'!G159</f>
        <v>0</v>
      </c>
      <c r="M40" s="319">
        <f>'Salary Record'!G160</f>
        <v>0</v>
      </c>
      <c r="N40" s="317" t="str">
        <f>'Salary Record'!G161</f>
        <v/>
      </c>
      <c r="O40" s="319">
        <f>'Salary Record'!G162</f>
        <v>0</v>
      </c>
      <c r="P40" s="317" t="str">
        <f>'Salary Record'!G163</f>
        <v/>
      </c>
      <c r="Q40" s="315">
        <f>'Salary Record'!K163</f>
        <v>83830.645161290318</v>
      </c>
      <c r="R40" s="340" t="s">
        <v>33</v>
      </c>
      <c r="S40" s="340"/>
      <c r="T40" s="340"/>
      <c r="U40" s="340"/>
      <c r="V40" s="341"/>
      <c r="W40" s="341"/>
      <c r="X40" s="341"/>
      <c r="Y40" s="341"/>
      <c r="Z40" s="341"/>
    </row>
    <row r="41" spans="1:26" ht="16.149999999999999" customHeight="1" x14ac:dyDescent="0.2">
      <c r="A41" s="24">
        <v>2</v>
      </c>
      <c r="B41" s="273" t="s">
        <v>34</v>
      </c>
      <c r="C41" s="92"/>
      <c r="D41" s="31"/>
      <c r="E41" s="19">
        <f>'Salary Record'!K125</f>
        <v>42000</v>
      </c>
      <c r="F41" s="19">
        <f>'Salary Record'!C131</f>
        <v>0</v>
      </c>
      <c r="G41" s="25">
        <f>'Salary Record'!C132</f>
        <v>0</v>
      </c>
      <c r="H41" s="19">
        <f>'Salary Record'!I130</f>
        <v>53</v>
      </c>
      <c r="I41" s="19">
        <f>'Salary Record'!I129</f>
        <v>31</v>
      </c>
      <c r="J41" s="18">
        <f>'Salary Record'!K130</f>
        <v>8975.8064516129034</v>
      </c>
      <c r="K41" s="19">
        <f>'Salary Record'!K131</f>
        <v>50975.806451612902</v>
      </c>
      <c r="L41" s="26">
        <f>'Salary Record'!G129</f>
        <v>0</v>
      </c>
      <c r="M41" s="19">
        <f>'Salary Record'!G130</f>
        <v>0</v>
      </c>
      <c r="N41" s="20">
        <f>'Salary Record'!G131</f>
        <v>0</v>
      </c>
      <c r="O41" s="19">
        <f>'Salary Record'!G132</f>
        <v>0</v>
      </c>
      <c r="P41" s="20">
        <f>'Salary Record'!G133</f>
        <v>0</v>
      </c>
      <c r="Q41" s="26">
        <f>'Salary Record'!K133</f>
        <v>50975.806451612902</v>
      </c>
      <c r="R41" s="22" t="s">
        <v>35</v>
      </c>
      <c r="S41" s="22" t="s">
        <v>36</v>
      </c>
      <c r="T41" s="22"/>
      <c r="U41" s="22">
        <f>79400+48230+39000</f>
        <v>166630</v>
      </c>
      <c r="V41" s="23"/>
      <c r="W41" s="23"/>
      <c r="X41" s="23"/>
      <c r="Y41" s="23"/>
      <c r="Z41" s="23"/>
    </row>
    <row r="42" spans="1:26" s="285" customFormat="1" ht="16.149999999999999" customHeight="1" x14ac:dyDescent="0.2">
      <c r="A42" s="310">
        <v>3</v>
      </c>
      <c r="B42" s="273" t="s">
        <v>37</v>
      </c>
      <c r="C42" s="356"/>
      <c r="D42" s="357"/>
      <c r="E42" s="314">
        <f>'Salary Record'!K531</f>
        <v>40000</v>
      </c>
      <c r="F42" s="314">
        <f>'Salary Record'!C537</f>
        <v>0</v>
      </c>
      <c r="G42" s="314">
        <f>'Salary Record'!C538</f>
        <v>0</v>
      </c>
      <c r="H42" s="314">
        <f>'Salary Record'!I536</f>
        <v>111</v>
      </c>
      <c r="I42" s="314">
        <f>'Salary Record'!I535</f>
        <v>31</v>
      </c>
      <c r="J42" s="330">
        <f>'Salary Record'!K536</f>
        <v>17903.225806451614</v>
      </c>
      <c r="K42" s="319">
        <f>'Salary Record'!K537</f>
        <v>57903.225806451614</v>
      </c>
      <c r="L42" s="315">
        <f>'Salary Record'!G535</f>
        <v>0</v>
      </c>
      <c r="M42" s="319">
        <f>'Salary Record'!G536</f>
        <v>0</v>
      </c>
      <c r="N42" s="317" t="str">
        <f>'Salary Record'!G537</f>
        <v/>
      </c>
      <c r="O42" s="319">
        <f>'Salary Record'!G538</f>
        <v>0</v>
      </c>
      <c r="P42" s="317" t="str">
        <f>'Salary Record'!G539</f>
        <v/>
      </c>
      <c r="Q42" s="315">
        <f>'Salary Record'!K539</f>
        <v>57903.225806451614</v>
      </c>
      <c r="R42" s="340" t="s">
        <v>38</v>
      </c>
      <c r="S42" s="341" t="s">
        <v>39</v>
      </c>
      <c r="T42" s="340"/>
      <c r="U42" s="340"/>
      <c r="V42" s="340"/>
      <c r="W42" s="341"/>
      <c r="X42" s="341"/>
      <c r="Y42" s="341"/>
      <c r="Z42" s="341"/>
    </row>
    <row r="43" spans="1:26" ht="16.149999999999999" customHeight="1" x14ac:dyDescent="0.2">
      <c r="A43" s="24">
        <v>4</v>
      </c>
      <c r="B43" s="273" t="str">
        <f>'Salary Record'!C171</f>
        <v>Amjad Ustad</v>
      </c>
      <c r="C43" s="53"/>
      <c r="D43" s="20"/>
      <c r="E43" s="69">
        <f>'Salary Record'!K170</f>
        <v>55000</v>
      </c>
      <c r="F43" s="26">
        <f>'Salary Record'!C176</f>
        <v>0</v>
      </c>
      <c r="G43" s="54">
        <f>'Salary Record'!C177</f>
        <v>0</v>
      </c>
      <c r="H43" s="26">
        <f>'Salary Record'!I175</f>
        <v>0</v>
      </c>
      <c r="I43" s="26">
        <f>'Salary Record'!I174</f>
        <v>31</v>
      </c>
      <c r="J43" s="18">
        <f>'Salary Record'!K175</f>
        <v>0</v>
      </c>
      <c r="K43" s="18">
        <f>'Salary Record'!K176</f>
        <v>55000</v>
      </c>
      <c r="L43" s="26">
        <f>'Salary Record'!G174</f>
        <v>0</v>
      </c>
      <c r="M43" s="26">
        <f>'Salary Record'!G175</f>
        <v>0</v>
      </c>
      <c r="N43" s="20" t="str">
        <f>'Salary Record'!G176</f>
        <v/>
      </c>
      <c r="O43" s="26">
        <f>'Salary Record'!G177</f>
        <v>0</v>
      </c>
      <c r="P43" s="20" t="str">
        <f>'Salary Record'!G178</f>
        <v/>
      </c>
      <c r="Q43" s="26">
        <f>'Salary Record'!K178</f>
        <v>55000</v>
      </c>
      <c r="R43" s="22" t="s">
        <v>40</v>
      </c>
      <c r="S43" s="22"/>
      <c r="T43" s="22"/>
      <c r="U43" s="22"/>
      <c r="V43" s="23"/>
      <c r="W43" s="23"/>
      <c r="X43" s="23"/>
      <c r="Y43" s="23"/>
      <c r="Z43" s="23"/>
    </row>
    <row r="44" spans="1:26" ht="16.149999999999999" customHeight="1" x14ac:dyDescent="0.2">
      <c r="A44" s="24">
        <v>5</v>
      </c>
      <c r="B44" s="273" t="str">
        <f>'Salary Record'!C578</f>
        <v>Nadeem Painter</v>
      </c>
      <c r="C44" s="93"/>
      <c r="D44" s="94"/>
      <c r="E44" s="95">
        <f>'Salary Record'!K577</f>
        <v>35000</v>
      </c>
      <c r="F44" s="95">
        <f>'Salary Record'!C583</f>
        <v>0</v>
      </c>
      <c r="G44" s="25">
        <f>'Salary Record'!C584</f>
        <v>0</v>
      </c>
      <c r="H44" s="95">
        <f>'Salary Record'!I582</f>
        <v>196</v>
      </c>
      <c r="I44" s="95">
        <f>'Salary Record'!I581</f>
        <v>31</v>
      </c>
      <c r="J44" s="18">
        <f>'Salary Record'!K582</f>
        <v>27661.290322580644</v>
      </c>
      <c r="K44" s="18">
        <f>'Salary Record'!K583</f>
        <v>62661.290322580644</v>
      </c>
      <c r="L44" s="26">
        <f>'Salary Record'!G581</f>
        <v>0</v>
      </c>
      <c r="M44" s="19">
        <f>'Salary Record'!G582</f>
        <v>0</v>
      </c>
      <c r="N44" s="20" t="str">
        <f>'Salary Record'!G583</f>
        <v/>
      </c>
      <c r="O44" s="19">
        <f>'Salary Record'!G584</f>
        <v>0</v>
      </c>
      <c r="P44" s="20" t="str">
        <f>'Salary Record'!G585</f>
        <v/>
      </c>
      <c r="Q44" s="339">
        <f>'Salary Record'!K585</f>
        <v>62661.290322580644</v>
      </c>
      <c r="R44" s="22"/>
      <c r="S44" s="23"/>
      <c r="T44" s="22"/>
      <c r="U44" s="22"/>
      <c r="V44" s="23"/>
      <c r="W44" s="23"/>
      <c r="X44" s="23"/>
      <c r="Y44" s="23"/>
      <c r="Z44" s="23"/>
    </row>
    <row r="45" spans="1:26" s="285" customFormat="1" ht="16.149999999999999" customHeight="1" x14ac:dyDescent="0.2">
      <c r="A45" s="310">
        <v>6</v>
      </c>
      <c r="B45" s="273" t="str">
        <f>'Salary Record'!C609</f>
        <v>Khushnood</v>
      </c>
      <c r="C45" s="362"/>
      <c r="D45" s="363"/>
      <c r="E45" s="313">
        <f>'Salary Record'!K608</f>
        <v>50000</v>
      </c>
      <c r="F45" s="319">
        <f>'Salary Record'!C614</f>
        <v>0</v>
      </c>
      <c r="G45" s="314">
        <f>'Salary Record'!C615</f>
        <v>0</v>
      </c>
      <c r="H45" s="319">
        <f>'Salary Record'!I613</f>
        <v>14</v>
      </c>
      <c r="I45" s="319">
        <f>'Salary Record'!I612</f>
        <v>31</v>
      </c>
      <c r="J45" s="314">
        <f>'Salary Record'!K613</f>
        <v>2822.5806451612907</v>
      </c>
      <c r="K45" s="314">
        <f>'Salary Record'!K614</f>
        <v>52822.580645161288</v>
      </c>
      <c r="L45" s="315">
        <f>'Salary Record'!G612</f>
        <v>0</v>
      </c>
      <c r="M45" s="319">
        <f>'Salary Record'!G613</f>
        <v>0</v>
      </c>
      <c r="N45" s="317" t="str">
        <f>'Salary Record'!G614</f>
        <v/>
      </c>
      <c r="O45" s="319">
        <f>'Salary Record'!G615</f>
        <v>0</v>
      </c>
      <c r="P45" s="317" t="str">
        <f>'Salary Record'!G616</f>
        <v/>
      </c>
      <c r="Q45" s="315">
        <f>'Salary Record'!K616</f>
        <v>52822.580645161288</v>
      </c>
      <c r="R45" s="340"/>
      <c r="S45" s="340"/>
      <c r="T45" s="340"/>
      <c r="U45" s="340"/>
      <c r="V45" s="341"/>
      <c r="W45" s="341"/>
      <c r="X45" s="341"/>
      <c r="Y45" s="341"/>
      <c r="Z45" s="341"/>
    </row>
    <row r="46" spans="1:26" ht="16.149999999999999" customHeight="1" x14ac:dyDescent="0.25">
      <c r="A46" s="24">
        <v>7</v>
      </c>
      <c r="B46" s="273" t="str">
        <f>'Salary Record'!C625</f>
        <v>Fahad Fareed</v>
      </c>
      <c r="C46" s="96"/>
      <c r="D46" s="97"/>
      <c r="E46" s="83">
        <f>'Salary Record'!K624</f>
        <v>25000</v>
      </c>
      <c r="F46" s="83">
        <f>'Salary Record'!C630</f>
        <v>0</v>
      </c>
      <c r="G46" s="84">
        <f>'Salary Record'!C631</f>
        <v>0</v>
      </c>
      <c r="H46" s="83">
        <f>'Salary Record'!I629</f>
        <v>128</v>
      </c>
      <c r="I46" s="83">
        <f>'Salary Record'!I628</f>
        <v>0</v>
      </c>
      <c r="J46" s="98">
        <f>'Salary Record'!K629</f>
        <v>12903.225806451614</v>
      </c>
      <c r="K46" s="98">
        <f>'Salary Record'!K630</f>
        <v>12903.225806451614</v>
      </c>
      <c r="L46" s="99">
        <f>'Salary Record'!G628</f>
        <v>0</v>
      </c>
      <c r="M46" s="99">
        <f>'Salary Record'!G629</f>
        <v>0</v>
      </c>
      <c r="N46" s="100">
        <f>'Salary Record'!G630</f>
        <v>0</v>
      </c>
      <c r="O46" s="99">
        <f>'Salary Record'!G631</f>
        <v>0</v>
      </c>
      <c r="P46" s="100">
        <f>'Salary Record'!G632</f>
        <v>0</v>
      </c>
      <c r="Q46" s="99">
        <f>'Salary Record'!K632</f>
        <v>12903.225806451614</v>
      </c>
      <c r="R46" s="88"/>
      <c r="S46" s="13"/>
      <c r="T46" s="13"/>
      <c r="U46" s="13"/>
      <c r="V46" s="13"/>
      <c r="W46" s="13"/>
      <c r="X46" s="13"/>
    </row>
    <row r="47" spans="1:26" s="285" customFormat="1" ht="16.149999999999999" customHeight="1" x14ac:dyDescent="0.2">
      <c r="A47" s="310">
        <v>8</v>
      </c>
      <c r="B47" s="273" t="str">
        <f>'Salary Record'!C201</f>
        <v>Gul Sher</v>
      </c>
      <c r="C47" s="364"/>
      <c r="D47" s="363"/>
      <c r="E47" s="315">
        <f>'Salary Record'!K200</f>
        <v>30000</v>
      </c>
      <c r="F47" s="315">
        <f>'Salary Record'!C206</f>
        <v>0</v>
      </c>
      <c r="G47" s="358">
        <f>'Salary Record'!C207</f>
        <v>0</v>
      </c>
      <c r="H47" s="315">
        <f>'Salary Record'!I205</f>
        <v>25</v>
      </c>
      <c r="I47" s="315">
        <f>'Salary Record'!I204</f>
        <v>31</v>
      </c>
      <c r="J47" s="365">
        <f>'Salary Record'!K205</f>
        <v>3024.1935483870966</v>
      </c>
      <c r="K47" s="365">
        <f>'Salary Record'!K206</f>
        <v>33024.193548387098</v>
      </c>
      <c r="L47" s="354">
        <f>'Salary Record'!G204</f>
        <v>0</v>
      </c>
      <c r="M47" s="354">
        <f>'Salary Record'!G205</f>
        <v>0</v>
      </c>
      <c r="N47" s="366" t="str">
        <f>'Salary Record'!G206</f>
        <v/>
      </c>
      <c r="O47" s="354">
        <f>'Salary Record'!G207</f>
        <v>0</v>
      </c>
      <c r="P47" s="366" t="str">
        <f>'Salary Record'!G208</f>
        <v/>
      </c>
      <c r="Q47" s="354">
        <f>'Salary Record'!K208</f>
        <v>33024.193548387098</v>
      </c>
      <c r="R47" s="340" t="s">
        <v>41</v>
      </c>
      <c r="S47" s="340" t="s">
        <v>42</v>
      </c>
      <c r="T47" s="340"/>
      <c r="U47" s="340"/>
      <c r="V47" s="340"/>
      <c r="W47" s="340"/>
      <c r="X47" s="340"/>
      <c r="Y47" s="341"/>
      <c r="Z47" s="341"/>
    </row>
    <row r="48" spans="1:26" ht="12.75" customHeight="1" x14ac:dyDescent="0.3">
      <c r="A48" s="415" t="s">
        <v>23</v>
      </c>
      <c r="B48" s="413"/>
      <c r="C48" s="36"/>
      <c r="D48" s="36"/>
      <c r="E48" s="37">
        <f>SUM(E40:E47)</f>
        <v>347000</v>
      </c>
      <c r="F48" s="36"/>
      <c r="G48" s="36"/>
      <c r="H48" s="36"/>
      <c r="I48" s="36"/>
      <c r="J48" s="37">
        <f t="shared" ref="J48:K48" si="4">SUM(J40:J47)</f>
        <v>87120.967741935485</v>
      </c>
      <c r="K48" s="37">
        <f t="shared" si="4"/>
        <v>409120.96774193546</v>
      </c>
      <c r="L48" s="36"/>
      <c r="M48" s="36"/>
      <c r="N48" s="36"/>
      <c r="O48" s="36"/>
      <c r="P48" s="36"/>
      <c r="Q48" s="38">
        <f>SUM(Q40:Q47)</f>
        <v>409120.96774193546</v>
      </c>
      <c r="R48" s="39"/>
      <c r="S48" s="40"/>
      <c r="T48" s="41"/>
      <c r="U48" s="40"/>
      <c r="V48" s="40"/>
      <c r="W48" s="40"/>
      <c r="X48" s="40"/>
      <c r="Y48" s="40"/>
      <c r="Z48" s="40"/>
    </row>
    <row r="49" spans="1:26" ht="21" customHeight="1" x14ac:dyDescent="0.2">
      <c r="A49" s="411" t="s">
        <v>43</v>
      </c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3"/>
      <c r="R49" s="101"/>
      <c r="S49" s="57"/>
      <c r="T49" s="57"/>
      <c r="U49" s="58"/>
      <c r="V49" s="58"/>
      <c r="W49" s="58"/>
      <c r="X49" s="58"/>
      <c r="Y49" s="58"/>
      <c r="Z49" s="58"/>
    </row>
    <row r="50" spans="1:26" s="285" customFormat="1" ht="15" customHeight="1" x14ac:dyDescent="0.2">
      <c r="A50" s="310">
        <v>1</v>
      </c>
      <c r="B50" s="273" t="s">
        <v>44</v>
      </c>
      <c r="C50" s="342"/>
      <c r="D50" s="343"/>
      <c r="E50" s="319">
        <f>'Salary Record'!K335</f>
        <v>25000</v>
      </c>
      <c r="F50" s="319">
        <f>'Salary Record'!C341</f>
        <v>0</v>
      </c>
      <c r="G50" s="314">
        <f>'Salary Record'!C342</f>
        <v>0</v>
      </c>
      <c r="H50" s="319">
        <f>'Salary Record'!I340</f>
        <v>0</v>
      </c>
      <c r="I50" s="319">
        <f>'Salary Record'!I339</f>
        <v>31</v>
      </c>
      <c r="J50" s="318">
        <f>'Salary Record'!K340</f>
        <v>0</v>
      </c>
      <c r="K50" s="318">
        <f>'Salary Record'!K341</f>
        <v>25000</v>
      </c>
      <c r="L50" s="315">
        <f>'Salary Record'!G339</f>
        <v>0</v>
      </c>
      <c r="M50" s="319">
        <f>'Salary Record'!G340</f>
        <v>0</v>
      </c>
      <c r="N50" s="317" t="str">
        <f>'Salary Record'!G341</f>
        <v/>
      </c>
      <c r="O50" s="319">
        <f>'Salary Record'!G342</f>
        <v>0</v>
      </c>
      <c r="P50" s="317" t="str">
        <f>'Salary Record'!G343</f>
        <v/>
      </c>
      <c r="Q50" s="315">
        <f>'Salary Record'!K343</f>
        <v>25000</v>
      </c>
      <c r="R50" s="340"/>
      <c r="S50" s="340"/>
      <c r="T50" s="340"/>
      <c r="U50" s="340"/>
      <c r="V50" s="341"/>
      <c r="W50" s="341"/>
      <c r="X50" s="341"/>
      <c r="Y50" s="341"/>
      <c r="Z50" s="341"/>
    </row>
    <row r="51" spans="1:26" s="285" customFormat="1" ht="15" customHeight="1" x14ac:dyDescent="0.25">
      <c r="A51" s="310">
        <v>2</v>
      </c>
      <c r="B51" s="273" t="str">
        <f>'Salary Record'!C703</f>
        <v>Adeel</v>
      </c>
      <c r="C51" s="344"/>
      <c r="D51" s="345"/>
      <c r="E51" s="346">
        <f>'Salary Record'!K702</f>
        <v>30000</v>
      </c>
      <c r="F51" s="346">
        <f>'Salary Record'!C708</f>
        <v>0</v>
      </c>
      <c r="G51" s="347">
        <f>'Salary Record'!C709</f>
        <v>0</v>
      </c>
      <c r="H51" s="346">
        <f>'Salary Record'!I707</f>
        <v>81</v>
      </c>
      <c r="I51" s="346">
        <f>'Salary Record'!I706</f>
        <v>0</v>
      </c>
      <c r="J51" s="348">
        <f>'Salary Record'!K707</f>
        <v>9798.3870967741932</v>
      </c>
      <c r="K51" s="349">
        <f>'Salary Record'!K708</f>
        <v>9798.3870967741932</v>
      </c>
      <c r="L51" s="346">
        <f>'Salary Record'!G706</f>
        <v>0</v>
      </c>
      <c r="M51" s="346">
        <f>'Salary Record'!G707</f>
        <v>0</v>
      </c>
      <c r="N51" s="350" t="str">
        <f>'Salary Record'!G708</f>
        <v/>
      </c>
      <c r="O51" s="346">
        <f>'Salary Record'!G709</f>
        <v>0</v>
      </c>
      <c r="P51" s="350" t="str">
        <f>'Salary Record'!G710</f>
        <v/>
      </c>
      <c r="Q51" s="315">
        <f>'Salary Record'!K710</f>
        <v>9798.3870967741932</v>
      </c>
      <c r="R51" s="351"/>
      <c r="T51" s="352"/>
    </row>
    <row r="52" spans="1:26" s="285" customFormat="1" ht="15" customHeight="1" x14ac:dyDescent="0.2">
      <c r="A52" s="310">
        <v>3</v>
      </c>
      <c r="B52" s="273" t="str">
        <f>'Salary Record'!C306</f>
        <v>M. Sami</v>
      </c>
      <c r="C52" s="353" t="s">
        <v>45</v>
      </c>
      <c r="D52" s="329">
        <f>Q52</f>
        <v>40080.645161290318</v>
      </c>
      <c r="E52" s="319">
        <f>'Salary Record'!K305</f>
        <v>35000</v>
      </c>
      <c r="F52" s="319">
        <f>'Salary Record'!C311</f>
        <v>0</v>
      </c>
      <c r="G52" s="314">
        <f>'Salary Record'!C312</f>
        <v>0</v>
      </c>
      <c r="H52" s="319">
        <f>'Salary Record'!I310</f>
        <v>36</v>
      </c>
      <c r="I52" s="319">
        <f>'Salary Record'!I309</f>
        <v>31</v>
      </c>
      <c r="J52" s="318">
        <f>'Salary Record'!K310</f>
        <v>5080.645161290322</v>
      </c>
      <c r="K52" s="318">
        <f>'Salary Record'!K311</f>
        <v>40080.645161290318</v>
      </c>
      <c r="L52" s="315">
        <f>'Salary Record'!G309</f>
        <v>0</v>
      </c>
      <c r="M52" s="354">
        <f>'Salary Record'!G310</f>
        <v>0</v>
      </c>
      <c r="N52" s="355" t="str">
        <f>'Salary Record'!G311</f>
        <v/>
      </c>
      <c r="O52" s="354">
        <f>'Salary Record'!G312</f>
        <v>0</v>
      </c>
      <c r="P52" s="355" t="str">
        <f>'Salary Record'!G313</f>
        <v/>
      </c>
      <c r="Q52" s="354">
        <f>'Salary Record'!K313</f>
        <v>40080.645161290318</v>
      </c>
      <c r="R52" s="340"/>
      <c r="S52" s="340"/>
      <c r="T52" s="340"/>
      <c r="U52" s="340"/>
      <c r="V52" s="340"/>
      <c r="W52" s="341"/>
      <c r="X52" s="341"/>
      <c r="Y52" s="341"/>
      <c r="Z52" s="341"/>
    </row>
    <row r="53" spans="1:26" s="285" customFormat="1" ht="15" customHeight="1" x14ac:dyDescent="0.2">
      <c r="A53" s="310">
        <v>4</v>
      </c>
      <c r="B53" s="273" t="str">
        <f>'Salary Record'!C321</f>
        <v>Adil (FTC)</v>
      </c>
      <c r="C53" s="328"/>
      <c r="D53" s="329"/>
      <c r="E53" s="319">
        <f>'Salary Record'!K320</f>
        <v>27000</v>
      </c>
      <c r="F53" s="319">
        <f>'Salary Record'!C326</f>
        <v>0</v>
      </c>
      <c r="G53" s="314">
        <f>'Salary Record'!C327</f>
        <v>0</v>
      </c>
      <c r="H53" s="319">
        <f>'Salary Record'!I325</f>
        <v>0</v>
      </c>
      <c r="I53" s="319">
        <f>'Salary Record'!I324</f>
        <v>31</v>
      </c>
      <c r="J53" s="318">
        <f>'Salary Record'!K325</f>
        <v>0</v>
      </c>
      <c r="K53" s="318">
        <f>'Salary Record'!K326</f>
        <v>27000</v>
      </c>
      <c r="L53" s="315">
        <f>'Salary Record'!G324</f>
        <v>0</v>
      </c>
      <c r="M53" s="319">
        <f>'Salary Record'!G325</f>
        <v>0</v>
      </c>
      <c r="N53" s="317" t="str">
        <f>'Salary Record'!G326</f>
        <v/>
      </c>
      <c r="O53" s="319">
        <f>'Salary Record'!G327</f>
        <v>0</v>
      </c>
      <c r="P53" s="317" t="str">
        <f>'Salary Record'!G328</f>
        <v/>
      </c>
      <c r="Q53" s="315">
        <f>'Salary Record'!K328</f>
        <v>27000</v>
      </c>
      <c r="R53" s="340" t="s">
        <v>46</v>
      </c>
      <c r="S53" s="340"/>
      <c r="T53" s="340"/>
      <c r="U53" s="341"/>
      <c r="V53" s="341"/>
      <c r="W53" s="341"/>
      <c r="X53" s="341"/>
      <c r="Y53" s="341"/>
      <c r="Z53" s="341"/>
    </row>
    <row r="54" spans="1:26" s="285" customFormat="1" ht="15" customHeight="1" x14ac:dyDescent="0.2">
      <c r="A54" s="310">
        <v>5</v>
      </c>
      <c r="B54" s="311" t="str">
        <f>'Salary Record'!C733</f>
        <v>Muhammad Shehzad (42201-9791630-5)</v>
      </c>
      <c r="C54" s="337"/>
      <c r="D54" s="338"/>
      <c r="E54" s="319">
        <f>'Salary Record'!K732</f>
        <v>35000</v>
      </c>
      <c r="F54" s="319">
        <f>'Salary Record'!C738</f>
        <v>0</v>
      </c>
      <c r="G54" s="314">
        <f>'Salary Record'!C739</f>
        <v>0</v>
      </c>
      <c r="H54" s="319">
        <f>'Salary Record'!I737</f>
        <v>0</v>
      </c>
      <c r="I54" s="319">
        <f>'Salary Record'!I736</f>
        <v>31</v>
      </c>
      <c r="J54" s="318">
        <f>'Salary Record'!K737</f>
        <v>0</v>
      </c>
      <c r="K54" s="318">
        <f>'Salary Record'!K738</f>
        <v>35000</v>
      </c>
      <c r="L54" s="315" t="str">
        <f>'Salary Record'!G736</f>
        <v/>
      </c>
      <c r="M54" s="319">
        <f>'Salary Record'!G737</f>
        <v>0</v>
      </c>
      <c r="N54" s="317" t="str">
        <f>'Salary Record'!G738</f>
        <v/>
      </c>
      <c r="O54" s="319">
        <f>'Salary Record'!G739</f>
        <v>0</v>
      </c>
      <c r="P54" s="317" t="str">
        <f>'Salary Record'!G740</f>
        <v/>
      </c>
      <c r="Q54" s="315">
        <f>'Salary Record'!K740</f>
        <v>35000</v>
      </c>
      <c r="R54" s="340"/>
      <c r="S54" s="340"/>
      <c r="T54" s="340">
        <f>Q92+Q88+28000</f>
        <v>133645.16129032258</v>
      </c>
      <c r="U54" s="341"/>
      <c r="V54" s="341"/>
      <c r="W54" s="341"/>
      <c r="X54" s="341"/>
      <c r="Y54" s="341"/>
      <c r="Z54" s="341"/>
    </row>
    <row r="55" spans="1:26" s="285" customFormat="1" ht="15" customHeight="1" x14ac:dyDescent="0.2">
      <c r="A55" s="310">
        <v>6</v>
      </c>
      <c r="B55" s="377" t="str">
        <f>'Salary Record'!C351</f>
        <v>Zeeshan</v>
      </c>
      <c r="C55" s="356"/>
      <c r="D55" s="357"/>
      <c r="E55" s="315">
        <f>'Salary Record'!K350</f>
        <v>25000</v>
      </c>
      <c r="F55" s="319">
        <f>'Salary Record'!C356</f>
        <v>0</v>
      </c>
      <c r="G55" s="358">
        <f>'Salary Record'!C357</f>
        <v>0</v>
      </c>
      <c r="H55" s="315">
        <f>'Salary Record'!I355</f>
        <v>8</v>
      </c>
      <c r="I55" s="315">
        <f>'Salary Record'!I354</f>
        <v>31</v>
      </c>
      <c r="J55" s="318">
        <f>'Salary Record'!K355</f>
        <v>806.45161290322585</v>
      </c>
      <c r="K55" s="319">
        <f>'Salary Record'!K356</f>
        <v>25806.451612903227</v>
      </c>
      <c r="L55" s="315" t="str">
        <f>'Salary Record'!G354</f>
        <v/>
      </c>
      <c r="M55" s="315">
        <f>'Salary Record'!G355</f>
        <v>0</v>
      </c>
      <c r="N55" s="317" t="str">
        <f>'Salary Record'!G356</f>
        <v/>
      </c>
      <c r="O55" s="315">
        <f>'Salary Record'!G357</f>
        <v>0</v>
      </c>
      <c r="P55" s="317" t="str">
        <f>'Salary Record'!G358</f>
        <v/>
      </c>
      <c r="Q55" s="315">
        <f>'Salary Record'!K358</f>
        <v>25806.451612903227</v>
      </c>
      <c r="R55" s="340"/>
      <c r="S55" s="340"/>
      <c r="T55" s="340"/>
      <c r="U55" s="341"/>
      <c r="V55" s="341"/>
      <c r="W55" s="341"/>
      <c r="X55" s="341"/>
      <c r="Y55" s="341"/>
      <c r="Z55" s="341"/>
    </row>
    <row r="56" spans="1:26" s="285" customFormat="1" ht="15" customHeight="1" x14ac:dyDescent="0.2">
      <c r="A56" s="310">
        <v>7</v>
      </c>
      <c r="B56" s="273" t="str">
        <f>'Salary Record'!C291</f>
        <v>M. Shafeeq</v>
      </c>
      <c r="C56" s="359"/>
      <c r="D56" s="360"/>
      <c r="E56" s="319">
        <f>'Salary Record'!K290</f>
        <v>27000</v>
      </c>
      <c r="F56" s="319">
        <f>'Salary Record'!C296</f>
        <v>0</v>
      </c>
      <c r="G56" s="314">
        <f>'Salary Record'!C297</f>
        <v>0</v>
      </c>
      <c r="H56" s="319">
        <f>'Salary Record'!I295</f>
        <v>5</v>
      </c>
      <c r="I56" s="319">
        <f>'Salary Record'!I294</f>
        <v>31</v>
      </c>
      <c r="J56" s="314">
        <f>'Salary Record'!K295</f>
        <v>544.35483870967744</v>
      </c>
      <c r="K56" s="314">
        <f>'Salary Record'!K296</f>
        <v>27544.354838709678</v>
      </c>
      <c r="L56" s="315">
        <f>'Salary Record'!G294</f>
        <v>0</v>
      </c>
      <c r="M56" s="319">
        <f>'Salary Record'!G295</f>
        <v>0</v>
      </c>
      <c r="N56" s="317" t="str">
        <f>'Salary Record'!G296</f>
        <v/>
      </c>
      <c r="O56" s="319">
        <f>'Salary Record'!G297</f>
        <v>0</v>
      </c>
      <c r="P56" s="317" t="str">
        <f>'Salary Record'!G298</f>
        <v/>
      </c>
      <c r="Q56" s="315">
        <f>'Salary Record'!K298</f>
        <v>27544.354838709678</v>
      </c>
      <c r="R56" s="340" t="s">
        <v>47</v>
      </c>
      <c r="S56" s="361" t="e">
        <f>#REF!+Q53+Q52+Q50</f>
        <v>#REF!</v>
      </c>
      <c r="T56" s="340"/>
      <c r="U56" s="341"/>
      <c r="V56" s="341"/>
      <c r="W56" s="341"/>
      <c r="X56" s="341"/>
      <c r="Y56" s="341"/>
      <c r="Z56" s="341"/>
    </row>
    <row r="57" spans="1:26" ht="12.75" customHeight="1" x14ac:dyDescent="0.3">
      <c r="A57" s="415" t="s">
        <v>23</v>
      </c>
      <c r="B57" s="413"/>
      <c r="C57" s="36"/>
      <c r="D57" s="36"/>
      <c r="E57" s="37">
        <f>SUM(E50:E56)</f>
        <v>204000</v>
      </c>
      <c r="F57" s="36"/>
      <c r="G57" s="36"/>
      <c r="H57" s="36"/>
      <c r="I57" s="36"/>
      <c r="J57" s="37">
        <f t="shared" ref="J57:K57" si="5">SUM(J50:J56)</f>
        <v>16229.838709677419</v>
      </c>
      <c r="K57" s="37">
        <f t="shared" si="5"/>
        <v>190229.83870967742</v>
      </c>
      <c r="L57" s="36"/>
      <c r="M57" s="36"/>
      <c r="N57" s="36"/>
      <c r="O57" s="36"/>
      <c r="P57" s="36"/>
      <c r="Q57" s="38">
        <f>SUM(Q50:Q56)</f>
        <v>190229.83870967742</v>
      </c>
      <c r="R57" s="39"/>
      <c r="S57" s="40"/>
      <c r="T57" s="41"/>
      <c r="U57" s="40"/>
      <c r="V57" s="40"/>
      <c r="W57" s="40"/>
      <c r="X57" s="40"/>
      <c r="Y57" s="40"/>
      <c r="Z57" s="40"/>
    </row>
    <row r="58" spans="1:26" ht="12.7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3"/>
      <c r="R58" s="41"/>
      <c r="S58" s="40"/>
      <c r="T58" s="41"/>
      <c r="U58" s="40"/>
      <c r="V58" s="40"/>
      <c r="W58" s="40"/>
      <c r="X58" s="40"/>
      <c r="Y58" s="40"/>
      <c r="Z58" s="40"/>
    </row>
    <row r="59" spans="1:26" ht="21" customHeight="1" x14ac:dyDescent="0.2">
      <c r="A59" s="411" t="s">
        <v>48</v>
      </c>
      <c r="B59" s="412"/>
      <c r="C59" s="412"/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2"/>
      <c r="P59" s="412"/>
      <c r="Q59" s="413"/>
      <c r="R59" s="101"/>
      <c r="S59" s="57"/>
      <c r="T59" s="57"/>
      <c r="U59" s="58"/>
      <c r="V59" s="58"/>
      <c r="W59" s="57"/>
      <c r="X59" s="58"/>
      <c r="Y59" s="58"/>
      <c r="Z59" s="58"/>
    </row>
    <row r="60" spans="1:26" s="285" customFormat="1" ht="15" customHeight="1" x14ac:dyDescent="0.2">
      <c r="A60" s="310">
        <v>1</v>
      </c>
      <c r="B60" s="311" t="str">
        <f>'Salary Record'!C641</f>
        <v xml:space="preserve">Engr. Israr </v>
      </c>
      <c r="C60" s="274"/>
      <c r="D60" s="275"/>
      <c r="E60" s="276">
        <f>'Salary Record'!K640</f>
        <v>170000</v>
      </c>
      <c r="F60" s="276">
        <f>'Salary Record'!C646</f>
        <v>0</v>
      </c>
      <c r="G60" s="276">
        <f>'Salary Record'!C647</f>
        <v>0</v>
      </c>
      <c r="H60" s="276">
        <f>'Salary Record'!I645</f>
        <v>0</v>
      </c>
      <c r="I60" s="276">
        <f>'Salary Record'!I644</f>
        <v>0</v>
      </c>
      <c r="J60" s="277">
        <f>'Salary Record'!K645</f>
        <v>0</v>
      </c>
      <c r="K60" s="277">
        <f>'Salary Record'!K646</f>
        <v>0</v>
      </c>
      <c r="L60" s="278">
        <f>'Salary Record'!G644</f>
        <v>0</v>
      </c>
      <c r="M60" s="279">
        <f>'Salary Record'!G645</f>
        <v>0</v>
      </c>
      <c r="N60" s="280">
        <f>'Salary Record'!G646</f>
        <v>0</v>
      </c>
      <c r="O60" s="279">
        <f>'Salary Record'!G647</f>
        <v>0</v>
      </c>
      <c r="P60" s="280">
        <f>'Salary Record'!G648</f>
        <v>0</v>
      </c>
      <c r="Q60" s="278">
        <f>'Salary Record'!K648</f>
        <v>0</v>
      </c>
      <c r="R60" s="281"/>
      <c r="S60" s="282"/>
      <c r="T60" s="283"/>
      <c r="U60" s="284"/>
      <c r="V60" s="284"/>
      <c r="W60" s="284"/>
      <c r="X60" s="284"/>
      <c r="Y60" s="284"/>
      <c r="Z60" s="284"/>
    </row>
    <row r="61" spans="1:26" s="285" customFormat="1" ht="15" customHeight="1" x14ac:dyDescent="0.2">
      <c r="A61" s="310">
        <v>2</v>
      </c>
      <c r="B61" s="311" t="str">
        <f>'Salary Record'!C261</f>
        <v>Imran Feroz</v>
      </c>
      <c r="C61" s="312"/>
      <c r="D61" s="275"/>
      <c r="E61" s="313">
        <f>'Salary Record'!K260</f>
        <v>75000</v>
      </c>
      <c r="F61" s="313">
        <f>'Salary Record'!C266</f>
        <v>0</v>
      </c>
      <c r="G61" s="314">
        <f>'Salary Record'!C267</f>
        <v>0</v>
      </c>
      <c r="H61" s="313">
        <f>'Salary Record'!I265</f>
        <v>6</v>
      </c>
      <c r="I61" s="313">
        <f>'Salary Record'!I264</f>
        <v>27</v>
      </c>
      <c r="J61" s="276">
        <f>'Salary Record'!K265</f>
        <v>1814.516129032258</v>
      </c>
      <c r="K61" s="279">
        <f>'Salary Record'!K266</f>
        <v>67137.09677419356</v>
      </c>
      <c r="L61" s="278">
        <f>'Salary Record'!G264</f>
        <v>0</v>
      </c>
      <c r="M61" s="279">
        <f>'Salary Record'!G265</f>
        <v>0</v>
      </c>
      <c r="N61" s="280" t="str">
        <f>'Salary Record'!G266</f>
        <v/>
      </c>
      <c r="O61" s="279">
        <f>'Salary Record'!G267</f>
        <v>0</v>
      </c>
      <c r="P61" s="280" t="str">
        <f>'Salary Record'!G268</f>
        <v/>
      </c>
      <c r="Q61" s="315">
        <f>'Salary Record'!K268</f>
        <v>67137.09677419356</v>
      </c>
      <c r="R61" s="281"/>
      <c r="S61" s="282"/>
      <c r="T61" s="283"/>
      <c r="U61" s="284"/>
      <c r="V61" s="284"/>
      <c r="W61" s="284"/>
      <c r="X61" s="284"/>
      <c r="Y61" s="284"/>
      <c r="Z61" s="284"/>
    </row>
    <row r="62" spans="1:26" s="285" customFormat="1" ht="15" customHeight="1" x14ac:dyDescent="0.2">
      <c r="A62" s="310">
        <v>3</v>
      </c>
      <c r="B62" s="311" t="str">
        <f>'Salary Record'!C246</f>
        <v>Mukhtiar</v>
      </c>
      <c r="C62" s="316"/>
      <c r="D62" s="317"/>
      <c r="E62" s="313">
        <f>'Salary Record'!K245</f>
        <v>50000</v>
      </c>
      <c r="F62" s="313">
        <f>'Salary Record'!C251</f>
        <v>0</v>
      </c>
      <c r="G62" s="314">
        <f>'Salary Record'!C252</f>
        <v>0</v>
      </c>
      <c r="H62" s="313">
        <f>'Salary Record'!I250</f>
        <v>28</v>
      </c>
      <c r="I62" s="313">
        <f>'Salary Record'!I249</f>
        <v>31</v>
      </c>
      <c r="J62" s="318">
        <f>'Salary Record'!K250</f>
        <v>5645.1612903225814</v>
      </c>
      <c r="K62" s="318">
        <f>'Salary Record'!K251</f>
        <v>55645.161290322583</v>
      </c>
      <c r="L62" s="315">
        <f>'Salary Record'!G249</f>
        <v>0</v>
      </c>
      <c r="M62" s="319">
        <f>'Salary Record'!G250</f>
        <v>0</v>
      </c>
      <c r="N62" s="317" t="str">
        <f>'Salary Record'!G251</f>
        <v/>
      </c>
      <c r="O62" s="319">
        <f>'Salary Record'!G252</f>
        <v>0</v>
      </c>
      <c r="P62" s="317" t="str">
        <f>'Salary Record'!G253</f>
        <v/>
      </c>
      <c r="Q62" s="315">
        <f>'Salary Record'!K253</f>
        <v>55645.161290322583</v>
      </c>
      <c r="R62" s="281"/>
      <c r="S62" s="282"/>
      <c r="T62" s="281"/>
      <c r="U62" s="320"/>
      <c r="V62" s="320"/>
      <c r="W62" s="320"/>
      <c r="X62" s="320"/>
      <c r="Y62" s="320"/>
      <c r="Z62" s="320"/>
    </row>
    <row r="63" spans="1:26" s="285" customFormat="1" ht="15" customHeight="1" x14ac:dyDescent="0.2">
      <c r="A63" s="310">
        <v>4</v>
      </c>
      <c r="B63" s="311" t="str">
        <f>'Salary Record'!C593</f>
        <v>Mohib uz Zaman</v>
      </c>
      <c r="C63" s="321"/>
      <c r="D63" s="322"/>
      <c r="E63" s="313">
        <f>'Salary Record'!K592</f>
        <v>45000</v>
      </c>
      <c r="F63" s="314">
        <f>'Salary Record'!C598</f>
        <v>0</v>
      </c>
      <c r="G63" s="314">
        <f>'Salary Record'!C599</f>
        <v>0</v>
      </c>
      <c r="H63" s="314">
        <f>'Salary Record'!I597</f>
        <v>28</v>
      </c>
      <c r="I63" s="314">
        <f>'Salary Record'!I596</f>
        <v>0</v>
      </c>
      <c r="J63" s="318">
        <f>'Salary Record'!K597</f>
        <v>5080.645161290322</v>
      </c>
      <c r="K63" s="318">
        <f>'Salary Record'!K598</f>
        <v>5080.645161290322</v>
      </c>
      <c r="L63" s="315">
        <f>'Salary Record'!G596</f>
        <v>0</v>
      </c>
      <c r="M63" s="319">
        <f>'Salary Record'!G597</f>
        <v>0</v>
      </c>
      <c r="N63" s="317">
        <f>'Salary Record'!G598</f>
        <v>0</v>
      </c>
      <c r="O63" s="319">
        <f>'Salary Record'!G599</f>
        <v>0</v>
      </c>
      <c r="P63" s="317">
        <f>'Salary Record'!G600</f>
        <v>0</v>
      </c>
      <c r="Q63" s="315">
        <f>'Salary Record'!K600</f>
        <v>5080.645161290322</v>
      </c>
      <c r="R63" s="281"/>
      <c r="S63" s="282"/>
      <c r="T63" s="281"/>
      <c r="U63" s="320"/>
      <c r="V63" s="320"/>
      <c r="W63" s="320"/>
      <c r="X63" s="320"/>
      <c r="Y63" s="320"/>
      <c r="Z63" s="320"/>
    </row>
    <row r="64" spans="1:26" s="285" customFormat="1" ht="15" customHeight="1" x14ac:dyDescent="0.2">
      <c r="A64" s="310">
        <v>5</v>
      </c>
      <c r="B64" s="311" t="str">
        <f>'Salary Record'!C231</f>
        <v>M. Arif</v>
      </c>
      <c r="C64" s="321"/>
      <c r="D64" s="322"/>
      <c r="E64" s="313">
        <f>'Salary Record'!K230</f>
        <v>35000</v>
      </c>
      <c r="F64" s="314">
        <f>'Salary Record'!C236</f>
        <v>0</v>
      </c>
      <c r="G64" s="314">
        <f>'Salary Record'!C237</f>
        <v>0</v>
      </c>
      <c r="H64" s="314">
        <f>'Salary Record'!I235</f>
        <v>25</v>
      </c>
      <c r="I64" s="314">
        <f>'Salary Record'!I234</f>
        <v>31</v>
      </c>
      <c r="J64" s="318">
        <f>'Salary Record'!K235</f>
        <v>3528.2258064516127</v>
      </c>
      <c r="K64" s="318">
        <f>'Salary Record'!K236</f>
        <v>38528.225806451614</v>
      </c>
      <c r="L64" s="315">
        <f>'Salary Record'!G234</f>
        <v>0</v>
      </c>
      <c r="M64" s="319">
        <f>'Salary Record'!G235</f>
        <v>0</v>
      </c>
      <c r="N64" s="317">
        <f>'Salary Record'!G236</f>
        <v>0</v>
      </c>
      <c r="O64" s="319">
        <f>'Salary Record'!G237</f>
        <v>0</v>
      </c>
      <c r="P64" s="317">
        <f>'Salary Record'!G238</f>
        <v>0</v>
      </c>
      <c r="Q64" s="315">
        <f>'Salary Record'!K238</f>
        <v>38528.225806451614</v>
      </c>
      <c r="R64" s="281"/>
      <c r="S64" s="282"/>
      <c r="T64" s="281"/>
      <c r="U64" s="320"/>
      <c r="V64" s="320"/>
      <c r="W64" s="320"/>
      <c r="X64" s="320"/>
      <c r="Y64" s="320"/>
      <c r="Z64" s="320"/>
    </row>
    <row r="65" spans="1:26" s="285" customFormat="1" ht="15" customHeight="1" x14ac:dyDescent="0.2">
      <c r="A65" s="310">
        <v>6</v>
      </c>
      <c r="B65" s="311" t="str">
        <f>'Salary Record'!C216</f>
        <v>Ibtihaj</v>
      </c>
      <c r="C65" s="323"/>
      <c r="D65" s="324"/>
      <c r="E65" s="313">
        <f>'Salary Record'!K215</f>
        <v>45000</v>
      </c>
      <c r="F65" s="276">
        <f>'Salary Record'!C221</f>
        <v>0</v>
      </c>
      <c r="G65" s="276">
        <f>'Salary Record'!C222</f>
        <v>0</v>
      </c>
      <c r="H65" s="276">
        <f>'Salary Record'!I220</f>
        <v>85</v>
      </c>
      <c r="I65" s="276">
        <f>'Salary Record'!I219</f>
        <v>31</v>
      </c>
      <c r="J65" s="277">
        <f>'Salary Record'!K220</f>
        <v>15423.387096774193</v>
      </c>
      <c r="K65" s="277">
        <f>'Salary Record'!K221</f>
        <v>60423.387096774197</v>
      </c>
      <c r="L65" s="278">
        <f>'Salary Record'!G219</f>
        <v>0</v>
      </c>
      <c r="M65" s="279">
        <f>'Salary Record'!G220</f>
        <v>0</v>
      </c>
      <c r="N65" s="280">
        <f>'Salary Record'!G221</f>
        <v>0</v>
      </c>
      <c r="O65" s="279">
        <f>'Salary Record'!G222</f>
        <v>0</v>
      </c>
      <c r="P65" s="280">
        <f>'Salary Record'!G223</f>
        <v>0</v>
      </c>
      <c r="Q65" s="315">
        <f>'Salary Record'!K223</f>
        <v>60423.387096774197</v>
      </c>
      <c r="R65" s="281"/>
      <c r="S65" s="282"/>
      <c r="T65" s="283"/>
      <c r="U65" s="284"/>
      <c r="V65" s="284"/>
      <c r="W65" s="284"/>
      <c r="X65" s="284"/>
      <c r="Y65" s="284"/>
      <c r="Z65" s="284"/>
    </row>
    <row r="66" spans="1:26" s="285" customFormat="1" ht="15" customHeight="1" x14ac:dyDescent="0.2">
      <c r="A66" s="310">
        <v>7</v>
      </c>
      <c r="B66" s="311" t="str">
        <f>'Salary Record'!C782</f>
        <v>Saad</v>
      </c>
      <c r="C66" s="323"/>
      <c r="D66" s="324"/>
      <c r="E66" s="313">
        <f>'Salary Record'!K781</f>
        <v>45000</v>
      </c>
      <c r="F66" s="276">
        <f>'Salary Record'!C787</f>
        <v>0</v>
      </c>
      <c r="G66" s="276">
        <f>'Salary Record'!C788</f>
        <v>0</v>
      </c>
      <c r="H66" s="276">
        <f>'Salary Record'!I786</f>
        <v>66</v>
      </c>
      <c r="I66" s="276">
        <f>'Salary Record'!I785</f>
        <v>31</v>
      </c>
      <c r="J66" s="277">
        <f>'Salary Record'!K786</f>
        <v>11975.806451612902</v>
      </c>
      <c r="K66" s="277">
        <f>'Salary Record'!K787</f>
        <v>56975.806451612902</v>
      </c>
      <c r="L66" s="278" t="str">
        <f>'Salary Record'!G785</f>
        <v/>
      </c>
      <c r="M66" s="279">
        <f>'Salary Record'!G786</f>
        <v>0</v>
      </c>
      <c r="N66" s="280" t="str">
        <f>'Salary Record'!G787</f>
        <v/>
      </c>
      <c r="O66" s="279">
        <f>'Salary Record'!G788</f>
        <v>0</v>
      </c>
      <c r="P66" s="280" t="str">
        <f>'Salary Record'!G789</f>
        <v/>
      </c>
      <c r="Q66" s="315">
        <f>'Salary Record'!K789</f>
        <v>56975.806451612902</v>
      </c>
      <c r="R66" s="281"/>
      <c r="S66" s="282"/>
      <c r="T66" s="283"/>
      <c r="U66" s="284"/>
      <c r="V66" s="284"/>
      <c r="W66" s="284"/>
      <c r="X66" s="284"/>
      <c r="Y66" s="284"/>
      <c r="Z66" s="284"/>
    </row>
    <row r="67" spans="1:26" s="285" customFormat="1" ht="15" customHeight="1" x14ac:dyDescent="0.2">
      <c r="A67" s="310">
        <v>8</v>
      </c>
      <c r="B67" s="311" t="str">
        <f>'Salary Record'!C276</f>
        <v>Asif Hussain</v>
      </c>
      <c r="C67" s="274"/>
      <c r="D67" s="325"/>
      <c r="E67" s="313">
        <f>'Salary Record'!K275</f>
        <v>35000</v>
      </c>
      <c r="F67" s="313">
        <f>'Salary Record'!C281</f>
        <v>0</v>
      </c>
      <c r="G67" s="314">
        <f>'Salary Record'!C282</f>
        <v>0</v>
      </c>
      <c r="H67" s="313">
        <f>'Salary Record'!I280</f>
        <v>90</v>
      </c>
      <c r="I67" s="313">
        <f>'Salary Record'!I279</f>
        <v>31</v>
      </c>
      <c r="J67" s="277">
        <f>'Salary Record'!K280</f>
        <v>12701.612903225807</v>
      </c>
      <c r="K67" s="277">
        <f>'Salary Record'!K281</f>
        <v>47701.612903225803</v>
      </c>
      <c r="L67" s="278">
        <f>'Salary Record'!G279</f>
        <v>0</v>
      </c>
      <c r="M67" s="279">
        <f>'Salary Record'!G280</f>
        <v>0</v>
      </c>
      <c r="N67" s="280" t="str">
        <f>'Salary Record'!G281</f>
        <v/>
      </c>
      <c r="O67" s="279">
        <f>'Salary Record'!G282</f>
        <v>0</v>
      </c>
      <c r="P67" s="280" t="str">
        <f>'Salary Record'!G283</f>
        <v/>
      </c>
      <c r="Q67" s="315">
        <f>'Salary Record'!K283</f>
        <v>47701.612903225803</v>
      </c>
      <c r="R67" s="281"/>
      <c r="S67" s="282"/>
      <c r="T67" s="283"/>
      <c r="U67" s="284"/>
      <c r="V67" s="284"/>
      <c r="W67" s="284"/>
      <c r="X67" s="284"/>
      <c r="Y67" s="284"/>
      <c r="Z67" s="284"/>
    </row>
    <row r="68" spans="1:26" s="285" customFormat="1" ht="15" customHeight="1" x14ac:dyDescent="0.2">
      <c r="A68" s="310">
        <v>9</v>
      </c>
      <c r="B68" s="311" t="str">
        <f>'Salary Record'!C547</f>
        <v>Waqas</v>
      </c>
      <c r="C68" s="323"/>
      <c r="D68" s="324"/>
      <c r="E68" s="279">
        <f>'Salary Record'!K546</f>
        <v>55000</v>
      </c>
      <c r="F68" s="279">
        <f>'Salary Record'!C552</f>
        <v>0</v>
      </c>
      <c r="G68" s="276">
        <f>'Salary Record'!C553</f>
        <v>0</v>
      </c>
      <c r="H68" s="279">
        <f>'Salary Record'!I551</f>
        <v>67</v>
      </c>
      <c r="I68" s="279">
        <f>'Salary Record'!I550</f>
        <v>31</v>
      </c>
      <c r="J68" s="277">
        <f>'Salary Record'!K551</f>
        <v>14858.870967741936</v>
      </c>
      <c r="K68" s="279">
        <f>'Salary Record'!K552</f>
        <v>69858.870967741939</v>
      </c>
      <c r="L68" s="278">
        <f>'Salary Record'!G550</f>
        <v>0</v>
      </c>
      <c r="M68" s="279">
        <f>'Salary Record'!G551</f>
        <v>0</v>
      </c>
      <c r="N68" s="280" t="str">
        <f>'Salary Record'!G552</f>
        <v/>
      </c>
      <c r="O68" s="279">
        <f>'Salary Record'!G553</f>
        <v>0</v>
      </c>
      <c r="P68" s="280" t="str">
        <f>'Salary Record'!G554</f>
        <v/>
      </c>
      <c r="Q68" s="278">
        <f>'Salary Record'!K554</f>
        <v>69858.870967741939</v>
      </c>
      <c r="R68" s="281"/>
      <c r="S68" s="282"/>
      <c r="T68" s="283"/>
      <c r="U68" s="284"/>
      <c r="V68" s="284"/>
      <c r="W68" s="284"/>
      <c r="X68" s="284"/>
      <c r="Y68" s="284"/>
      <c r="Z68" s="284"/>
    </row>
    <row r="69" spans="1:26" s="285" customFormat="1" ht="15" customHeight="1" x14ac:dyDescent="0.2">
      <c r="A69" s="310">
        <v>10</v>
      </c>
      <c r="B69" s="311" t="str">
        <f>'Salary Record'!C718</f>
        <v>Kamran</v>
      </c>
      <c r="C69" s="326"/>
      <c r="D69" s="327"/>
      <c r="E69" s="279">
        <f>'Salary Record'!K717</f>
        <v>32000</v>
      </c>
      <c r="F69" s="279">
        <f>'Salary Record'!C723</f>
        <v>0</v>
      </c>
      <c r="G69" s="276">
        <f>'Salary Record'!C724</f>
        <v>0</v>
      </c>
      <c r="H69" s="279">
        <f>'Salary Record'!I722</f>
        <v>39</v>
      </c>
      <c r="I69" s="279">
        <f>'Salary Record'!I721</f>
        <v>31</v>
      </c>
      <c r="J69" s="277">
        <f>'Salary Record'!K722</f>
        <v>5032.2580645161288</v>
      </c>
      <c r="K69" s="279">
        <f>'Salary Record'!K723</f>
        <v>37032.258064516129</v>
      </c>
      <c r="L69" s="278">
        <f>'Salary Record'!G721</f>
        <v>0</v>
      </c>
      <c r="M69" s="279">
        <f>'Salary Record'!G722</f>
        <v>0</v>
      </c>
      <c r="N69" s="280" t="str">
        <f>'Salary Record'!G723</f>
        <v/>
      </c>
      <c r="O69" s="279">
        <f>'Salary Record'!G724</f>
        <v>0</v>
      </c>
      <c r="P69" s="280" t="str">
        <f>'Salary Record'!G725</f>
        <v/>
      </c>
      <c r="Q69" s="278">
        <f>'Salary Record'!K725</f>
        <v>37032.258064516129</v>
      </c>
      <c r="R69" s="281"/>
      <c r="S69" s="282"/>
      <c r="T69" s="283"/>
      <c r="U69" s="284"/>
      <c r="V69" s="284"/>
      <c r="W69" s="284"/>
      <c r="X69" s="284"/>
      <c r="Y69" s="284"/>
      <c r="Z69" s="284"/>
    </row>
    <row r="70" spans="1:26" s="285" customFormat="1" ht="15" customHeight="1" x14ac:dyDescent="0.3">
      <c r="A70" s="310">
        <v>11</v>
      </c>
      <c r="B70" s="336" t="str">
        <f>'Salary Record'!C846</f>
        <v>Amjad</v>
      </c>
      <c r="C70" s="328"/>
      <c r="D70" s="329"/>
      <c r="E70" s="313">
        <f>'Salary Record'!K845</f>
        <v>35000</v>
      </c>
      <c r="F70" s="313">
        <f>'Salary Record'!C851</f>
        <v>0</v>
      </c>
      <c r="G70" s="314">
        <f>'Salary Record'!C852</f>
        <v>0</v>
      </c>
      <c r="H70" s="313">
        <f>'Salary Record'!I850</f>
        <v>54</v>
      </c>
      <c r="I70" s="313">
        <f>'Salary Record'!I849</f>
        <v>31</v>
      </c>
      <c r="J70" s="330">
        <f>'Salary Record'!K850</f>
        <v>7620.9677419354839</v>
      </c>
      <c r="K70" s="319">
        <f>'Salary Record'!K851</f>
        <v>42620.967741935485</v>
      </c>
      <c r="L70" s="315" t="str">
        <f>'Salary Record'!G849</f>
        <v/>
      </c>
      <c r="M70" s="319">
        <f>'Salary Record'!G850</f>
        <v>0</v>
      </c>
      <c r="N70" s="317" t="str">
        <f>'Salary Record'!G851</f>
        <v/>
      </c>
      <c r="O70" s="319">
        <f>'Salary Record'!G852</f>
        <v>0</v>
      </c>
      <c r="P70" s="317" t="str">
        <f>'Salary Record'!G853</f>
        <v/>
      </c>
      <c r="Q70" s="315">
        <f>'Salary Record'!K853</f>
        <v>42620.967741935485</v>
      </c>
      <c r="R70" s="331"/>
      <c r="S70" s="332"/>
      <c r="T70" s="333"/>
      <c r="U70" s="333"/>
      <c r="V70" s="332"/>
      <c r="W70" s="332"/>
      <c r="X70" s="332"/>
      <c r="Y70" s="332"/>
      <c r="Z70" s="332"/>
    </row>
    <row r="71" spans="1:26" s="285" customFormat="1" ht="15" customHeight="1" x14ac:dyDescent="0.2">
      <c r="A71" s="310">
        <v>12</v>
      </c>
      <c r="B71" s="311" t="str">
        <f>'Salary Record'!C766</f>
        <v>Noman</v>
      </c>
      <c r="C71" s="326"/>
      <c r="D71" s="327"/>
      <c r="E71" s="279">
        <f>'Salary Record'!K765</f>
        <v>35000</v>
      </c>
      <c r="F71" s="279">
        <f>'Salary Record'!C771</f>
        <v>0</v>
      </c>
      <c r="G71" s="276">
        <f>'Salary Record'!C772</f>
        <v>0</v>
      </c>
      <c r="H71" s="279">
        <f>'Salary Record'!I770</f>
        <v>2</v>
      </c>
      <c r="I71" s="279">
        <f>'Salary Record'!I769</f>
        <v>0</v>
      </c>
      <c r="J71" s="277">
        <f>'Salary Record'!K770</f>
        <v>282.25806451612902</v>
      </c>
      <c r="K71" s="279">
        <f>'Salary Record'!K771</f>
        <v>282.25806451612902</v>
      </c>
      <c r="L71" s="278">
        <f>'Salary Record'!G769</f>
        <v>0</v>
      </c>
      <c r="M71" s="279">
        <f>'Salary Record'!G770</f>
        <v>0</v>
      </c>
      <c r="N71" s="280">
        <f>'Salary Record'!G771</f>
        <v>0</v>
      </c>
      <c r="O71" s="279">
        <f>'Salary Record'!G772</f>
        <v>0</v>
      </c>
      <c r="P71" s="280">
        <f>'Salary Record'!G773</f>
        <v>0</v>
      </c>
      <c r="Q71" s="278">
        <f>'Salary Record'!K773</f>
        <v>282.25806451612902</v>
      </c>
      <c r="R71" s="281"/>
      <c r="S71" s="282"/>
      <c r="T71" s="283"/>
      <c r="U71" s="284"/>
      <c r="V71" s="284"/>
      <c r="W71" s="284"/>
      <c r="X71" s="284"/>
      <c r="Y71" s="284"/>
      <c r="Z71" s="284"/>
    </row>
    <row r="72" spans="1:26" s="285" customFormat="1" ht="15" customHeight="1" x14ac:dyDescent="0.2">
      <c r="A72" s="310">
        <v>13</v>
      </c>
      <c r="B72" s="311" t="str">
        <f>'Salary Record'!C563</f>
        <v>Umair Ali</v>
      </c>
      <c r="C72" s="334" t="s">
        <v>49</v>
      </c>
      <c r="D72" s="335">
        <f>SUM(Q49:Q104)</f>
        <v>8848670.1612903215</v>
      </c>
      <c r="E72" s="313">
        <f>'Salary Record'!K562</f>
        <v>32000</v>
      </c>
      <c r="F72" s="319">
        <f>'Salary Record'!C568</f>
        <v>0</v>
      </c>
      <c r="G72" s="314">
        <f>'Salary Record'!C569</f>
        <v>0</v>
      </c>
      <c r="H72" s="319">
        <f>'Salary Record'!I567</f>
        <v>26</v>
      </c>
      <c r="I72" s="319">
        <f>'Salary Record'!I566</f>
        <v>31</v>
      </c>
      <c r="J72" s="318">
        <f>'Salary Record'!K567</f>
        <v>3354.8387096774195</v>
      </c>
      <c r="K72" s="318">
        <f>'Salary Record'!K568</f>
        <v>35354.838709677417</v>
      </c>
      <c r="L72" s="315" t="str">
        <f>'Salary Record'!G566</f>
        <v/>
      </c>
      <c r="M72" s="319">
        <f>'Salary Record'!G567</f>
        <v>0</v>
      </c>
      <c r="N72" s="319" t="str">
        <f>'Salary Record'!G568</f>
        <v/>
      </c>
      <c r="O72" s="319">
        <f>'Salary Record'!G569</f>
        <v>0</v>
      </c>
      <c r="P72" s="317" t="str">
        <f>'Salary Record'!G570</f>
        <v/>
      </c>
      <c r="Q72" s="315">
        <f>'Salary Record'!K570</f>
        <v>35354.838709677417</v>
      </c>
      <c r="R72" s="281"/>
      <c r="S72" s="282"/>
      <c r="T72" s="281" t="e">
        <f>Q72+Q71+Q69+Q68+Q67+Q74+Q65+#REF!+Q64+#REF!+Q63</f>
        <v>#REF!</v>
      </c>
      <c r="U72" s="320"/>
      <c r="V72" s="320"/>
      <c r="W72" s="320"/>
      <c r="X72" s="320"/>
      <c r="Y72" s="320"/>
      <c r="Z72" s="320"/>
    </row>
    <row r="73" spans="1:26" s="285" customFormat="1" ht="15" customHeight="1" x14ac:dyDescent="0.3">
      <c r="A73" s="310">
        <v>14</v>
      </c>
      <c r="B73" s="291" t="s">
        <v>303</v>
      </c>
      <c r="C73" s="328"/>
      <c r="D73" s="329"/>
      <c r="E73" s="313">
        <f>'Salary Record'!K861</f>
        <v>50000</v>
      </c>
      <c r="F73" s="313">
        <f>'Salary Record'!C867</f>
        <v>0</v>
      </c>
      <c r="G73" s="314">
        <f>'Salary Record'!C868</f>
        <v>0</v>
      </c>
      <c r="H73" s="313">
        <f>'Salary Record'!I866</f>
        <v>0</v>
      </c>
      <c r="I73" s="313">
        <f>'Salary Record'!I865</f>
        <v>31</v>
      </c>
      <c r="J73" s="330">
        <f>'Salary Record'!K866</f>
        <v>0</v>
      </c>
      <c r="K73" s="319">
        <f>'Salary Record'!K867</f>
        <v>50000</v>
      </c>
      <c r="L73" s="315" t="str">
        <f>'Salary Record'!G865</f>
        <v/>
      </c>
      <c r="M73" s="319">
        <f>'Salary Record'!G866</f>
        <v>0</v>
      </c>
      <c r="N73" s="317" t="str">
        <f>'Salary Record'!G867</f>
        <v/>
      </c>
      <c r="O73" s="319">
        <f>'Salary Record'!G868</f>
        <v>0</v>
      </c>
      <c r="P73" s="317" t="str">
        <f>'Salary Record'!G869</f>
        <v/>
      </c>
      <c r="Q73" s="315">
        <f>'Salary Record'!K869</f>
        <v>50000</v>
      </c>
      <c r="R73" s="331"/>
      <c r="S73" s="332"/>
      <c r="T73" s="333"/>
      <c r="U73" s="333"/>
      <c r="V73" s="332"/>
      <c r="W73" s="332"/>
      <c r="X73" s="332"/>
      <c r="Y73" s="332"/>
      <c r="Z73" s="332"/>
    </row>
    <row r="74" spans="1:26" s="285" customFormat="1" ht="15" customHeight="1" x14ac:dyDescent="0.2">
      <c r="A74" s="310">
        <v>15</v>
      </c>
      <c r="B74" s="311" t="str">
        <f>'Salary Record'!C687</f>
        <v>Talha</v>
      </c>
      <c r="C74" s="274"/>
      <c r="D74" s="275"/>
      <c r="E74" s="276">
        <f>'Salary Record'!K686</f>
        <v>35000</v>
      </c>
      <c r="F74" s="276">
        <f>'Salary Record'!C692</f>
        <v>0</v>
      </c>
      <c r="G74" s="276">
        <f>'Salary Record'!C693</f>
        <v>0</v>
      </c>
      <c r="H74" s="276">
        <f>'Salary Record'!I691</f>
        <v>38</v>
      </c>
      <c r="I74" s="276">
        <f>'Salary Record'!I690</f>
        <v>31</v>
      </c>
      <c r="J74" s="277">
        <f>'Salary Record'!K691</f>
        <v>5362.9032258064517</v>
      </c>
      <c r="K74" s="277">
        <f>'Salary Record'!K692</f>
        <v>40362.903225806454</v>
      </c>
      <c r="L74" s="278" t="str">
        <f>'Salary Record'!G690</f>
        <v/>
      </c>
      <c r="M74" s="279">
        <f>'Salary Record'!G691</f>
        <v>0</v>
      </c>
      <c r="N74" s="280" t="str">
        <f>'Salary Record'!G692</f>
        <v/>
      </c>
      <c r="O74" s="279">
        <f>'Salary Record'!G693</f>
        <v>0</v>
      </c>
      <c r="P74" s="280" t="str">
        <f>'Salary Record'!G694</f>
        <v/>
      </c>
      <c r="Q74" s="278">
        <f>'Salary Record'!K694</f>
        <v>40362.903225806454</v>
      </c>
      <c r="R74" s="281"/>
      <c r="S74" s="282"/>
      <c r="T74" s="283"/>
      <c r="U74" s="284"/>
      <c r="V74" s="284"/>
      <c r="W74" s="284"/>
      <c r="X74" s="284"/>
      <c r="Y74" s="284"/>
      <c r="Z74" s="284"/>
    </row>
    <row r="75" spans="1:26" s="285" customFormat="1" ht="15" customHeight="1" x14ac:dyDescent="0.2">
      <c r="A75" s="310">
        <v>16</v>
      </c>
      <c r="B75" s="273" t="str">
        <f>'Salary Record'!C798</f>
        <v>Momin</v>
      </c>
      <c r="C75" s="274"/>
      <c r="D75" s="275"/>
      <c r="E75" s="276">
        <f>'Salary Record'!K797</f>
        <v>35000</v>
      </c>
      <c r="F75" s="276">
        <f>'Salary Record'!C803</f>
        <v>0</v>
      </c>
      <c r="G75" s="276">
        <f>'Salary Record'!C804</f>
        <v>0</v>
      </c>
      <c r="H75" s="276">
        <f>'Salary Record'!I802</f>
        <v>67</v>
      </c>
      <c r="I75" s="276">
        <f>'Salary Record'!I801</f>
        <v>31</v>
      </c>
      <c r="J75" s="277">
        <f>'Salary Record'!K802</f>
        <v>9455.645161290322</v>
      </c>
      <c r="K75" s="277">
        <f>'Salary Record'!K803</f>
        <v>44455.645161290318</v>
      </c>
      <c r="L75" s="278" t="str">
        <f>'Salary Record'!G801</f>
        <v/>
      </c>
      <c r="M75" s="279">
        <f>'Salary Record'!G802</f>
        <v>0</v>
      </c>
      <c r="N75" s="280" t="str">
        <f>'Salary Record'!G803</f>
        <v/>
      </c>
      <c r="O75" s="279">
        <f>'Salary Record'!G804</f>
        <v>0</v>
      </c>
      <c r="P75" s="280" t="str">
        <f>'Salary Record'!G805</f>
        <v/>
      </c>
      <c r="Q75" s="278">
        <f>'Salary Record'!K805</f>
        <v>44455.645161290318</v>
      </c>
      <c r="R75" s="281"/>
      <c r="S75" s="282"/>
      <c r="T75" s="283"/>
      <c r="U75" s="284"/>
      <c r="V75" s="284"/>
      <c r="W75" s="284"/>
      <c r="X75" s="284"/>
      <c r="Y75" s="284"/>
      <c r="Z75" s="284"/>
    </row>
    <row r="76" spans="1:26" ht="12.75" customHeight="1" x14ac:dyDescent="0.3">
      <c r="A76" s="415" t="s">
        <v>23</v>
      </c>
      <c r="B76" s="413"/>
      <c r="C76" s="36"/>
      <c r="D76" s="36"/>
      <c r="E76" s="37">
        <f>SUM(E60:E75)</f>
        <v>809000</v>
      </c>
      <c r="F76" s="36"/>
      <c r="G76" s="36"/>
      <c r="H76" s="36"/>
      <c r="I76" s="36"/>
      <c r="J76" s="37">
        <f>SUM(J60:J75)</f>
        <v>102137.09677419355</v>
      </c>
      <c r="K76" s="37">
        <f>SUM(K60:K75)</f>
        <v>651459.67741935491</v>
      </c>
      <c r="L76" s="36"/>
      <c r="M76" s="36"/>
      <c r="N76" s="36"/>
      <c r="O76" s="36"/>
      <c r="P76" s="36"/>
      <c r="Q76" s="103">
        <f>SUM(Q60:Q75)</f>
        <v>651459.67741935491</v>
      </c>
      <c r="R76" s="103">
        <f>Q76-Q62</f>
        <v>595814.51612903236</v>
      </c>
      <c r="S76" s="103"/>
      <c r="T76" s="41"/>
      <c r="U76" s="41">
        <f>Q76-Q60+Q42</f>
        <v>709362.90322580654</v>
      </c>
      <c r="V76" s="40"/>
      <c r="W76" s="40"/>
      <c r="X76" s="40"/>
      <c r="Y76" s="40"/>
      <c r="Z76" s="40"/>
    </row>
    <row r="77" spans="1:26" ht="12.7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3"/>
      <c r="R77" s="41"/>
      <c r="S77" s="22"/>
      <c r="T77" s="41"/>
      <c r="U77" s="41"/>
      <c r="V77" s="40"/>
      <c r="W77" s="40"/>
      <c r="X77" s="40"/>
      <c r="Y77" s="40"/>
      <c r="Z77" s="40"/>
    </row>
    <row r="78" spans="1:26" ht="21" customHeight="1" x14ac:dyDescent="0.2">
      <c r="A78" s="414" t="s">
        <v>50</v>
      </c>
      <c r="B78" s="412"/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2"/>
      <c r="P78" s="412"/>
      <c r="Q78" s="413"/>
      <c r="R78" s="44"/>
      <c r="S78" s="46"/>
      <c r="T78" s="46"/>
      <c r="U78" s="46"/>
      <c r="V78" s="45"/>
      <c r="W78" s="45"/>
      <c r="X78" s="45"/>
      <c r="Y78" s="45"/>
      <c r="Z78" s="45"/>
    </row>
    <row r="79" spans="1:26" s="285" customFormat="1" ht="16.149999999999999" customHeight="1" x14ac:dyDescent="0.2">
      <c r="A79" s="368">
        <v>1</v>
      </c>
      <c r="B79" s="311" t="s">
        <v>51</v>
      </c>
      <c r="C79" s="356"/>
      <c r="D79" s="357"/>
      <c r="E79" s="313">
        <f>'Salary Record'!K80</f>
        <v>70000</v>
      </c>
      <c r="F79" s="313">
        <f>'Salary Record'!C86</f>
        <v>0</v>
      </c>
      <c r="G79" s="314">
        <f>'Salary Record'!C87</f>
        <v>0</v>
      </c>
      <c r="H79" s="313">
        <f>'Salary Record'!I85</f>
        <v>124</v>
      </c>
      <c r="I79" s="313">
        <f>'Salary Record'!I84</f>
        <v>31</v>
      </c>
      <c r="J79" s="330">
        <f>'Salary Record'!K85</f>
        <v>35000</v>
      </c>
      <c r="K79" s="318">
        <f>'Salary Record'!K86</f>
        <v>105000</v>
      </c>
      <c r="L79" s="315">
        <f>'Salary Record'!G84</f>
        <v>0</v>
      </c>
      <c r="M79" s="319">
        <f>'Salary Record'!G85</f>
        <v>0</v>
      </c>
      <c r="N79" s="317">
        <f>'Salary Record'!G86</f>
        <v>0</v>
      </c>
      <c r="O79" s="319">
        <f>'Salary Record'!G87</f>
        <v>0</v>
      </c>
      <c r="P79" s="317">
        <f>'Salary Record'!G88</f>
        <v>0</v>
      </c>
      <c r="Q79" s="315">
        <f>'Salary Record'!K88</f>
        <v>105000</v>
      </c>
      <c r="R79" s="340"/>
      <c r="S79" s="340"/>
      <c r="T79" s="340"/>
      <c r="U79" s="340"/>
      <c r="V79" s="341"/>
      <c r="W79" s="341"/>
      <c r="X79" s="341"/>
      <c r="Y79" s="341"/>
      <c r="Z79" s="341"/>
    </row>
    <row r="80" spans="1:26" s="285" customFormat="1" ht="17.45" customHeight="1" x14ac:dyDescent="0.2">
      <c r="A80" s="368">
        <v>2</v>
      </c>
      <c r="B80" s="311" t="str">
        <f>'Salary Record'!C671</f>
        <v>Noman Ali Sheikh Ansari</v>
      </c>
      <c r="C80" s="328" t="s">
        <v>52</v>
      </c>
      <c r="D80" s="329">
        <f>SUM(Q30:Q97)</f>
        <v>4690395.5645161299</v>
      </c>
      <c r="E80" s="313">
        <f>'Salary Record'!K674</f>
        <v>0</v>
      </c>
      <c r="F80" s="313">
        <f>'Salary Record'!C676</f>
        <v>0</v>
      </c>
      <c r="G80" s="314">
        <f>'Salary Record'!C677</f>
        <v>0</v>
      </c>
      <c r="H80" s="313">
        <f>'Salary Record'!I675</f>
        <v>0</v>
      </c>
      <c r="I80" s="313">
        <f>'Salary Record'!I674</f>
        <v>0</v>
      </c>
      <c r="J80" s="318">
        <f>'Salary Record'!K675</f>
        <v>0</v>
      </c>
      <c r="K80" s="318">
        <f>'Salary Record'!K676</f>
        <v>0</v>
      </c>
      <c r="L80" s="315">
        <f>'Salary Record'!G674</f>
        <v>0</v>
      </c>
      <c r="M80" s="319">
        <f>'Salary Record'!G675</f>
        <v>0</v>
      </c>
      <c r="N80" s="317">
        <f>'Salary Record'!G676</f>
        <v>0</v>
      </c>
      <c r="O80" s="319">
        <f>'Salary Record'!G677</f>
        <v>0</v>
      </c>
      <c r="P80" s="317">
        <f>'Salary Record'!G678</f>
        <v>0</v>
      </c>
      <c r="Q80" s="315">
        <f>'Salary Record'!K678</f>
        <v>0</v>
      </c>
      <c r="R80" s="340"/>
      <c r="S80" s="340"/>
      <c r="T80" s="340"/>
      <c r="U80" s="341"/>
      <c r="V80" s="341"/>
      <c r="W80" s="341"/>
      <c r="X80" s="341"/>
      <c r="Y80" s="341"/>
      <c r="Z80" s="341"/>
    </row>
    <row r="81" spans="1:26" s="285" customFormat="1" ht="16.149999999999999" customHeight="1" x14ac:dyDescent="0.2">
      <c r="A81" s="368">
        <v>3</v>
      </c>
      <c r="B81" s="311" t="str">
        <f>'Salary Record'!C656</f>
        <v>M. Raza</v>
      </c>
      <c r="C81" s="337"/>
      <c r="D81" s="338"/>
      <c r="E81" s="319">
        <f>'Salary Record'!K655</f>
        <v>60000</v>
      </c>
      <c r="F81" s="319">
        <f>'Salary Record'!C661</f>
        <v>0</v>
      </c>
      <c r="G81" s="314">
        <f>'Salary Record'!C662</f>
        <v>0</v>
      </c>
      <c r="H81" s="319">
        <f>'Salary Record'!I660</f>
        <v>0</v>
      </c>
      <c r="I81" s="319">
        <f>'Salary Record'!I659</f>
        <v>0</v>
      </c>
      <c r="J81" s="318">
        <f>'Salary Record'!K660</f>
        <v>0</v>
      </c>
      <c r="K81" s="318">
        <f>'Salary Record'!K661</f>
        <v>0</v>
      </c>
      <c r="L81" s="315">
        <f>'Salary Record'!G659</f>
        <v>0</v>
      </c>
      <c r="M81" s="319">
        <f>'Salary Record'!G660</f>
        <v>0</v>
      </c>
      <c r="N81" s="317">
        <f>'Salary Record'!G661</f>
        <v>0</v>
      </c>
      <c r="O81" s="319">
        <f>'Salary Record'!G662</f>
        <v>0</v>
      </c>
      <c r="P81" s="317">
        <f>'Salary Record'!G663</f>
        <v>0</v>
      </c>
      <c r="Q81" s="315">
        <f>'Salary Record'!K663</f>
        <v>0</v>
      </c>
      <c r="R81" s="340"/>
      <c r="S81" s="340"/>
      <c r="T81" s="340"/>
      <c r="U81" s="341"/>
      <c r="V81" s="341"/>
      <c r="W81" s="341"/>
      <c r="X81" s="341"/>
      <c r="Y81" s="341"/>
      <c r="Z81" s="341"/>
    </row>
    <row r="82" spans="1:26" s="285" customFormat="1" ht="16.149999999999999" customHeight="1" x14ac:dyDescent="0.2">
      <c r="A82" s="368">
        <v>4</v>
      </c>
      <c r="B82" s="311" t="str">
        <f>'Salary Record'!C750</f>
        <v>Engr Ahsan</v>
      </c>
      <c r="C82" s="326"/>
      <c r="D82" s="327"/>
      <c r="E82" s="279">
        <f>'Salary Record'!K749</f>
        <v>70000</v>
      </c>
      <c r="F82" s="279">
        <f>'Salary Record'!C755</f>
        <v>0</v>
      </c>
      <c r="G82" s="276">
        <f>'Salary Record'!C756</f>
        <v>0</v>
      </c>
      <c r="H82" s="279">
        <f>'Salary Record'!I754</f>
        <v>40</v>
      </c>
      <c r="I82" s="279">
        <f>'Salary Record'!I753</f>
        <v>31</v>
      </c>
      <c r="J82" s="277">
        <f>'Salary Record'!K754</f>
        <v>11290.322580645161</v>
      </c>
      <c r="K82" s="279">
        <f>'Salary Record'!K755</f>
        <v>81290.322580645166</v>
      </c>
      <c r="L82" s="278">
        <f>'Salary Record'!G753</f>
        <v>0</v>
      </c>
      <c r="M82" s="279">
        <f>'Salary Record'!G754</f>
        <v>0</v>
      </c>
      <c r="N82" s="280" t="str">
        <f>'Salary Record'!G755</f>
        <v/>
      </c>
      <c r="O82" s="279">
        <f>'Salary Record'!G756</f>
        <v>0</v>
      </c>
      <c r="P82" s="280" t="str">
        <f>'Salary Record'!G757</f>
        <v/>
      </c>
      <c r="Q82" s="278">
        <f>'Salary Record'!K757</f>
        <v>81290.322580645166</v>
      </c>
      <c r="R82" s="282"/>
      <c r="S82" s="283"/>
      <c r="T82" s="283"/>
      <c r="U82" s="284"/>
      <c r="V82" s="284"/>
      <c r="W82" s="284"/>
      <c r="X82" s="284"/>
      <c r="Y82" s="284"/>
      <c r="Z82" s="284"/>
    </row>
    <row r="83" spans="1:26" s="285" customFormat="1" ht="16.149999999999999" customHeight="1" x14ac:dyDescent="0.2">
      <c r="A83" s="368">
        <v>5</v>
      </c>
      <c r="B83" s="311" t="str">
        <f>'Salary Record'!C814</f>
        <v>Talha Siddiqui</v>
      </c>
      <c r="C83" s="326"/>
      <c r="D83" s="327"/>
      <c r="E83" s="279">
        <f>'Salary Record'!K813</f>
        <v>60000</v>
      </c>
      <c r="F83" s="279">
        <f>'Salary Record'!C819</f>
        <v>0</v>
      </c>
      <c r="G83" s="276">
        <f>'Salary Record'!C820</f>
        <v>0</v>
      </c>
      <c r="H83" s="279">
        <f>'Salary Record'!I818</f>
        <v>0</v>
      </c>
      <c r="I83" s="279">
        <f>'Salary Record'!I817</f>
        <v>31</v>
      </c>
      <c r="J83" s="277">
        <f>'Salary Record'!K818</f>
        <v>0</v>
      </c>
      <c r="K83" s="279">
        <f>'Salary Record'!K819</f>
        <v>60000</v>
      </c>
      <c r="L83" s="278" t="str">
        <f>'Salary Record'!G817</f>
        <v/>
      </c>
      <c r="M83" s="279">
        <f>'Salary Record'!G818</f>
        <v>0</v>
      </c>
      <c r="N83" s="280" t="str">
        <f>'Salary Record'!G819</f>
        <v/>
      </c>
      <c r="O83" s="279">
        <f>'Salary Record'!G820</f>
        <v>0</v>
      </c>
      <c r="P83" s="280" t="str">
        <f>'Salary Record'!G821</f>
        <v/>
      </c>
      <c r="Q83" s="278">
        <f>'Salary Record'!K821</f>
        <v>60000</v>
      </c>
      <c r="R83" s="282"/>
      <c r="S83" s="283"/>
      <c r="T83" s="283"/>
      <c r="U83" s="284"/>
      <c r="V83" s="284"/>
      <c r="W83" s="284"/>
      <c r="X83" s="284"/>
      <c r="Y83" s="284"/>
      <c r="Z83" s="284"/>
    </row>
    <row r="84" spans="1:26" s="285" customFormat="1" ht="16.149999999999999" customHeight="1" x14ac:dyDescent="0.2">
      <c r="A84" s="368">
        <v>6</v>
      </c>
      <c r="B84" s="311" t="str">
        <f>'Salary Record'!C111</f>
        <v>Amir (JPMC)</v>
      </c>
      <c r="C84" s="364"/>
      <c r="D84" s="363"/>
      <c r="E84" s="319">
        <f>'Salary Record'!K110</f>
        <v>60000</v>
      </c>
      <c r="F84" s="319">
        <f>'Salary Record'!C116</f>
        <v>0</v>
      </c>
      <c r="G84" s="314">
        <f>'Salary Record'!C117</f>
        <v>0</v>
      </c>
      <c r="H84" s="319">
        <f>'Salary Record'!I115</f>
        <v>21.5</v>
      </c>
      <c r="I84" s="319">
        <f>'Salary Record'!I114</f>
        <v>31</v>
      </c>
      <c r="J84" s="318">
        <f>'Salary Record'!K115</f>
        <v>5201.6129032258068</v>
      </c>
      <c r="K84" s="318">
        <f>'Salary Record'!K116</f>
        <v>65201.612903225803</v>
      </c>
      <c r="L84" s="315">
        <f>'Salary Record'!G114</f>
        <v>0</v>
      </c>
      <c r="M84" s="315">
        <f>'Salary Record'!G115</f>
        <v>0</v>
      </c>
      <c r="N84" s="317" t="str">
        <f>'Salary Record'!G116</f>
        <v/>
      </c>
      <c r="O84" s="315">
        <f>'Salary Record'!G117</f>
        <v>0</v>
      </c>
      <c r="P84" s="317" t="str">
        <f>'Salary Record'!G118</f>
        <v/>
      </c>
      <c r="Q84" s="315">
        <f>'Salary Record'!K118</f>
        <v>65201.612903225803</v>
      </c>
      <c r="R84" s="340" t="s">
        <v>53</v>
      </c>
      <c r="S84" s="340" t="s">
        <v>54</v>
      </c>
      <c r="T84" s="340"/>
      <c r="U84" s="340"/>
      <c r="V84" s="341"/>
      <c r="W84" s="341"/>
      <c r="X84" s="341"/>
      <c r="Y84" s="341"/>
      <c r="Z84" s="341"/>
    </row>
    <row r="85" spans="1:26" s="285" customFormat="1" ht="16.149999999999999" customHeight="1" x14ac:dyDescent="0.2">
      <c r="A85" s="368">
        <v>7</v>
      </c>
      <c r="B85" s="311" t="str">
        <f>'Salary Record'!C367</f>
        <v>A. Lateef Chacha</v>
      </c>
      <c r="C85" s="316"/>
      <c r="D85" s="317"/>
      <c r="E85" s="319">
        <f>'Salary Record'!K366</f>
        <v>31000</v>
      </c>
      <c r="F85" s="319">
        <f>'Salary Record'!C372</f>
        <v>0</v>
      </c>
      <c r="G85" s="314">
        <f>'Salary Record'!C373</f>
        <v>0</v>
      </c>
      <c r="H85" s="319">
        <f>'Salary Record'!I371</f>
        <v>51</v>
      </c>
      <c r="I85" s="319">
        <f>'Salary Record'!I370</f>
        <v>31</v>
      </c>
      <c r="J85" s="318">
        <f>'Salary Record'!K371</f>
        <v>6375</v>
      </c>
      <c r="K85" s="318">
        <f>'Salary Record'!K372</f>
        <v>37375</v>
      </c>
      <c r="L85" s="315">
        <f>'Salary Record'!G370</f>
        <v>0</v>
      </c>
      <c r="M85" s="315">
        <f>'Salary Record'!G371</f>
        <v>0</v>
      </c>
      <c r="N85" s="317" t="str">
        <f>'Salary Record'!G372</f>
        <v/>
      </c>
      <c r="O85" s="315">
        <f>'Salary Record'!G373</f>
        <v>0</v>
      </c>
      <c r="P85" s="317" t="str">
        <f>'Salary Record'!G374</f>
        <v/>
      </c>
      <c r="Q85" s="315">
        <f>'Salary Record'!K374</f>
        <v>37375</v>
      </c>
      <c r="R85" s="340"/>
      <c r="S85" s="340"/>
      <c r="T85" s="340"/>
      <c r="U85" s="341"/>
      <c r="V85" s="341"/>
      <c r="W85" s="341"/>
      <c r="X85" s="341"/>
      <c r="Y85" s="341"/>
      <c r="Z85" s="341"/>
    </row>
    <row r="86" spans="1:26" s="285" customFormat="1" ht="16.149999999999999" customHeight="1" x14ac:dyDescent="0.25">
      <c r="A86" s="368">
        <v>8</v>
      </c>
      <c r="B86" s="311" t="str">
        <f>'Salary Record'!C382</f>
        <v>Lateef</v>
      </c>
      <c r="C86" s="373"/>
      <c r="D86" s="374"/>
      <c r="E86" s="346">
        <f>'Salary Record'!K381</f>
        <v>34000</v>
      </c>
      <c r="F86" s="346">
        <f>'Salary Record'!C387</f>
        <v>0</v>
      </c>
      <c r="G86" s="347">
        <f>'Salary Record'!C388</f>
        <v>0</v>
      </c>
      <c r="H86" s="346">
        <f>'Salary Record'!I386</f>
        <v>42</v>
      </c>
      <c r="I86" s="346">
        <f>'Salary Record'!I385</f>
        <v>31</v>
      </c>
      <c r="J86" s="349">
        <f>'Salary Record'!K386</f>
        <v>5758.0645161290322</v>
      </c>
      <c r="K86" s="349">
        <f>'Salary Record'!K387</f>
        <v>39758.06451612903</v>
      </c>
      <c r="L86" s="346">
        <f>'Salary Record'!G385</f>
        <v>0</v>
      </c>
      <c r="M86" s="346">
        <f>'Salary Record'!G386</f>
        <v>0</v>
      </c>
      <c r="N86" s="375" t="str">
        <f>'Salary Record'!G387</f>
        <v/>
      </c>
      <c r="O86" s="346">
        <f>'Salary Record'!G388</f>
        <v>0</v>
      </c>
      <c r="P86" s="375" t="str">
        <f>'Salary Record'!G389</f>
        <v/>
      </c>
      <c r="Q86" s="376">
        <f>'Salary Record'!K389</f>
        <v>39758.06451612903</v>
      </c>
      <c r="R86" s="351"/>
      <c r="S86" s="352"/>
      <c r="T86" s="352"/>
      <c r="V86" s="352"/>
      <c r="X86" s="352"/>
    </row>
    <row r="87" spans="1:26" s="285" customFormat="1" ht="16.149999999999999" customHeight="1" x14ac:dyDescent="0.2">
      <c r="A87" s="368">
        <v>9</v>
      </c>
      <c r="B87" s="291" t="s">
        <v>55</v>
      </c>
      <c r="C87" s="328"/>
      <c r="D87" s="329"/>
      <c r="E87" s="313">
        <f>'Salary Record'!K185</f>
        <v>35000</v>
      </c>
      <c r="F87" s="313">
        <f>'Salary Record'!C191</f>
        <v>0</v>
      </c>
      <c r="G87" s="314">
        <f>'Salary Record'!C192</f>
        <v>0</v>
      </c>
      <c r="H87" s="313">
        <f>'Salary Record'!I190</f>
        <v>185</v>
      </c>
      <c r="I87" s="313">
        <f>'Salary Record'!I189</f>
        <v>31</v>
      </c>
      <c r="J87" s="330">
        <f>'Salary Record'!K190</f>
        <v>26108.870967741936</v>
      </c>
      <c r="K87" s="319">
        <f>'Salary Record'!K191</f>
        <v>61108.870967741939</v>
      </c>
      <c r="L87" s="315">
        <f>'Salary Record'!G189</f>
        <v>0</v>
      </c>
      <c r="M87" s="319">
        <f>'Salary Record'!G190</f>
        <v>0</v>
      </c>
      <c r="N87" s="317" t="str">
        <f>'Salary Record'!G191</f>
        <v/>
      </c>
      <c r="O87" s="319">
        <f>'Salary Record'!G192</f>
        <v>0</v>
      </c>
      <c r="P87" s="317" t="str">
        <f>'Salary Record'!G193</f>
        <v/>
      </c>
      <c r="Q87" s="315">
        <f>'Salary Record'!K193</f>
        <v>61108.870967741939</v>
      </c>
      <c r="R87" s="340" t="s">
        <v>56</v>
      </c>
      <c r="S87" s="340" t="s">
        <v>57</v>
      </c>
      <c r="T87" s="340"/>
      <c r="U87" s="341"/>
      <c r="V87" s="341"/>
      <c r="W87" s="341"/>
      <c r="X87" s="341"/>
      <c r="Y87" s="341"/>
      <c r="Z87" s="341"/>
    </row>
    <row r="88" spans="1:26" s="285" customFormat="1" ht="16.149999999999999" customHeight="1" x14ac:dyDescent="0.2">
      <c r="A88" s="368">
        <v>10</v>
      </c>
      <c r="B88" s="291" t="s">
        <v>58</v>
      </c>
      <c r="C88" s="328"/>
      <c r="D88" s="329"/>
      <c r="E88" s="313">
        <f>'Salary Record'!K140</f>
        <v>40000</v>
      </c>
      <c r="F88" s="313">
        <f>'Salary Record'!C146</f>
        <v>0</v>
      </c>
      <c r="G88" s="314">
        <f>'Salary Record'!C147</f>
        <v>0</v>
      </c>
      <c r="H88" s="313">
        <f>'Salary Record'!I145</f>
        <v>190</v>
      </c>
      <c r="I88" s="313">
        <f>'Salary Record'!I144</f>
        <v>31</v>
      </c>
      <c r="J88" s="330">
        <f>'Salary Record'!K145</f>
        <v>30645.16129032258</v>
      </c>
      <c r="K88" s="319">
        <f>'Salary Record'!K146</f>
        <v>70645.161290322576</v>
      </c>
      <c r="L88" s="315">
        <f>'Salary Record'!G144</f>
        <v>0</v>
      </c>
      <c r="M88" s="319">
        <f>'Salary Record'!G145</f>
        <v>0</v>
      </c>
      <c r="N88" s="317" t="str">
        <f>'Salary Record'!G146</f>
        <v/>
      </c>
      <c r="O88" s="319">
        <f>'Salary Record'!G147</f>
        <v>0</v>
      </c>
      <c r="P88" s="317" t="str">
        <f>'Salary Record'!G148</f>
        <v/>
      </c>
      <c r="Q88" s="315">
        <f>'Salary Record'!K148</f>
        <v>70645.161290322576</v>
      </c>
      <c r="R88" s="340" t="s">
        <v>59</v>
      </c>
      <c r="S88" s="340" t="s">
        <v>60</v>
      </c>
      <c r="T88" s="340"/>
      <c r="U88" s="341"/>
      <c r="V88" s="341"/>
      <c r="W88" s="341"/>
      <c r="X88" s="341"/>
      <c r="Y88" s="341"/>
      <c r="Z88" s="341"/>
    </row>
    <row r="89" spans="1:26" s="285" customFormat="1" ht="16.149999999999999" customHeight="1" x14ac:dyDescent="0.3">
      <c r="A89" s="368">
        <v>11</v>
      </c>
      <c r="B89" s="291" t="str">
        <f>'Salary Record'!C830</f>
        <v>Ahmed Nawaz</v>
      </c>
      <c r="C89" s="328"/>
      <c r="D89" s="329"/>
      <c r="E89" s="313">
        <f>'Salary Record'!K829</f>
        <v>1200</v>
      </c>
      <c r="F89" s="313">
        <f>'Salary Record'!C835</f>
        <v>0</v>
      </c>
      <c r="G89" s="314">
        <f>'Salary Record'!C836</f>
        <v>0</v>
      </c>
      <c r="H89" s="313">
        <f>'Salary Record'!I834</f>
        <v>46</v>
      </c>
      <c r="I89" s="313">
        <f>'Salary Record'!I833</f>
        <v>31</v>
      </c>
      <c r="J89" s="330">
        <f>'Salary Record'!K834</f>
        <v>222.58064516129033</v>
      </c>
      <c r="K89" s="319">
        <f>'Salary Record'!K835</f>
        <v>37422.580645161288</v>
      </c>
      <c r="L89" s="315" t="str">
        <f>'Salary Record'!G833</f>
        <v/>
      </c>
      <c r="M89" s="319">
        <f>'Salary Record'!G834</f>
        <v>0</v>
      </c>
      <c r="N89" s="317" t="str">
        <f>'Salary Record'!G835</f>
        <v/>
      </c>
      <c r="O89" s="319">
        <f>'Salary Record'!G836</f>
        <v>0</v>
      </c>
      <c r="P89" s="317" t="str">
        <f>'Salary Record'!G837</f>
        <v/>
      </c>
      <c r="Q89" s="315">
        <f>'Salary Record'!K837</f>
        <v>37422.580645161288</v>
      </c>
      <c r="R89" s="331"/>
      <c r="S89" s="332"/>
      <c r="T89" s="333"/>
      <c r="U89" s="333"/>
      <c r="V89" s="332"/>
      <c r="W89" s="332"/>
      <c r="X89" s="332"/>
      <c r="Y89" s="332"/>
      <c r="Z89" s="332"/>
    </row>
    <row r="90" spans="1:26" s="285" customFormat="1" ht="16.149999999999999" customHeight="1" x14ac:dyDescent="0.3">
      <c r="A90" s="368">
        <v>12</v>
      </c>
      <c r="B90" s="291" t="str">
        <f>'Salary Record'!C878</f>
        <v>Zafar</v>
      </c>
      <c r="C90" s="328"/>
      <c r="D90" s="329"/>
      <c r="E90" s="313">
        <f>'Salary Record'!K877</f>
        <v>50000</v>
      </c>
      <c r="F90" s="313">
        <f>'Salary Record'!C883</f>
        <v>0</v>
      </c>
      <c r="G90" s="314">
        <f>'Salary Record'!C884</f>
        <v>0</v>
      </c>
      <c r="H90" s="313">
        <f>'Salary Record'!I882</f>
        <v>0</v>
      </c>
      <c r="I90" s="313">
        <f>'Salary Record'!I881</f>
        <v>31</v>
      </c>
      <c r="J90" s="330">
        <f>'Salary Record'!K882</f>
        <v>0</v>
      </c>
      <c r="K90" s="319">
        <f>'Salary Record'!K883</f>
        <v>50000</v>
      </c>
      <c r="L90" s="315" t="str">
        <f>'Salary Record'!G881</f>
        <v/>
      </c>
      <c r="M90" s="319">
        <f>'Salary Record'!G882</f>
        <v>0</v>
      </c>
      <c r="N90" s="317" t="str">
        <f>'Salary Record'!G883</f>
        <v/>
      </c>
      <c r="O90" s="319">
        <f>'Salary Record'!G884</f>
        <v>0</v>
      </c>
      <c r="P90" s="317" t="str">
        <f>'Salary Record'!G885</f>
        <v/>
      </c>
      <c r="Q90" s="315">
        <f>'Salary Record'!K885</f>
        <v>50000</v>
      </c>
      <c r="R90" s="331"/>
      <c r="S90" s="332"/>
      <c r="T90" s="333"/>
      <c r="U90" s="333"/>
      <c r="V90" s="332"/>
      <c r="W90" s="332"/>
      <c r="X90" s="332"/>
      <c r="Y90" s="332"/>
      <c r="Z90" s="332"/>
    </row>
    <row r="91" spans="1:26" s="285" customFormat="1" ht="16.149999999999999" customHeight="1" x14ac:dyDescent="0.3">
      <c r="A91" s="368">
        <v>13</v>
      </c>
      <c r="B91" s="405" t="str">
        <f>'Salary Record'!C894</f>
        <v>Laraib</v>
      </c>
      <c r="C91" s="328"/>
      <c r="D91" s="329"/>
      <c r="E91" s="406">
        <f>'Salary Record'!K893</f>
        <v>35000</v>
      </c>
      <c r="F91" s="313">
        <f>'Salary Record'!C899</f>
        <v>0</v>
      </c>
      <c r="G91" s="314">
        <f>'Salary Record'!C900</f>
        <v>0</v>
      </c>
      <c r="H91" s="313">
        <f>'Salary Record'!I898</f>
        <v>0</v>
      </c>
      <c r="I91" s="313">
        <f>'Salary Record'!I897</f>
        <v>31</v>
      </c>
      <c r="J91" s="330">
        <f>'Salary Record'!K898</f>
        <v>0</v>
      </c>
      <c r="K91" s="319">
        <f>'Salary Record'!K899</f>
        <v>35000</v>
      </c>
      <c r="L91" s="315" t="str">
        <f>'Salary Record'!G897</f>
        <v/>
      </c>
      <c r="M91" s="319">
        <f>'Salary Record'!G898</f>
        <v>0</v>
      </c>
      <c r="N91" s="317" t="str">
        <f>'Salary Record'!G899</f>
        <v/>
      </c>
      <c r="O91" s="319">
        <f>'Salary Record'!G900</f>
        <v>0</v>
      </c>
      <c r="P91" s="317" t="str">
        <f>'Salary Record'!G901</f>
        <v/>
      </c>
      <c r="Q91" s="315">
        <f>'Salary Record'!K901</f>
        <v>35000</v>
      </c>
      <c r="R91" s="331"/>
      <c r="S91" s="332"/>
      <c r="T91" s="333"/>
      <c r="U91" s="333"/>
      <c r="V91" s="332"/>
      <c r="W91" s="332"/>
      <c r="X91" s="332"/>
      <c r="Y91" s="332"/>
      <c r="Z91" s="332"/>
    </row>
    <row r="92" spans="1:26" s="285" customFormat="1" ht="16.149999999999999" customHeight="1" x14ac:dyDescent="0.3">
      <c r="A92" s="368">
        <v>14</v>
      </c>
      <c r="B92" s="408" t="str">
        <f>'Salary Record'!C517</f>
        <v>Moiz</v>
      </c>
      <c r="C92" s="337"/>
      <c r="D92" s="338"/>
      <c r="E92" s="319">
        <f>'Salary Record'!K516</f>
        <v>35000</v>
      </c>
      <c r="F92" s="319">
        <f>'Salary Record'!C522</f>
        <v>0</v>
      </c>
      <c r="G92" s="314">
        <f>'Salary Record'!C523</f>
        <v>0</v>
      </c>
      <c r="H92" s="319">
        <f>'Salary Record'!I521</f>
        <v>0</v>
      </c>
      <c r="I92" s="319">
        <f>'Salary Record'!I520</f>
        <v>31</v>
      </c>
      <c r="J92" s="318">
        <f>'Salary Record'!K521</f>
        <v>0</v>
      </c>
      <c r="K92" s="319">
        <f>'Salary Record'!K522</f>
        <v>35000</v>
      </c>
      <c r="L92" s="315">
        <f>'Salary Record'!U903</f>
        <v>0</v>
      </c>
      <c r="M92" s="315">
        <f>'Salary Record'!G521</f>
        <v>0</v>
      </c>
      <c r="N92" s="315">
        <f>'Salary Record'!G522</f>
        <v>0</v>
      </c>
      <c r="O92" s="315">
        <f>'Salary Record'!G523</f>
        <v>0</v>
      </c>
      <c r="P92" s="315">
        <f>'Salary Record'!G524</f>
        <v>0</v>
      </c>
      <c r="Q92" s="315">
        <f>'Salary Record'!K524</f>
        <v>35000</v>
      </c>
      <c r="R92" s="340"/>
      <c r="S92" s="340"/>
      <c r="T92" s="333"/>
      <c r="U92" s="341"/>
      <c r="V92" s="341"/>
      <c r="W92" s="341"/>
      <c r="X92" s="341"/>
      <c r="Y92" s="341"/>
      <c r="Z92" s="341"/>
    </row>
    <row r="93" spans="1:26" s="285" customFormat="1" ht="16.149999999999999" customHeight="1" x14ac:dyDescent="0.3">
      <c r="A93" s="368">
        <v>15</v>
      </c>
      <c r="B93" s="291" t="s">
        <v>301</v>
      </c>
      <c r="C93" s="328"/>
      <c r="D93" s="329"/>
      <c r="E93" s="313">
        <f>'Salary Record'!K909</f>
        <v>35000</v>
      </c>
      <c r="F93" s="313">
        <f>'Salary Record'!C915</f>
        <v>0</v>
      </c>
      <c r="G93" s="314">
        <f>'Salary Record'!C916</f>
        <v>0</v>
      </c>
      <c r="H93" s="313">
        <f>'Salary Record'!I914</f>
        <v>8</v>
      </c>
      <c r="I93" s="313">
        <f>'Salary Record'!I913</f>
        <v>31</v>
      </c>
      <c r="J93" s="330">
        <f>'Salary Record'!K914</f>
        <v>1129.0322580645161</v>
      </c>
      <c r="K93" s="319">
        <f>'Salary Record'!K915</f>
        <v>36129.032258064515</v>
      </c>
      <c r="L93" s="315" t="str">
        <f>'Salary Record'!G913</f>
        <v/>
      </c>
      <c r="M93" s="319">
        <f>'Salary Record'!G914</f>
        <v>0</v>
      </c>
      <c r="N93" s="317" t="str">
        <f>'Salary Record'!G915</f>
        <v/>
      </c>
      <c r="O93" s="319">
        <f>'Salary Record'!G916</f>
        <v>0</v>
      </c>
      <c r="P93" s="317" t="str">
        <f>'Salary Record'!G917</f>
        <v/>
      </c>
      <c r="Q93" s="315">
        <f>'Salary Record'!K917</f>
        <v>36129.032258064515</v>
      </c>
      <c r="R93" s="331"/>
      <c r="S93" s="332"/>
      <c r="T93" s="333"/>
      <c r="U93" s="333"/>
      <c r="V93" s="332"/>
      <c r="W93" s="332"/>
      <c r="X93" s="332"/>
      <c r="Y93" s="332"/>
      <c r="Z93" s="332"/>
    </row>
    <row r="94" spans="1:26" s="285" customFormat="1" ht="16.149999999999999" customHeight="1" x14ac:dyDescent="0.3">
      <c r="A94" s="368">
        <v>16</v>
      </c>
      <c r="B94" s="291" t="s">
        <v>304</v>
      </c>
      <c r="C94" s="328"/>
      <c r="D94" s="329"/>
      <c r="E94" s="313">
        <f>'Salary Record'!K925</f>
        <v>40000</v>
      </c>
      <c r="F94" s="313">
        <f>'Salary Record'!C931</f>
        <v>0</v>
      </c>
      <c r="G94" s="314">
        <f>'Salary Record'!C932</f>
        <v>0</v>
      </c>
      <c r="H94" s="313">
        <f>'Salary Record'!I930</f>
        <v>0</v>
      </c>
      <c r="I94" s="313">
        <f>'Salary Record'!I929</f>
        <v>31</v>
      </c>
      <c r="J94" s="330">
        <f>'Salary Record'!K930</f>
        <v>0</v>
      </c>
      <c r="K94" s="319">
        <f>'Salary Record'!K931</f>
        <v>40000</v>
      </c>
      <c r="L94" s="315" t="str">
        <f>'Salary Record'!G929</f>
        <v/>
      </c>
      <c r="M94" s="319">
        <f>'Salary Record'!G930</f>
        <v>0</v>
      </c>
      <c r="N94" s="317" t="str">
        <f>'Salary Record'!G931</f>
        <v/>
      </c>
      <c r="O94" s="319">
        <f>'Salary Record'!G932</f>
        <v>0</v>
      </c>
      <c r="P94" s="317" t="str">
        <f>'Salary Record'!G933</f>
        <v/>
      </c>
      <c r="Q94" s="315">
        <f>'Salary Record'!K933</f>
        <v>40000</v>
      </c>
      <c r="R94" s="331"/>
      <c r="S94" s="332"/>
      <c r="T94" s="333"/>
      <c r="U94" s="333"/>
      <c r="V94" s="332"/>
      <c r="W94" s="332"/>
      <c r="X94" s="332"/>
      <c r="Y94" s="332"/>
      <c r="Z94" s="332"/>
    </row>
    <row r="95" spans="1:26" s="285" customFormat="1" ht="16.149999999999999" customHeight="1" x14ac:dyDescent="0.3">
      <c r="A95" s="368">
        <v>19</v>
      </c>
      <c r="B95" s="291" t="str">
        <f>'Salary Record'!C958</f>
        <v>Qamar</v>
      </c>
      <c r="C95" s="328"/>
      <c r="D95" s="329"/>
      <c r="E95" s="313">
        <f>'Salary Record'!K957</f>
        <v>1500</v>
      </c>
      <c r="F95" s="313">
        <f>'Salary Record'!C963</f>
        <v>0</v>
      </c>
      <c r="G95" s="314">
        <f>'Salary Record'!C964</f>
        <v>0</v>
      </c>
      <c r="H95" s="313">
        <f>'Salary Record'!I962</f>
        <v>0</v>
      </c>
      <c r="I95" s="313">
        <f>'Salary Record'!I961</f>
        <v>31</v>
      </c>
      <c r="J95" s="330">
        <f>'Salary Record'!K962</f>
        <v>0</v>
      </c>
      <c r="K95" s="319">
        <f>'Salary Record'!K963</f>
        <v>46500</v>
      </c>
      <c r="L95" s="315" t="str">
        <f>'Salary Record'!G961</f>
        <v/>
      </c>
      <c r="M95" s="319">
        <f>'Salary Record'!G962</f>
        <v>0</v>
      </c>
      <c r="N95" s="317" t="str">
        <f>'Salary Record'!G963</f>
        <v/>
      </c>
      <c r="O95" s="319">
        <f>'Salary Record'!G964</f>
        <v>0</v>
      </c>
      <c r="P95" s="317" t="str">
        <f>'Salary Record'!G965</f>
        <v/>
      </c>
      <c r="Q95" s="315">
        <f>'Salary Record'!K965</f>
        <v>46500</v>
      </c>
      <c r="R95" s="331"/>
      <c r="S95" s="332"/>
      <c r="T95" s="333"/>
      <c r="U95" s="333"/>
      <c r="V95" s="332"/>
      <c r="W95" s="332"/>
      <c r="X95" s="332"/>
      <c r="Y95" s="332"/>
      <c r="Z95" s="332"/>
    </row>
    <row r="96" spans="1:26" s="285" customFormat="1" ht="16.149999999999999" customHeight="1" x14ac:dyDescent="0.3">
      <c r="A96" s="368">
        <v>21</v>
      </c>
      <c r="B96" s="291" t="str">
        <f>'Salary Record'!C942</f>
        <v>Shahid</v>
      </c>
      <c r="C96" s="328"/>
      <c r="D96" s="329"/>
      <c r="E96" s="313">
        <f>'Salary Record'!K941</f>
        <v>1500</v>
      </c>
      <c r="F96" s="313">
        <f>'Salary Record'!C947</f>
        <v>0</v>
      </c>
      <c r="G96" s="314">
        <f>'Salary Record'!C948</f>
        <v>0</v>
      </c>
      <c r="H96" s="313">
        <f>'Salary Record'!I946</f>
        <v>0</v>
      </c>
      <c r="I96" s="313">
        <f>'Salary Record'!I945</f>
        <v>31</v>
      </c>
      <c r="J96" s="330">
        <f>'Salary Record'!K946</f>
        <v>0</v>
      </c>
      <c r="K96" s="409">
        <f>'Salary Record'!K947</f>
        <v>46500</v>
      </c>
      <c r="L96" s="315" t="str">
        <f>'Salary Record'!G945</f>
        <v/>
      </c>
      <c r="M96" s="319">
        <f>'Salary Record'!G946</f>
        <v>0</v>
      </c>
      <c r="N96" s="317" t="str">
        <f>'Salary Record'!G947</f>
        <v/>
      </c>
      <c r="O96" s="319">
        <f>'Salary Record'!G948</f>
        <v>0</v>
      </c>
      <c r="P96" s="317" t="str">
        <f>'Salary Record'!G949</f>
        <v/>
      </c>
      <c r="Q96" s="315">
        <f>'Salary Record'!K949</f>
        <v>46500</v>
      </c>
      <c r="R96" s="331"/>
      <c r="S96" s="332"/>
      <c r="T96" s="333"/>
      <c r="U96" s="333"/>
      <c r="V96" s="332"/>
      <c r="W96" s="332"/>
      <c r="X96" s="332"/>
      <c r="Y96" s="332"/>
      <c r="Z96" s="332"/>
    </row>
    <row r="97" spans="1:26" ht="16.899999999999999" customHeight="1" x14ac:dyDescent="0.3">
      <c r="A97" s="430" t="s">
        <v>23</v>
      </c>
      <c r="B97" s="431"/>
      <c r="C97" s="36"/>
      <c r="D97" s="36"/>
      <c r="E97" s="105">
        <f>SUM(E79:E96)</f>
        <v>659200</v>
      </c>
      <c r="F97" s="36"/>
      <c r="G97" s="36"/>
      <c r="H97" s="36"/>
      <c r="I97" s="36"/>
      <c r="J97" s="105">
        <f>SUM(J79:J88)</f>
        <v>120379.03225806452</v>
      </c>
      <c r="K97" s="105">
        <f>SUM(K79:K88)</f>
        <v>520379.03225806449</v>
      </c>
      <c r="L97" s="36"/>
      <c r="M97" s="36"/>
      <c r="N97" s="36"/>
      <c r="O97" s="36"/>
      <c r="P97" s="36"/>
      <c r="Q97" s="38">
        <f>SUM(Q79:Q96)</f>
        <v>846930.6451612903</v>
      </c>
      <c r="R97" s="39"/>
      <c r="S97" s="40"/>
      <c r="T97" s="41"/>
      <c r="U97" s="41"/>
      <c r="V97" s="40"/>
      <c r="W97" s="40"/>
      <c r="X97" s="40"/>
      <c r="Y97" s="40"/>
      <c r="Z97" s="40"/>
    </row>
    <row r="98" spans="1:26" ht="12.75" customHeight="1" x14ac:dyDescent="0.3">
      <c r="A98" s="35"/>
      <c r="B98" s="106"/>
      <c r="C98" s="107"/>
      <c r="D98" s="107"/>
      <c r="E98" s="26"/>
      <c r="F98" s="107"/>
      <c r="G98" s="107"/>
      <c r="H98" s="107"/>
      <c r="I98" s="107"/>
      <c r="J98" s="26"/>
      <c r="K98" s="108"/>
      <c r="L98" s="36"/>
      <c r="M98" s="36"/>
      <c r="N98" s="36"/>
      <c r="O98" s="36"/>
      <c r="P98" s="36"/>
      <c r="Q98" s="109"/>
      <c r="R98" s="41"/>
      <c r="S98" s="40"/>
      <c r="T98" s="41"/>
      <c r="U98" s="40"/>
      <c r="V98" s="40"/>
      <c r="W98" s="40"/>
      <c r="X98" s="40"/>
      <c r="Y98" s="40"/>
      <c r="Z98" s="40"/>
    </row>
    <row r="99" spans="1:26" ht="21" customHeight="1" x14ac:dyDescent="0.2">
      <c r="A99" s="432" t="s">
        <v>62</v>
      </c>
      <c r="B99" s="412"/>
      <c r="C99" s="110"/>
      <c r="D99" s="110"/>
      <c r="E99" s="111">
        <f>SUM(E4+E5+E76+E57+E48+E37+E30+E23+E11+E97)</f>
        <v>2804700</v>
      </c>
      <c r="F99" s="110"/>
      <c r="G99" s="110"/>
      <c r="H99" s="110"/>
      <c r="I99" s="110"/>
      <c r="J99" s="111">
        <f>SUM(J4+J5+J76+J57+J48+J37+J30+J23+J11+J97)</f>
        <v>394340.72580645164</v>
      </c>
      <c r="K99" s="112"/>
      <c r="L99" s="113">
        <f>SUM(L4:L97)</f>
        <v>33500</v>
      </c>
      <c r="M99" s="113">
        <f>SUM(M4:M97)</f>
        <v>0</v>
      </c>
      <c r="N99" s="113">
        <f>SUM(N4:N97)</f>
        <v>33500</v>
      </c>
      <c r="O99" s="113">
        <f>SUM(O4:O97)</f>
        <v>0</v>
      </c>
      <c r="P99" s="113">
        <f>SUM(P4:P97)</f>
        <v>33500</v>
      </c>
      <c r="Q99" s="114">
        <f>SUM(Q4+Q5++Q76+Q57+Q48+Q37+Q30+Q23+Q11+Q97)</f>
        <v>2735714.9193548388</v>
      </c>
      <c r="R99" s="115"/>
      <c r="S99" s="13"/>
      <c r="T99" s="13"/>
      <c r="U99" s="72"/>
    </row>
    <row r="100" spans="1:26" ht="20.25" customHeight="1" x14ac:dyDescent="0.2">
      <c r="A100" s="416" t="s">
        <v>63</v>
      </c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2"/>
      <c r="P100" s="413"/>
      <c r="Q100" s="116"/>
      <c r="R100" s="115"/>
      <c r="S100" s="13"/>
      <c r="T100" s="13"/>
      <c r="U100" s="13"/>
    </row>
    <row r="101" spans="1:26" ht="20.25" customHeight="1" x14ac:dyDescent="0.2">
      <c r="A101" s="416" t="s">
        <v>64</v>
      </c>
      <c r="B101" s="412"/>
      <c r="C101" s="412"/>
      <c r="D101" s="412"/>
      <c r="E101" s="412"/>
      <c r="F101" s="412"/>
      <c r="G101" s="412"/>
      <c r="H101" s="412"/>
      <c r="I101" s="412"/>
      <c r="J101" s="412"/>
      <c r="K101" s="412"/>
      <c r="L101" s="412"/>
      <c r="M101" s="412"/>
      <c r="N101" s="412"/>
      <c r="O101" s="412"/>
      <c r="P101" s="413"/>
      <c r="Q101" s="116">
        <f>Q99-Q100</f>
        <v>2735714.9193548388</v>
      </c>
      <c r="R101" s="115"/>
      <c r="S101" s="13"/>
      <c r="T101" s="13"/>
      <c r="U101" s="13"/>
    </row>
    <row r="102" spans="1:26" ht="20.25" customHeight="1" x14ac:dyDescent="0.25">
      <c r="A102" s="117"/>
      <c r="B102" s="118"/>
      <c r="C102" s="118"/>
      <c r="D102" s="118"/>
      <c r="E102" s="118"/>
      <c r="F102" s="118"/>
      <c r="G102" s="118"/>
      <c r="H102" s="118"/>
      <c r="I102" s="118"/>
      <c r="J102" s="118"/>
      <c r="K102" s="119"/>
      <c r="L102" s="119"/>
      <c r="M102" s="119"/>
      <c r="N102" s="119"/>
      <c r="O102" s="120"/>
      <c r="P102" s="120"/>
      <c r="Q102" s="121"/>
      <c r="R102" s="115"/>
      <c r="S102" s="13"/>
      <c r="T102" s="13"/>
      <c r="U102" s="13"/>
    </row>
    <row r="103" spans="1:26" ht="12.75" customHeight="1" x14ac:dyDescent="0.25">
      <c r="A103" s="122"/>
      <c r="B103" s="123"/>
      <c r="C103" s="96"/>
      <c r="D103" s="97"/>
      <c r="E103" s="83"/>
      <c r="F103" s="83"/>
      <c r="G103" s="84"/>
      <c r="H103" s="87"/>
      <c r="I103" s="83"/>
      <c r="J103" s="85"/>
      <c r="K103" s="124"/>
      <c r="L103" s="83"/>
      <c r="M103" s="83"/>
      <c r="N103" s="86"/>
      <c r="O103" s="83"/>
      <c r="P103" s="86"/>
      <c r="Q103" s="125"/>
      <c r="R103" s="88"/>
      <c r="S103" s="13"/>
      <c r="T103" s="13"/>
      <c r="U103" s="13"/>
    </row>
    <row r="104" spans="1:26" ht="12.75" customHeight="1" x14ac:dyDescent="0.2">
      <c r="A104" s="126"/>
      <c r="B104" s="127"/>
      <c r="C104" s="127"/>
      <c r="D104" s="127"/>
      <c r="E104" s="128"/>
      <c r="F104" s="128"/>
      <c r="G104" s="129"/>
      <c r="H104" s="128"/>
      <c r="I104" s="128"/>
      <c r="J104" s="128"/>
      <c r="K104" s="128"/>
      <c r="L104" s="128"/>
      <c r="M104" s="128"/>
      <c r="N104" s="130"/>
      <c r="O104" s="128"/>
      <c r="P104" s="130"/>
      <c r="Q104" s="131"/>
      <c r="R104" s="132"/>
      <c r="S104" s="13"/>
      <c r="T104" s="13"/>
    </row>
    <row r="105" spans="1:26" ht="21" hidden="1" customHeight="1" x14ac:dyDescent="0.2">
      <c r="A105" s="14">
        <v>2</v>
      </c>
      <c r="B105" s="102" t="s">
        <v>65</v>
      </c>
      <c r="C105" s="53" t="s">
        <v>66</v>
      </c>
      <c r="D105" s="20" t="e">
        <f>SUM(Q29:Q107)</f>
        <v>#REF!</v>
      </c>
      <c r="E105" s="19" t="e">
        <f>'Salary Record'!#REF!</f>
        <v>#REF!</v>
      </c>
      <c r="F105" s="19" t="e">
        <f>'Salary Record'!#REF!</f>
        <v>#REF!</v>
      </c>
      <c r="G105" s="25" t="e">
        <f>'Salary Record'!#REF!</f>
        <v>#REF!</v>
      </c>
      <c r="H105" s="19" t="e">
        <f>'Salary Record'!#REF!</f>
        <v>#REF!</v>
      </c>
      <c r="I105" s="19" t="e">
        <f>'Salary Record'!#REF!</f>
        <v>#REF!</v>
      </c>
      <c r="J105" s="18" t="e">
        <f>'Salary Record'!#REF!</f>
        <v>#REF!</v>
      </c>
      <c r="K105" s="19" t="e">
        <f>'Salary Record'!#REF!</f>
        <v>#REF!</v>
      </c>
      <c r="L105" s="26" t="e">
        <f>'Salary Record'!#REF!</f>
        <v>#REF!</v>
      </c>
      <c r="M105" s="26" t="e">
        <f>'Salary Record'!#REF!</f>
        <v>#REF!</v>
      </c>
      <c r="N105" s="20" t="e">
        <f>'Salary Record'!#REF!</f>
        <v>#REF!</v>
      </c>
      <c r="O105" s="19" t="e">
        <f>'Salary Record'!#REF!</f>
        <v>#REF!</v>
      </c>
      <c r="P105" s="20" t="e">
        <f>'Salary Record'!#REF!</f>
        <v>#REF!</v>
      </c>
      <c r="Q105" s="21" t="e">
        <f>'Salary Record'!#REF!</f>
        <v>#REF!</v>
      </c>
      <c r="R105" s="22"/>
      <c r="S105" s="22"/>
      <c r="T105" s="22"/>
      <c r="U105" s="23"/>
      <c r="V105" s="23"/>
      <c r="W105" s="23"/>
      <c r="X105" s="23"/>
      <c r="Y105" s="23"/>
      <c r="Z105" s="23"/>
    </row>
    <row r="106" spans="1:26" ht="12.75" hidden="1" customHeight="1" x14ac:dyDescent="0.25">
      <c r="A106" s="122"/>
      <c r="B106" s="133"/>
      <c r="C106" s="134" t="s">
        <v>67</v>
      </c>
      <c r="D106" s="70" t="e">
        <f>SUM(Q30:Q108)</f>
        <v>#REF!</v>
      </c>
      <c r="E106" s="124" t="e">
        <f>'Salary Record'!#REF!</f>
        <v>#REF!</v>
      </c>
      <c r="F106" s="124" t="e">
        <f>'Salary Record'!#REF!</f>
        <v>#REF!</v>
      </c>
      <c r="G106" s="135" t="e">
        <f>'Salary Record'!#REF!</f>
        <v>#REF!</v>
      </c>
      <c r="H106" s="124" t="e">
        <f>'Salary Record'!#REF!</f>
        <v>#REF!</v>
      </c>
      <c r="I106" s="124" t="e">
        <f>'Salary Record'!#REF!</f>
        <v>#REF!</v>
      </c>
      <c r="J106" s="85" t="e">
        <f>'Salary Record'!#REF!</f>
        <v>#REF!</v>
      </c>
      <c r="K106" s="85" t="e">
        <f>'Salary Record'!#REF!</f>
        <v>#REF!</v>
      </c>
      <c r="L106" s="83" t="e">
        <f>'Salary Record'!#REF!</f>
        <v>#REF!</v>
      </c>
      <c r="M106" s="124" t="e">
        <f>'Salary Record'!#REF!</f>
        <v>#REF!</v>
      </c>
      <c r="N106" s="86" t="e">
        <f>'Salary Record'!#REF!</f>
        <v>#REF!</v>
      </c>
      <c r="O106" s="124" t="e">
        <f>'Salary Record'!#REF!</f>
        <v>#REF!</v>
      </c>
      <c r="P106" s="86" t="e">
        <f>'Salary Record'!#REF!</f>
        <v>#REF!</v>
      </c>
      <c r="Q106" s="83" t="e">
        <f>'Salary Record'!#REF!</f>
        <v>#REF!</v>
      </c>
      <c r="R106" s="88"/>
      <c r="T106" s="13"/>
    </row>
    <row r="107" spans="1:26" ht="12.75" hidden="1" customHeight="1" x14ac:dyDescent="0.2">
      <c r="A107" s="126"/>
      <c r="B107" s="127"/>
      <c r="C107" s="127"/>
      <c r="D107" s="127"/>
      <c r="E107" s="128"/>
      <c r="F107" s="128"/>
      <c r="G107" s="129"/>
      <c r="H107" s="128"/>
      <c r="I107" s="128"/>
      <c r="J107" s="128"/>
      <c r="K107" s="128"/>
      <c r="L107" s="128"/>
      <c r="M107" s="128"/>
      <c r="N107" s="130"/>
      <c r="O107" s="128"/>
      <c r="P107" s="130"/>
      <c r="Q107" s="131"/>
      <c r="R107" s="132"/>
      <c r="T107" s="13"/>
    </row>
    <row r="108" spans="1:26" ht="12.75" hidden="1" customHeight="1" x14ac:dyDescent="0.25">
      <c r="A108" s="122">
        <v>3</v>
      </c>
      <c r="B108" s="133" t="s">
        <v>68</v>
      </c>
      <c r="C108" s="136" t="s">
        <v>69</v>
      </c>
      <c r="D108" s="65">
        <f>SUM(Q108)</f>
        <v>282.25806451612902</v>
      </c>
      <c r="E108" s="124">
        <f>'Salary Record'!K765</f>
        <v>35000</v>
      </c>
      <c r="F108" s="124">
        <f>'Salary Record'!C771</f>
        <v>0</v>
      </c>
      <c r="G108" s="135">
        <f>'Salary Record'!C772</f>
        <v>0</v>
      </c>
      <c r="H108" s="124">
        <f>'Salary Record'!I770</f>
        <v>2</v>
      </c>
      <c r="I108" s="124">
        <f>'Salary Record'!I769</f>
        <v>0</v>
      </c>
      <c r="J108" s="85">
        <f>'Salary Record'!K770</f>
        <v>282.25806451612902</v>
      </c>
      <c r="K108" s="124">
        <f>'Salary Record'!K771</f>
        <v>282.25806451612902</v>
      </c>
      <c r="L108" s="83">
        <f>'Salary Record'!G769</f>
        <v>0</v>
      </c>
      <c r="M108" s="124">
        <f>'Salary Record'!G770</f>
        <v>0</v>
      </c>
      <c r="N108" s="86">
        <f>'Salary Record'!G771</f>
        <v>0</v>
      </c>
      <c r="O108" s="124">
        <f>'Salary Record'!G772</f>
        <v>0</v>
      </c>
      <c r="P108" s="86">
        <f>'Salary Record'!G773</f>
        <v>0</v>
      </c>
      <c r="Q108" s="87">
        <f>'Salary Record'!K773</f>
        <v>282.25806451612902</v>
      </c>
      <c r="R108" s="88"/>
      <c r="S108" s="13"/>
      <c r="T108" s="13"/>
    </row>
    <row r="109" spans="1:26" ht="12.75" hidden="1" customHeight="1" x14ac:dyDescent="0.3">
      <c r="A109" s="137"/>
      <c r="B109" s="417" t="s">
        <v>70</v>
      </c>
      <c r="C109" s="418"/>
      <c r="D109" s="418"/>
      <c r="E109" s="418"/>
      <c r="F109" s="418"/>
      <c r="G109" s="418"/>
      <c r="H109" s="418"/>
      <c r="I109" s="418"/>
      <c r="J109" s="418"/>
      <c r="K109" s="418"/>
      <c r="L109" s="419"/>
    </row>
    <row r="110" spans="1:26" ht="12.75" hidden="1" customHeight="1" x14ac:dyDescent="0.25">
      <c r="A110" s="137"/>
      <c r="B110" s="138" t="s">
        <v>71</v>
      </c>
      <c r="C110" s="139" t="s">
        <v>72</v>
      </c>
      <c r="D110" s="139" t="s">
        <v>73</v>
      </c>
      <c r="E110" s="140" t="str">
        <f>N1</f>
        <v>August</v>
      </c>
      <c r="F110" s="13"/>
      <c r="G110" s="13"/>
      <c r="H110" s="13"/>
      <c r="I110" s="13"/>
      <c r="J110" s="13"/>
    </row>
    <row r="111" spans="1:26" ht="12.75" hidden="1" customHeight="1" x14ac:dyDescent="0.2">
      <c r="A111" s="137"/>
      <c r="B111" s="141" t="s">
        <v>74</v>
      </c>
      <c r="C111" s="142">
        <v>100000</v>
      </c>
      <c r="D111" s="142">
        <v>100000</v>
      </c>
      <c r="E111" s="142">
        <v>25000</v>
      </c>
      <c r="F111" s="13"/>
      <c r="G111" s="13"/>
      <c r="H111" s="13"/>
      <c r="I111" s="13"/>
      <c r="J111" s="13"/>
      <c r="K111" s="13"/>
    </row>
    <row r="112" spans="1:26" ht="12.75" hidden="1" customHeight="1" x14ac:dyDescent="0.2">
      <c r="A112" s="137"/>
      <c r="B112" s="141" t="s">
        <v>75</v>
      </c>
      <c r="C112" s="142"/>
      <c r="D112" s="142"/>
      <c r="E112" s="142">
        <v>25000</v>
      </c>
      <c r="F112" s="13"/>
      <c r="G112" s="13"/>
      <c r="H112" s="13"/>
      <c r="I112" s="13"/>
      <c r="J112" s="13"/>
    </row>
    <row r="113" spans="1:20" ht="12.75" hidden="1" customHeight="1" x14ac:dyDescent="0.2">
      <c r="A113" s="137"/>
      <c r="B113" s="141" t="s">
        <v>76</v>
      </c>
      <c r="C113" s="142"/>
      <c r="D113" s="142"/>
      <c r="E113" s="142">
        <v>25000</v>
      </c>
      <c r="F113" s="13"/>
      <c r="G113" s="13"/>
      <c r="H113" s="13"/>
      <c r="I113" s="13" t="e">
        <f>#REF!+#REF!+Q76+Q57+#REF!+Q48+Q37+Q30+Q23+Q5</f>
        <v>#REF!</v>
      </c>
      <c r="J113" s="13"/>
    </row>
    <row r="114" spans="1:20" ht="12.75" hidden="1" customHeight="1" x14ac:dyDescent="0.2">
      <c r="A114" s="137"/>
      <c r="B114" s="141" t="s">
        <v>77</v>
      </c>
      <c r="C114" s="142"/>
      <c r="D114" s="142"/>
      <c r="E114" s="142">
        <v>25000</v>
      </c>
      <c r="F114" s="13"/>
      <c r="G114" s="13"/>
      <c r="H114" s="13"/>
      <c r="I114" s="13"/>
      <c r="J114" s="13"/>
    </row>
    <row r="115" spans="1:20" ht="12.75" hidden="1" customHeight="1" x14ac:dyDescent="0.2">
      <c r="A115" s="137"/>
      <c r="B115" s="141" t="s">
        <v>78</v>
      </c>
      <c r="C115" s="142"/>
      <c r="D115" s="142"/>
      <c r="E115" s="142">
        <v>80000</v>
      </c>
      <c r="F115" s="88"/>
      <c r="G115" s="88"/>
      <c r="H115" s="88"/>
      <c r="I115" s="88"/>
      <c r="J115" s="13"/>
    </row>
    <row r="116" spans="1:20" ht="12.75" hidden="1" customHeight="1" x14ac:dyDescent="0.2">
      <c r="A116" s="137"/>
      <c r="B116" s="141" t="s">
        <v>27</v>
      </c>
      <c r="C116" s="142"/>
      <c r="D116" s="142"/>
      <c r="E116" s="142">
        <f>Q23</f>
        <v>316241.93548387097</v>
      </c>
      <c r="F116" s="13"/>
      <c r="G116" s="13"/>
      <c r="H116" s="13"/>
      <c r="I116" s="13"/>
      <c r="J116" s="13"/>
    </row>
    <row r="117" spans="1:20" ht="12.75" hidden="1" customHeight="1" x14ac:dyDescent="0.2">
      <c r="A117" s="137"/>
      <c r="B117" s="141" t="s">
        <v>79</v>
      </c>
      <c r="C117" s="142"/>
      <c r="D117" s="142"/>
      <c r="E117" s="142">
        <f>Q30</f>
        <v>148550.40322580645</v>
      </c>
      <c r="F117" s="13"/>
      <c r="G117" s="13"/>
      <c r="H117" s="13"/>
      <c r="I117" s="13"/>
      <c r="J117" s="13"/>
      <c r="K117" s="132"/>
    </row>
    <row r="118" spans="1:20" ht="12.75" hidden="1" customHeight="1" x14ac:dyDescent="0.2">
      <c r="A118" s="137"/>
      <c r="B118" s="141" t="s">
        <v>80</v>
      </c>
      <c r="C118" s="142"/>
      <c r="D118" s="142"/>
      <c r="E118" s="142">
        <f>Q37</f>
        <v>173181.45161290321</v>
      </c>
      <c r="F118" s="13"/>
      <c r="G118" s="13"/>
      <c r="H118" s="13"/>
      <c r="I118" s="13"/>
      <c r="J118" s="13"/>
    </row>
    <row r="119" spans="1:20" ht="12.75" hidden="1" customHeight="1" x14ac:dyDescent="0.2">
      <c r="A119" s="137"/>
      <c r="B119" s="141" t="s">
        <v>75</v>
      </c>
      <c r="C119" s="142"/>
      <c r="D119" s="142"/>
      <c r="E119" s="142">
        <f>Q48</f>
        <v>409120.96774193546</v>
      </c>
      <c r="F119" s="13"/>
      <c r="G119" s="13"/>
      <c r="H119" s="13"/>
      <c r="I119" s="13"/>
      <c r="J119" s="13"/>
      <c r="K119" s="132"/>
    </row>
    <row r="120" spans="1:20" ht="12.75" hidden="1" customHeight="1" x14ac:dyDescent="0.2">
      <c r="A120" s="137"/>
      <c r="B120" s="141" t="s">
        <v>49</v>
      </c>
      <c r="C120" s="142"/>
      <c r="D120" s="142"/>
      <c r="E120" s="142">
        <f>Q57</f>
        <v>190229.83870967742</v>
      </c>
      <c r="F120" s="13"/>
      <c r="G120" s="13"/>
      <c r="H120" s="13"/>
      <c r="I120" s="13"/>
      <c r="J120" s="13"/>
      <c r="K120" s="132"/>
    </row>
    <row r="121" spans="1:20" ht="12.75" hidden="1" customHeight="1" x14ac:dyDescent="0.2">
      <c r="A121" s="137"/>
      <c r="B121" s="141" t="s">
        <v>77</v>
      </c>
      <c r="C121" s="142"/>
      <c r="D121" s="142"/>
      <c r="E121" s="142">
        <f>Q76</f>
        <v>651459.67741935491</v>
      </c>
      <c r="F121" s="13"/>
      <c r="H121" s="13"/>
      <c r="I121" s="13"/>
      <c r="J121" s="13"/>
    </row>
    <row r="122" spans="1:20" ht="12.75" hidden="1" customHeight="1" x14ac:dyDescent="0.2">
      <c r="A122" s="137"/>
      <c r="B122" s="143" t="s">
        <v>74</v>
      </c>
      <c r="C122" s="142"/>
      <c r="D122" s="142"/>
      <c r="E122" s="142">
        <f>Q97</f>
        <v>846930.6451612903</v>
      </c>
      <c r="G122" s="13"/>
      <c r="M122" s="13"/>
      <c r="O122" s="13"/>
      <c r="R122" s="132"/>
      <c r="S122" s="13"/>
      <c r="T122" s="13"/>
    </row>
    <row r="123" spans="1:20" ht="12.75" hidden="1" customHeight="1" x14ac:dyDescent="0.2">
      <c r="A123" s="137"/>
      <c r="B123" s="144" t="s">
        <v>81</v>
      </c>
      <c r="C123" s="142"/>
      <c r="D123" s="142"/>
      <c r="E123" s="142">
        <f>Q92</f>
        <v>35000</v>
      </c>
      <c r="I123" s="13"/>
      <c r="J123" s="13"/>
      <c r="O123" s="13"/>
      <c r="P123" s="132"/>
      <c r="R123" s="132"/>
      <c r="S123" s="13"/>
      <c r="T123" s="13"/>
    </row>
    <row r="124" spans="1:20" ht="12.75" hidden="1" customHeight="1" x14ac:dyDescent="0.2">
      <c r="A124" s="137"/>
      <c r="B124" s="141" t="s">
        <v>82</v>
      </c>
      <c r="C124" s="142"/>
      <c r="D124" s="142"/>
      <c r="E124" s="142">
        <v>5000</v>
      </c>
      <c r="O124" s="13"/>
      <c r="P124" s="13"/>
      <c r="R124" s="132"/>
      <c r="S124" s="13"/>
      <c r="T124" s="13"/>
    </row>
    <row r="125" spans="1:20" ht="12.75" hidden="1" customHeight="1" x14ac:dyDescent="0.25">
      <c r="A125" s="137"/>
      <c r="B125" s="145" t="s">
        <v>83</v>
      </c>
      <c r="C125" s="146">
        <f t="shared" ref="C125:E125" si="6">SUM(C111:C124)</f>
        <v>100000</v>
      </c>
      <c r="D125" s="146">
        <f t="shared" si="6"/>
        <v>100000</v>
      </c>
      <c r="E125" s="146">
        <f t="shared" si="6"/>
        <v>2955714.9193548388</v>
      </c>
      <c r="H125" s="13"/>
      <c r="O125" s="13"/>
      <c r="P125" s="13"/>
      <c r="R125" s="132"/>
      <c r="S125" s="13"/>
      <c r="T125" s="13"/>
    </row>
    <row r="126" spans="1:20" ht="12.75" hidden="1" customHeight="1" x14ac:dyDescent="0.2">
      <c r="A126" s="137"/>
      <c r="E126" s="13"/>
      <c r="O126" s="13"/>
      <c r="P126" s="13"/>
      <c r="R126" s="132"/>
      <c r="S126" s="13"/>
      <c r="T126" s="13"/>
    </row>
    <row r="127" spans="1:20" ht="12.75" customHeight="1" x14ac:dyDescent="0.2">
      <c r="A127" s="137"/>
      <c r="E127" s="13"/>
      <c r="O127" s="13"/>
      <c r="P127" s="13"/>
      <c r="R127" s="132"/>
      <c r="S127" s="13"/>
      <c r="T127" s="13"/>
    </row>
    <row r="128" spans="1:20" ht="12.75" customHeight="1" x14ac:dyDescent="0.2">
      <c r="A128" s="137"/>
      <c r="O128" s="13"/>
      <c r="P128" s="13"/>
      <c r="R128" s="132"/>
      <c r="S128" s="13"/>
      <c r="T128" s="13"/>
    </row>
    <row r="129" spans="1:26" s="287" customFormat="1" ht="12.75" customHeight="1" x14ac:dyDescent="0.25">
      <c r="A129" s="286"/>
      <c r="O129" s="289">
        <f>SUM(O109:O126)</f>
        <v>0</v>
      </c>
      <c r="P129" s="288"/>
      <c r="R129" s="290"/>
      <c r="T129" s="288"/>
    </row>
    <row r="130" spans="1:26" s="404" customFormat="1" ht="16.149999999999999" customHeight="1" x14ac:dyDescent="0.3">
      <c r="A130" s="391">
        <v>18</v>
      </c>
      <c r="B130" s="392" t="str">
        <f>'Salary Record'!C974</f>
        <v>Zubair</v>
      </c>
      <c r="C130" s="393"/>
      <c r="D130" s="394"/>
      <c r="E130" s="395">
        <f>'Salary Record'!K973</f>
        <v>30000</v>
      </c>
      <c r="F130" s="395">
        <f>'Salary Record'!C979</f>
        <v>0</v>
      </c>
      <c r="G130" s="396">
        <f>'Salary Record'!C980</f>
        <v>0</v>
      </c>
      <c r="H130" s="395">
        <f>'Salary Record'!I978</f>
        <v>58</v>
      </c>
      <c r="I130" s="395">
        <f>'Salary Record'!I977</f>
        <v>31</v>
      </c>
      <c r="J130" s="397">
        <f>'Salary Record'!K978</f>
        <v>7016.1290322580644</v>
      </c>
      <c r="K130" s="398">
        <f>'Salary Record'!K979</f>
        <v>37016.129032258061</v>
      </c>
      <c r="L130" s="399" t="str">
        <f>'Salary Record'!G977</f>
        <v/>
      </c>
      <c r="M130" s="398">
        <f>'Salary Record'!G978</f>
        <v>0</v>
      </c>
      <c r="N130" s="400" t="str">
        <f>'Salary Record'!G979</f>
        <v/>
      </c>
      <c r="O130" s="398">
        <f>'Salary Record'!G980</f>
        <v>0</v>
      </c>
      <c r="P130" s="400" t="str">
        <f>'Salary Record'!G981</f>
        <v/>
      </c>
      <c r="Q130" s="399">
        <f>'Salary Record'!K981</f>
        <v>0</v>
      </c>
      <c r="R130" s="401"/>
      <c r="S130" s="402"/>
      <c r="T130" s="403"/>
      <c r="U130" s="403"/>
      <c r="V130" s="402"/>
      <c r="W130" s="402"/>
      <c r="X130" s="402"/>
      <c r="Y130" s="402"/>
      <c r="Z130" s="402"/>
    </row>
    <row r="131" spans="1:26" s="287" customFormat="1" ht="12.75" customHeight="1" x14ac:dyDescent="0.2">
      <c r="A131" s="286"/>
      <c r="E131" s="288"/>
      <c r="O131" s="288"/>
      <c r="Q131" s="288"/>
      <c r="R131" s="288"/>
      <c r="S131" s="288"/>
      <c r="T131" s="288"/>
    </row>
    <row r="132" spans="1:26" ht="12.75" customHeight="1" x14ac:dyDescent="0.2">
      <c r="A132" s="137"/>
      <c r="E132" s="13"/>
      <c r="O132" s="13"/>
      <c r="R132" s="132"/>
      <c r="S132" s="13"/>
    </row>
    <row r="133" spans="1:26" ht="12.75" customHeight="1" x14ac:dyDescent="0.2">
      <c r="A133" s="137"/>
      <c r="E133" s="13"/>
      <c r="R133" s="132"/>
      <c r="S133" s="13"/>
    </row>
    <row r="134" spans="1:26" ht="12.75" customHeight="1" x14ac:dyDescent="0.2">
      <c r="A134" s="137"/>
      <c r="F134" s="13"/>
      <c r="G134" s="147"/>
      <c r="H134" s="13"/>
      <c r="I134" s="13"/>
      <c r="R134" s="132"/>
      <c r="S134" s="13"/>
    </row>
    <row r="135" spans="1:26" ht="12.75" customHeight="1" x14ac:dyDescent="0.2">
      <c r="A135" s="137"/>
      <c r="F135" s="13"/>
      <c r="G135" s="147"/>
      <c r="H135" s="13"/>
      <c r="I135" s="13"/>
      <c r="R135" s="132"/>
    </row>
    <row r="136" spans="1:26" ht="12.75" customHeight="1" x14ac:dyDescent="0.2">
      <c r="A136" s="137"/>
      <c r="F136" s="13"/>
      <c r="G136" s="147"/>
      <c r="H136" s="13"/>
      <c r="I136" s="13"/>
      <c r="R136" s="132"/>
      <c r="S136" s="13"/>
    </row>
    <row r="137" spans="1:26" ht="12.75" customHeight="1" x14ac:dyDescent="0.2">
      <c r="A137" s="137"/>
      <c r="F137" s="13"/>
      <c r="G137" s="147"/>
      <c r="H137" s="13"/>
      <c r="I137" s="13"/>
      <c r="R137" s="132"/>
    </row>
    <row r="138" spans="1:26" ht="12.75" customHeight="1" x14ac:dyDescent="0.2">
      <c r="A138" s="137"/>
      <c r="F138" s="13"/>
      <c r="G138" s="147"/>
      <c r="H138" s="13"/>
      <c r="I138" s="13"/>
      <c r="R138" s="132"/>
    </row>
    <row r="139" spans="1:26" ht="12.75" customHeight="1" x14ac:dyDescent="0.2">
      <c r="A139" s="137"/>
      <c r="B139" s="148"/>
      <c r="C139" s="148"/>
      <c r="D139" s="148"/>
      <c r="E139" s="13"/>
      <c r="F139" s="13"/>
      <c r="G139" s="147"/>
      <c r="H139" s="13"/>
      <c r="I139" s="13"/>
      <c r="R139" s="132"/>
    </row>
    <row r="140" spans="1:26" ht="12.75" customHeight="1" x14ac:dyDescent="0.2">
      <c r="A140" s="137"/>
      <c r="B140" s="148"/>
      <c r="C140" s="148"/>
      <c r="D140" s="148"/>
      <c r="E140" s="13"/>
      <c r="F140" s="13"/>
      <c r="G140" s="147"/>
      <c r="H140" s="13"/>
      <c r="I140" s="13"/>
      <c r="J140" s="13"/>
      <c r="K140" s="13"/>
      <c r="L140" s="13"/>
      <c r="M140" s="13"/>
      <c r="N140" s="149"/>
      <c r="O140" s="13"/>
      <c r="P140" s="149"/>
      <c r="R140" s="132"/>
      <c r="S140" s="13"/>
      <c r="T140" s="13"/>
    </row>
    <row r="141" spans="1:26" ht="12.75" customHeight="1" x14ac:dyDescent="0.2">
      <c r="A141" s="137"/>
      <c r="B141" s="148"/>
      <c r="C141" s="148"/>
      <c r="D141" s="148"/>
      <c r="E141" s="13"/>
      <c r="F141" s="13"/>
      <c r="G141" s="147"/>
      <c r="H141" s="13"/>
      <c r="I141" s="13"/>
      <c r="J141" s="13"/>
      <c r="K141" s="13"/>
      <c r="L141" s="13"/>
      <c r="M141" s="13"/>
      <c r="N141" s="149"/>
      <c r="O141" s="13"/>
      <c r="P141" s="149"/>
      <c r="R141" s="132"/>
      <c r="S141" s="13"/>
      <c r="T141" s="13"/>
    </row>
    <row r="142" spans="1:26" ht="12.75" customHeight="1" x14ac:dyDescent="0.2">
      <c r="A142" s="137"/>
      <c r="B142" s="148"/>
      <c r="C142" s="148"/>
      <c r="D142" s="148"/>
      <c r="E142" s="13"/>
      <c r="F142" s="13"/>
      <c r="G142" s="147"/>
      <c r="H142" s="13"/>
      <c r="I142" s="13"/>
      <c r="J142" s="13"/>
      <c r="K142" s="13"/>
      <c r="L142" s="13"/>
      <c r="M142" s="13"/>
      <c r="N142" s="149"/>
      <c r="O142" s="13"/>
      <c r="P142" s="149"/>
      <c r="R142" s="132"/>
      <c r="S142" s="13"/>
      <c r="T142" s="13"/>
    </row>
    <row r="143" spans="1:26" ht="12.75" customHeight="1" x14ac:dyDescent="0.2">
      <c r="A143" s="137"/>
      <c r="B143" s="148"/>
      <c r="C143" s="148"/>
      <c r="D143" s="148"/>
      <c r="E143" s="13"/>
      <c r="F143" s="13"/>
      <c r="G143" s="147"/>
      <c r="H143" s="13"/>
      <c r="I143" s="13"/>
      <c r="J143" s="13"/>
      <c r="K143" s="13"/>
      <c r="L143" s="13"/>
      <c r="M143" s="13"/>
      <c r="N143" s="149"/>
      <c r="O143" s="13"/>
      <c r="P143" s="149"/>
      <c r="R143" s="132"/>
      <c r="T143" s="13"/>
    </row>
    <row r="144" spans="1:26" ht="12.75" customHeight="1" x14ac:dyDescent="0.2">
      <c r="A144" s="137"/>
      <c r="B144" s="148"/>
      <c r="C144" s="148"/>
      <c r="D144" s="148"/>
      <c r="E144" s="13"/>
      <c r="F144" s="13"/>
      <c r="G144" s="147"/>
      <c r="H144" s="13"/>
      <c r="I144" s="13"/>
      <c r="J144" s="13"/>
      <c r="K144" s="13"/>
      <c r="L144" s="13"/>
      <c r="M144" s="13"/>
      <c r="N144" s="149"/>
      <c r="O144" s="13"/>
      <c r="P144" s="149"/>
      <c r="R144" s="132"/>
      <c r="S144" s="13"/>
      <c r="T144" s="13"/>
    </row>
    <row r="145" spans="1:20" ht="12.75" customHeight="1" x14ac:dyDescent="0.2">
      <c r="A145" s="137"/>
      <c r="B145" s="148"/>
      <c r="C145" s="148"/>
      <c r="D145" s="148"/>
      <c r="E145" s="13"/>
      <c r="F145" s="13"/>
      <c r="G145" s="147"/>
      <c r="H145" s="13"/>
      <c r="I145" s="13"/>
      <c r="J145" s="13"/>
      <c r="K145" s="13"/>
      <c r="L145" s="13"/>
      <c r="M145" s="13"/>
      <c r="N145" s="149"/>
      <c r="O145" s="13"/>
      <c r="P145" s="149"/>
      <c r="R145" s="132"/>
      <c r="T145" s="13"/>
    </row>
    <row r="146" spans="1:20" ht="12.75" customHeight="1" x14ac:dyDescent="0.2">
      <c r="A146" s="137"/>
      <c r="B146" s="148"/>
      <c r="C146" s="148"/>
      <c r="D146" s="148"/>
      <c r="E146" s="13"/>
      <c r="F146" s="13"/>
      <c r="G146" s="147"/>
      <c r="H146" s="13"/>
      <c r="I146" s="13"/>
      <c r="J146" s="13"/>
      <c r="K146" s="13"/>
      <c r="L146" s="13"/>
      <c r="M146" s="13"/>
      <c r="N146" s="149"/>
      <c r="O146" s="13"/>
      <c r="P146" s="149"/>
      <c r="R146" s="132"/>
      <c r="T146" s="13"/>
    </row>
    <row r="147" spans="1:20" ht="12.75" customHeight="1" x14ac:dyDescent="0.2">
      <c r="A147" s="137"/>
      <c r="B147" s="148"/>
      <c r="C147" s="148"/>
      <c r="D147" s="148"/>
      <c r="E147" s="13"/>
      <c r="F147" s="13"/>
      <c r="G147" s="147"/>
      <c r="H147" s="13"/>
      <c r="I147" s="13"/>
      <c r="J147" s="13"/>
      <c r="K147" s="13"/>
      <c r="L147" s="13"/>
      <c r="M147" s="13"/>
      <c r="N147" s="149"/>
      <c r="O147" s="13"/>
      <c r="P147" s="149"/>
      <c r="R147" s="132"/>
      <c r="T147" s="13"/>
    </row>
    <row r="148" spans="1:20" ht="12.75" customHeight="1" x14ac:dyDescent="0.2">
      <c r="A148" s="137"/>
      <c r="B148" s="148"/>
      <c r="C148" s="148"/>
      <c r="D148" s="148"/>
      <c r="E148" s="13"/>
      <c r="F148" s="13"/>
      <c r="G148" s="147"/>
      <c r="H148" s="13"/>
      <c r="I148" s="13"/>
      <c r="J148" s="13"/>
      <c r="K148" s="13"/>
      <c r="L148" s="13"/>
      <c r="M148" s="13"/>
      <c r="N148" s="149"/>
      <c r="O148" s="13"/>
      <c r="P148" s="149"/>
      <c r="R148" s="132"/>
      <c r="T148" s="13"/>
    </row>
    <row r="149" spans="1:20" ht="12.75" customHeight="1" x14ac:dyDescent="0.2">
      <c r="A149" s="137"/>
      <c r="B149" s="148"/>
      <c r="C149" s="148"/>
      <c r="D149" s="148"/>
      <c r="E149" s="13"/>
      <c r="F149" s="13"/>
      <c r="G149" s="147"/>
      <c r="H149" s="13"/>
      <c r="I149" s="13"/>
      <c r="J149" s="13"/>
      <c r="K149" s="13"/>
      <c r="L149" s="13"/>
      <c r="M149" s="13"/>
      <c r="N149" s="149"/>
      <c r="O149" s="13"/>
      <c r="P149" s="149"/>
      <c r="R149" s="132"/>
      <c r="T149" s="13"/>
    </row>
    <row r="150" spans="1:20" ht="12.75" customHeight="1" x14ac:dyDescent="0.2">
      <c r="A150" s="137"/>
      <c r="B150" s="148"/>
      <c r="C150" s="148"/>
      <c r="D150" s="148"/>
      <c r="E150" s="13"/>
      <c r="F150" s="13"/>
      <c r="G150" s="147"/>
      <c r="H150" s="13"/>
      <c r="I150" s="13"/>
      <c r="J150" s="13"/>
      <c r="K150" s="13"/>
      <c r="L150" s="13"/>
      <c r="M150" s="13"/>
      <c r="N150" s="149"/>
      <c r="O150" s="13"/>
      <c r="P150" s="149"/>
      <c r="R150" s="132"/>
      <c r="T150" s="13"/>
    </row>
    <row r="151" spans="1:20" ht="12.75" customHeight="1" x14ac:dyDescent="0.2">
      <c r="A151" s="137"/>
      <c r="B151" s="148"/>
      <c r="C151" s="148"/>
      <c r="D151" s="148"/>
      <c r="E151" s="13"/>
      <c r="F151" s="13"/>
      <c r="G151" s="147"/>
      <c r="H151" s="13"/>
      <c r="I151" s="13"/>
      <c r="J151" s="13"/>
      <c r="K151" s="13"/>
      <c r="L151" s="13"/>
      <c r="M151" s="13"/>
      <c r="N151" s="149"/>
      <c r="O151" s="13"/>
      <c r="P151" s="149"/>
      <c r="R151" s="132"/>
      <c r="T151" s="13"/>
    </row>
    <row r="152" spans="1:20" ht="12.75" customHeight="1" x14ac:dyDescent="0.2">
      <c r="A152" s="137"/>
      <c r="B152" s="148"/>
      <c r="C152" s="148"/>
      <c r="D152" s="148"/>
      <c r="E152" s="13"/>
      <c r="F152" s="13"/>
      <c r="G152" s="147"/>
      <c r="H152" s="13"/>
      <c r="I152" s="13"/>
      <c r="J152" s="13"/>
      <c r="K152" s="13"/>
      <c r="L152" s="13"/>
      <c r="M152" s="13"/>
      <c r="N152" s="149"/>
      <c r="O152" s="13"/>
      <c r="P152" s="149"/>
      <c r="R152" s="132"/>
      <c r="T152" s="13"/>
    </row>
    <row r="153" spans="1:20" ht="12.75" customHeight="1" x14ac:dyDescent="0.2">
      <c r="A153" s="137"/>
      <c r="B153" s="148"/>
      <c r="C153" s="148"/>
      <c r="D153" s="148"/>
      <c r="E153" s="13"/>
      <c r="F153" s="13"/>
      <c r="G153" s="147"/>
      <c r="H153" s="13"/>
      <c r="I153" s="13"/>
      <c r="J153" s="13"/>
      <c r="K153" s="13"/>
      <c r="L153" s="13"/>
      <c r="M153" s="13"/>
      <c r="N153" s="149"/>
      <c r="O153" s="13"/>
      <c r="P153" s="149"/>
      <c r="R153" s="132"/>
      <c r="T153" s="13"/>
    </row>
    <row r="154" spans="1:20" ht="12.75" customHeight="1" x14ac:dyDescent="0.2">
      <c r="A154" s="137"/>
      <c r="B154" s="148"/>
      <c r="C154" s="148"/>
      <c r="D154" s="148"/>
      <c r="E154" s="13"/>
      <c r="F154" s="13"/>
      <c r="G154" s="147"/>
      <c r="H154" s="13"/>
      <c r="I154" s="13"/>
      <c r="J154" s="13"/>
      <c r="K154" s="13"/>
      <c r="L154" s="13"/>
      <c r="M154" s="13"/>
      <c r="N154" s="149"/>
      <c r="O154" s="13"/>
      <c r="P154" s="149"/>
      <c r="R154" s="132"/>
      <c r="T154" s="13"/>
    </row>
    <row r="155" spans="1:20" ht="12.75" customHeight="1" x14ac:dyDescent="0.2">
      <c r="A155" s="137"/>
      <c r="B155" s="148"/>
      <c r="C155" s="148"/>
      <c r="D155" s="148"/>
      <c r="E155" s="13"/>
      <c r="F155" s="13"/>
      <c r="G155" s="147"/>
      <c r="H155" s="13"/>
      <c r="I155" s="13"/>
      <c r="J155" s="13"/>
      <c r="K155" s="13"/>
      <c r="L155" s="13"/>
      <c r="M155" s="13"/>
      <c r="N155" s="149"/>
      <c r="O155" s="13"/>
      <c r="P155" s="149"/>
      <c r="R155" s="132"/>
      <c r="T155" s="13"/>
    </row>
    <row r="156" spans="1:20" ht="12.75" customHeight="1" x14ac:dyDescent="0.2">
      <c r="A156" s="137"/>
      <c r="B156" s="148"/>
      <c r="C156" s="148"/>
      <c r="D156" s="148"/>
      <c r="E156" s="13"/>
      <c r="F156" s="13"/>
      <c r="G156" s="147"/>
      <c r="H156" s="13"/>
      <c r="I156" s="13"/>
      <c r="J156" s="13"/>
      <c r="K156" s="13"/>
      <c r="L156" s="13"/>
      <c r="M156" s="13"/>
      <c r="N156" s="149"/>
      <c r="O156" s="13"/>
      <c r="P156" s="149"/>
      <c r="R156" s="132"/>
      <c r="T156" s="13"/>
    </row>
    <row r="157" spans="1:20" ht="12.75" customHeight="1" x14ac:dyDescent="0.2">
      <c r="A157" s="137"/>
      <c r="B157" s="148"/>
      <c r="C157" s="148"/>
      <c r="D157" s="148"/>
      <c r="E157" s="13"/>
      <c r="F157" s="13"/>
      <c r="G157" s="147"/>
      <c r="H157" s="13"/>
      <c r="I157" s="13"/>
      <c r="J157" s="13"/>
      <c r="K157" s="13"/>
      <c r="L157" s="13"/>
      <c r="M157" s="13"/>
      <c r="N157" s="149"/>
      <c r="O157" s="13"/>
      <c r="P157" s="149"/>
      <c r="R157" s="132"/>
      <c r="T157" s="13"/>
    </row>
    <row r="158" spans="1:20" ht="12.75" customHeight="1" x14ac:dyDescent="0.2">
      <c r="A158" s="137"/>
      <c r="B158" s="148"/>
      <c r="C158" s="148"/>
      <c r="D158" s="148"/>
      <c r="E158" s="13"/>
      <c r="F158" s="13"/>
      <c r="G158" s="147"/>
      <c r="H158" s="13"/>
      <c r="I158" s="13"/>
      <c r="J158" s="13"/>
      <c r="K158" s="13"/>
      <c r="L158" s="13"/>
      <c r="M158" s="13"/>
      <c r="N158" s="149"/>
      <c r="O158" s="13"/>
      <c r="P158" s="149"/>
      <c r="R158" s="132"/>
      <c r="T158" s="13"/>
    </row>
    <row r="159" spans="1:20" ht="12.75" customHeight="1" x14ac:dyDescent="0.2">
      <c r="A159" s="137"/>
      <c r="B159" s="148"/>
      <c r="C159" s="148"/>
      <c r="D159" s="148"/>
      <c r="E159" s="13"/>
      <c r="F159" s="13"/>
      <c r="G159" s="147"/>
      <c r="H159" s="13"/>
      <c r="I159" s="13"/>
      <c r="J159" s="13"/>
      <c r="K159" s="13"/>
      <c r="L159" s="13"/>
      <c r="M159" s="13"/>
      <c r="N159" s="149"/>
      <c r="O159" s="13"/>
      <c r="P159" s="149"/>
      <c r="R159" s="132"/>
      <c r="T159" s="13"/>
    </row>
    <row r="160" spans="1:20" ht="12.75" customHeight="1" x14ac:dyDescent="0.2">
      <c r="A160" s="137"/>
      <c r="B160" s="148"/>
      <c r="C160" s="148"/>
      <c r="D160" s="148"/>
      <c r="E160" s="13"/>
      <c r="F160" s="13"/>
      <c r="G160" s="147"/>
      <c r="H160" s="13"/>
      <c r="I160" s="13"/>
      <c r="J160" s="13"/>
      <c r="K160" s="13"/>
      <c r="L160" s="13"/>
      <c r="M160" s="13"/>
      <c r="N160" s="149"/>
      <c r="O160" s="13"/>
      <c r="P160" s="149"/>
      <c r="R160" s="132"/>
      <c r="T160" s="13"/>
    </row>
    <row r="161" spans="1:20" ht="12.75" customHeight="1" x14ac:dyDescent="0.2">
      <c r="A161" s="137"/>
      <c r="B161" s="148"/>
      <c r="C161" s="148"/>
      <c r="D161" s="148"/>
      <c r="E161" s="13"/>
      <c r="F161" s="13"/>
      <c r="G161" s="147"/>
      <c r="H161" s="13"/>
      <c r="I161" s="13"/>
      <c r="J161" s="13"/>
      <c r="K161" s="13"/>
      <c r="L161" s="13"/>
      <c r="M161" s="13"/>
      <c r="N161" s="149"/>
      <c r="O161" s="13"/>
      <c r="P161" s="149"/>
      <c r="R161" s="132"/>
      <c r="T161" s="13"/>
    </row>
    <row r="162" spans="1:20" ht="12.75" customHeight="1" x14ac:dyDescent="0.2">
      <c r="A162" s="137"/>
      <c r="B162" s="148"/>
      <c r="C162" s="148"/>
      <c r="D162" s="148"/>
      <c r="E162" s="13"/>
      <c r="F162" s="13"/>
      <c r="G162" s="147"/>
      <c r="H162" s="13"/>
      <c r="I162" s="13"/>
      <c r="J162" s="13"/>
      <c r="K162" s="13"/>
      <c r="L162" s="13"/>
      <c r="M162" s="13"/>
      <c r="N162" s="149"/>
      <c r="O162" s="13"/>
      <c r="P162" s="149"/>
      <c r="R162" s="132"/>
      <c r="T162" s="13"/>
    </row>
    <row r="163" spans="1:20" ht="12.75" customHeight="1" x14ac:dyDescent="0.2">
      <c r="A163" s="137"/>
      <c r="B163" s="148"/>
      <c r="C163" s="148"/>
      <c r="D163" s="148"/>
      <c r="E163" s="13"/>
      <c r="F163" s="13"/>
      <c r="G163" s="147"/>
      <c r="H163" s="13"/>
      <c r="I163" s="13"/>
      <c r="J163" s="13"/>
      <c r="K163" s="13"/>
      <c r="L163" s="13"/>
      <c r="M163" s="13"/>
      <c r="N163" s="149"/>
      <c r="O163" s="13"/>
      <c r="P163" s="149"/>
      <c r="R163" s="132"/>
      <c r="T163" s="13"/>
    </row>
    <row r="164" spans="1:20" ht="12.75" customHeight="1" x14ac:dyDescent="0.2">
      <c r="A164" s="137"/>
      <c r="B164" s="148"/>
      <c r="C164" s="148"/>
      <c r="D164" s="148"/>
      <c r="E164" s="13"/>
      <c r="F164" s="13"/>
      <c r="G164" s="147"/>
      <c r="H164" s="13"/>
      <c r="I164" s="13"/>
      <c r="J164" s="13"/>
      <c r="K164" s="13"/>
      <c r="L164" s="13"/>
      <c r="M164" s="13"/>
      <c r="N164" s="149"/>
      <c r="O164" s="13"/>
      <c r="P164" s="149"/>
      <c r="R164" s="132"/>
      <c r="T164" s="13"/>
    </row>
    <row r="165" spans="1:20" ht="12.75" customHeight="1" x14ac:dyDescent="0.2">
      <c r="A165" s="137"/>
      <c r="B165" s="148"/>
      <c r="C165" s="148"/>
      <c r="D165" s="148"/>
      <c r="E165" s="13"/>
      <c r="F165" s="13"/>
      <c r="G165" s="147"/>
      <c r="H165" s="13"/>
      <c r="I165" s="13"/>
      <c r="J165" s="13"/>
      <c r="K165" s="13"/>
      <c r="L165" s="13"/>
      <c r="M165" s="13"/>
      <c r="N165" s="149"/>
      <c r="O165" s="13"/>
      <c r="P165" s="149"/>
      <c r="R165" s="132"/>
      <c r="T165" s="13"/>
    </row>
    <row r="166" spans="1:20" ht="12.75" customHeight="1" x14ac:dyDescent="0.2">
      <c r="A166" s="137"/>
      <c r="B166" s="148"/>
      <c r="C166" s="148"/>
      <c r="D166" s="148"/>
      <c r="E166" s="13"/>
      <c r="F166" s="13"/>
      <c r="G166" s="147"/>
      <c r="H166" s="13"/>
      <c r="I166" s="13"/>
      <c r="J166" s="13"/>
      <c r="K166" s="13"/>
      <c r="L166" s="13"/>
      <c r="M166" s="13"/>
      <c r="N166" s="149"/>
      <c r="O166" s="13"/>
      <c r="P166" s="149"/>
      <c r="R166" s="132"/>
      <c r="T166" s="13"/>
    </row>
    <row r="167" spans="1:20" ht="12.75" customHeight="1" x14ac:dyDescent="0.2">
      <c r="A167" s="137"/>
      <c r="B167" s="148"/>
      <c r="C167" s="148"/>
      <c r="D167" s="148"/>
      <c r="E167" s="13"/>
      <c r="F167" s="13"/>
      <c r="G167" s="147"/>
      <c r="H167" s="13"/>
      <c r="I167" s="13"/>
      <c r="J167" s="13"/>
      <c r="K167" s="13"/>
      <c r="L167" s="13"/>
      <c r="M167" s="13"/>
      <c r="N167" s="149"/>
      <c r="O167" s="13"/>
      <c r="P167" s="149"/>
      <c r="R167" s="132"/>
      <c r="T167" s="13"/>
    </row>
    <row r="168" spans="1:20" ht="12.75" customHeight="1" x14ac:dyDescent="0.2">
      <c r="A168" s="137"/>
      <c r="B168" s="148"/>
      <c r="C168" s="148"/>
      <c r="D168" s="148"/>
      <c r="E168" s="13"/>
      <c r="F168" s="13"/>
      <c r="G168" s="147"/>
      <c r="H168" s="13"/>
      <c r="I168" s="13"/>
      <c r="J168" s="13"/>
      <c r="K168" s="13"/>
      <c r="L168" s="13"/>
      <c r="M168" s="13"/>
      <c r="N168" s="149"/>
      <c r="O168" s="13"/>
      <c r="P168" s="149"/>
      <c r="R168" s="132"/>
      <c r="T168" s="13"/>
    </row>
    <row r="169" spans="1:20" ht="12.75" customHeight="1" x14ac:dyDescent="0.2">
      <c r="A169" s="137"/>
      <c r="B169" s="148"/>
      <c r="C169" s="148"/>
      <c r="D169" s="148"/>
      <c r="E169" s="13"/>
      <c r="F169" s="13"/>
      <c r="G169" s="147"/>
      <c r="H169" s="13"/>
      <c r="I169" s="13"/>
      <c r="J169" s="13"/>
      <c r="K169" s="13"/>
      <c r="L169" s="13"/>
      <c r="M169" s="13"/>
      <c r="N169" s="149"/>
      <c r="O169" s="13"/>
      <c r="P169" s="149"/>
      <c r="R169" s="132"/>
      <c r="T169" s="13"/>
    </row>
    <row r="170" spans="1:20" ht="12.75" customHeight="1" x14ac:dyDescent="0.2">
      <c r="A170" s="137"/>
      <c r="B170" s="148"/>
      <c r="C170" s="148"/>
      <c r="D170" s="148"/>
      <c r="E170" s="13"/>
      <c r="F170" s="13"/>
      <c r="G170" s="147"/>
      <c r="H170" s="13"/>
      <c r="I170" s="13"/>
      <c r="J170" s="13"/>
      <c r="K170" s="13"/>
      <c r="L170" s="13"/>
      <c r="M170" s="13"/>
      <c r="N170" s="149"/>
      <c r="O170" s="13"/>
      <c r="P170" s="149"/>
      <c r="R170" s="132"/>
      <c r="T170" s="13"/>
    </row>
    <row r="171" spans="1:20" ht="12.75" customHeight="1" x14ac:dyDescent="0.2">
      <c r="A171" s="137"/>
      <c r="B171" s="148"/>
      <c r="C171" s="148"/>
      <c r="D171" s="148"/>
      <c r="E171" s="13"/>
      <c r="F171" s="13"/>
      <c r="G171" s="147"/>
      <c r="H171" s="13"/>
      <c r="I171" s="13"/>
      <c r="J171" s="13"/>
      <c r="K171" s="13"/>
      <c r="L171" s="13"/>
      <c r="M171" s="13"/>
      <c r="N171" s="149"/>
      <c r="O171" s="13"/>
      <c r="P171" s="149"/>
      <c r="R171" s="132"/>
      <c r="T171" s="13"/>
    </row>
    <row r="172" spans="1:20" ht="12.75" customHeight="1" x14ac:dyDescent="0.2">
      <c r="A172" s="137"/>
      <c r="B172" s="148"/>
      <c r="C172" s="148"/>
      <c r="D172" s="148"/>
      <c r="E172" s="13"/>
      <c r="F172" s="13"/>
      <c r="G172" s="147"/>
      <c r="H172" s="13"/>
      <c r="I172" s="13"/>
      <c r="J172" s="13"/>
      <c r="K172" s="13"/>
      <c r="L172" s="13"/>
      <c r="M172" s="13"/>
      <c r="N172" s="149"/>
      <c r="O172" s="13"/>
      <c r="P172" s="149"/>
      <c r="R172" s="132"/>
      <c r="T172" s="13"/>
    </row>
    <row r="173" spans="1:20" ht="12.75" customHeight="1" x14ac:dyDescent="0.2">
      <c r="A173" s="137"/>
      <c r="B173" s="148"/>
      <c r="C173" s="148"/>
      <c r="D173" s="148"/>
      <c r="E173" s="13"/>
      <c r="F173" s="13"/>
      <c r="G173" s="147"/>
      <c r="H173" s="13"/>
      <c r="I173" s="13"/>
      <c r="J173" s="13"/>
      <c r="K173" s="13"/>
      <c r="L173" s="13"/>
      <c r="M173" s="13"/>
      <c r="N173" s="149"/>
      <c r="O173" s="13"/>
      <c r="P173" s="149"/>
      <c r="R173" s="132"/>
      <c r="T173" s="13"/>
    </row>
    <row r="174" spans="1:20" ht="12.75" customHeight="1" x14ac:dyDescent="0.2">
      <c r="A174" s="137"/>
      <c r="B174" s="148"/>
      <c r="C174" s="148"/>
      <c r="D174" s="148"/>
      <c r="E174" s="13"/>
      <c r="F174" s="13"/>
      <c r="G174" s="147"/>
      <c r="H174" s="13"/>
      <c r="I174" s="13"/>
      <c r="J174" s="13"/>
      <c r="K174" s="13"/>
      <c r="L174" s="13"/>
      <c r="M174" s="13"/>
      <c r="N174" s="149"/>
      <c r="O174" s="13"/>
      <c r="P174" s="149"/>
      <c r="R174" s="132"/>
      <c r="T174" s="13"/>
    </row>
    <row r="175" spans="1:20" ht="12.75" customHeight="1" x14ac:dyDescent="0.2">
      <c r="A175" s="137"/>
      <c r="B175" s="148"/>
      <c r="C175" s="148"/>
      <c r="D175" s="148"/>
      <c r="E175" s="13"/>
      <c r="F175" s="13"/>
      <c r="G175" s="147"/>
      <c r="H175" s="13"/>
      <c r="I175" s="13"/>
      <c r="J175" s="13"/>
      <c r="K175" s="13"/>
      <c r="L175" s="13"/>
      <c r="M175" s="13"/>
      <c r="N175" s="149"/>
      <c r="O175" s="13"/>
      <c r="P175" s="149"/>
      <c r="R175" s="132"/>
      <c r="T175" s="13"/>
    </row>
    <row r="176" spans="1:20" ht="12.75" customHeight="1" x14ac:dyDescent="0.2">
      <c r="A176" s="137"/>
      <c r="B176" s="148"/>
      <c r="C176" s="148"/>
      <c r="D176" s="148"/>
      <c r="E176" s="13"/>
      <c r="F176" s="13"/>
      <c r="G176" s="147"/>
      <c r="H176" s="13"/>
      <c r="I176" s="13"/>
      <c r="J176" s="13"/>
      <c r="K176" s="13"/>
      <c r="L176" s="13"/>
      <c r="M176" s="13"/>
      <c r="N176" s="149"/>
      <c r="O176" s="13"/>
      <c r="P176" s="149"/>
      <c r="R176" s="132"/>
      <c r="T176" s="13"/>
    </row>
    <row r="177" spans="1:20" ht="12.75" customHeight="1" x14ac:dyDescent="0.2">
      <c r="A177" s="137"/>
      <c r="B177" s="148"/>
      <c r="C177" s="148"/>
      <c r="D177" s="148"/>
      <c r="E177" s="13"/>
      <c r="F177" s="13"/>
      <c r="G177" s="147"/>
      <c r="H177" s="13"/>
      <c r="I177" s="13"/>
      <c r="J177" s="13"/>
      <c r="K177" s="13"/>
      <c r="L177" s="13"/>
      <c r="M177" s="13"/>
      <c r="N177" s="149"/>
      <c r="O177" s="13"/>
      <c r="P177" s="149"/>
      <c r="R177" s="132"/>
      <c r="T177" s="13"/>
    </row>
    <row r="178" spans="1:20" ht="12.75" customHeight="1" x14ac:dyDescent="0.2">
      <c r="A178" s="137"/>
      <c r="B178" s="148"/>
      <c r="C178" s="148"/>
      <c r="D178" s="148"/>
      <c r="E178" s="13"/>
      <c r="F178" s="13"/>
      <c r="G178" s="147"/>
      <c r="H178" s="13"/>
      <c r="I178" s="13"/>
      <c r="J178" s="13"/>
      <c r="K178" s="13"/>
      <c r="L178" s="13"/>
      <c r="M178" s="13"/>
      <c r="N178" s="149"/>
      <c r="O178" s="13"/>
      <c r="P178" s="149"/>
      <c r="R178" s="132"/>
      <c r="T178" s="13"/>
    </row>
    <row r="179" spans="1:20" ht="12.75" customHeight="1" x14ac:dyDescent="0.2">
      <c r="A179" s="137"/>
      <c r="B179" s="148"/>
      <c r="C179" s="148"/>
      <c r="D179" s="148"/>
      <c r="E179" s="13"/>
      <c r="F179" s="13"/>
      <c r="G179" s="147"/>
      <c r="H179" s="13"/>
      <c r="I179" s="13"/>
      <c r="J179" s="13"/>
      <c r="K179" s="13"/>
      <c r="L179" s="13"/>
      <c r="M179" s="13"/>
      <c r="N179" s="149"/>
      <c r="O179" s="13"/>
      <c r="P179" s="149"/>
      <c r="R179" s="132"/>
      <c r="T179" s="13"/>
    </row>
    <row r="180" spans="1:20" ht="12.75" customHeight="1" x14ac:dyDescent="0.2">
      <c r="A180" s="137"/>
      <c r="B180" s="148"/>
      <c r="C180" s="148"/>
      <c r="D180" s="148"/>
      <c r="E180" s="13"/>
      <c r="F180" s="13"/>
      <c r="G180" s="147"/>
      <c r="H180" s="13"/>
      <c r="I180" s="13"/>
      <c r="J180" s="13"/>
      <c r="K180" s="13"/>
      <c r="L180" s="13"/>
      <c r="M180" s="13"/>
      <c r="N180" s="149"/>
      <c r="O180" s="13"/>
      <c r="P180" s="149"/>
      <c r="R180" s="132"/>
      <c r="T180" s="13"/>
    </row>
    <row r="181" spans="1:20" ht="12.75" customHeight="1" x14ac:dyDescent="0.2">
      <c r="A181" s="137"/>
      <c r="B181" s="148"/>
      <c r="C181" s="148"/>
      <c r="D181" s="148"/>
      <c r="E181" s="13"/>
      <c r="F181" s="13"/>
      <c r="G181" s="147"/>
      <c r="H181" s="13"/>
      <c r="I181" s="13"/>
      <c r="J181" s="13"/>
      <c r="K181" s="13"/>
      <c r="L181" s="13"/>
      <c r="M181" s="13"/>
      <c r="N181" s="149"/>
      <c r="O181" s="13"/>
      <c r="P181" s="149"/>
      <c r="R181" s="132"/>
      <c r="T181" s="13"/>
    </row>
    <row r="182" spans="1:20" ht="12.75" customHeight="1" x14ac:dyDescent="0.2">
      <c r="A182" s="137"/>
      <c r="B182" s="148"/>
      <c r="C182" s="148"/>
      <c r="D182" s="148"/>
      <c r="E182" s="13"/>
      <c r="F182" s="13"/>
      <c r="G182" s="147"/>
      <c r="H182" s="13"/>
      <c r="I182" s="13"/>
      <c r="J182" s="13"/>
      <c r="K182" s="13"/>
      <c r="L182" s="13"/>
      <c r="M182" s="13"/>
      <c r="N182" s="149"/>
      <c r="O182" s="13"/>
      <c r="P182" s="149"/>
      <c r="R182" s="132"/>
      <c r="T182" s="13"/>
    </row>
    <row r="183" spans="1:20" ht="12.75" customHeight="1" x14ac:dyDescent="0.2">
      <c r="A183" s="137"/>
      <c r="B183" s="148"/>
      <c r="C183" s="148"/>
      <c r="D183" s="148"/>
      <c r="E183" s="13"/>
      <c r="F183" s="13"/>
      <c r="G183" s="147"/>
      <c r="H183" s="13"/>
      <c r="I183" s="13"/>
      <c r="J183" s="13"/>
      <c r="K183" s="13"/>
      <c r="L183" s="13"/>
      <c r="M183" s="13"/>
      <c r="N183" s="149"/>
      <c r="O183" s="13"/>
      <c r="P183" s="149"/>
      <c r="R183" s="132"/>
      <c r="T183" s="13"/>
    </row>
    <row r="184" spans="1:20" ht="12.75" customHeight="1" x14ac:dyDescent="0.2">
      <c r="A184" s="137"/>
      <c r="B184" s="148"/>
      <c r="C184" s="148"/>
      <c r="D184" s="148"/>
      <c r="E184" s="13"/>
      <c r="F184" s="13"/>
      <c r="G184" s="147"/>
      <c r="H184" s="13"/>
      <c r="I184" s="13"/>
      <c r="J184" s="13"/>
      <c r="K184" s="13"/>
      <c r="L184" s="13"/>
      <c r="M184" s="13"/>
      <c r="N184" s="149"/>
      <c r="O184" s="13"/>
      <c r="P184" s="149"/>
      <c r="R184" s="132"/>
      <c r="T184" s="13"/>
    </row>
    <row r="185" spans="1:20" ht="12.75" customHeight="1" x14ac:dyDescent="0.2">
      <c r="A185" s="137"/>
      <c r="B185" s="148"/>
      <c r="C185" s="148"/>
      <c r="D185" s="148"/>
      <c r="E185" s="13"/>
      <c r="F185" s="13"/>
      <c r="G185" s="147"/>
      <c r="H185" s="13"/>
      <c r="I185" s="13"/>
      <c r="J185" s="13"/>
      <c r="K185" s="13"/>
      <c r="L185" s="13"/>
      <c r="M185" s="13"/>
      <c r="N185" s="149"/>
      <c r="O185" s="13"/>
      <c r="P185" s="149"/>
      <c r="R185" s="132"/>
      <c r="T185" s="13"/>
    </row>
    <row r="186" spans="1:20" ht="12.75" customHeight="1" x14ac:dyDescent="0.2">
      <c r="A186" s="137"/>
      <c r="B186" s="148"/>
      <c r="C186" s="148"/>
      <c r="D186" s="148"/>
      <c r="E186" s="13"/>
      <c r="F186" s="13"/>
      <c r="G186" s="147"/>
      <c r="H186" s="13"/>
      <c r="I186" s="13"/>
      <c r="J186" s="13"/>
      <c r="K186" s="13"/>
      <c r="L186" s="13"/>
      <c r="M186" s="13"/>
      <c r="N186" s="149"/>
      <c r="O186" s="13"/>
      <c r="P186" s="149"/>
      <c r="R186" s="132"/>
      <c r="T186" s="13"/>
    </row>
    <row r="187" spans="1:20" ht="12.75" customHeight="1" x14ac:dyDescent="0.2">
      <c r="A187" s="137"/>
      <c r="B187" s="148"/>
      <c r="C187" s="148"/>
      <c r="D187" s="148"/>
      <c r="E187" s="13"/>
      <c r="F187" s="13"/>
      <c r="G187" s="147"/>
      <c r="H187" s="13"/>
      <c r="I187" s="13"/>
      <c r="J187" s="13"/>
      <c r="K187" s="13"/>
      <c r="L187" s="13"/>
      <c r="M187" s="13"/>
      <c r="N187" s="149"/>
      <c r="O187" s="13"/>
      <c r="P187" s="149"/>
      <c r="R187" s="132"/>
      <c r="T187" s="13"/>
    </row>
    <row r="188" spans="1:20" ht="12.75" customHeight="1" x14ac:dyDescent="0.2">
      <c r="A188" s="137"/>
      <c r="B188" s="148"/>
      <c r="C188" s="148"/>
      <c r="D188" s="148"/>
      <c r="E188" s="13"/>
      <c r="F188" s="13"/>
      <c r="G188" s="147"/>
      <c r="H188" s="13"/>
      <c r="I188" s="13"/>
      <c r="J188" s="13"/>
      <c r="K188" s="13"/>
      <c r="L188" s="13"/>
      <c r="M188" s="13"/>
      <c r="N188" s="149"/>
      <c r="O188" s="13"/>
      <c r="P188" s="149"/>
      <c r="R188" s="132"/>
      <c r="T188" s="13"/>
    </row>
    <row r="189" spans="1:20" ht="12.75" customHeight="1" x14ac:dyDescent="0.2">
      <c r="A189" s="137"/>
      <c r="B189" s="148"/>
      <c r="C189" s="148"/>
      <c r="D189" s="148"/>
      <c r="E189" s="13"/>
      <c r="F189" s="13"/>
      <c r="G189" s="147"/>
      <c r="H189" s="13"/>
      <c r="I189" s="13"/>
      <c r="J189" s="13"/>
      <c r="K189" s="13"/>
      <c r="L189" s="13"/>
      <c r="M189" s="13"/>
      <c r="N189" s="149"/>
      <c r="O189" s="13"/>
      <c r="P189" s="149"/>
      <c r="R189" s="132"/>
      <c r="T189" s="13"/>
    </row>
    <row r="190" spans="1:20" ht="12.75" customHeight="1" x14ac:dyDescent="0.2">
      <c r="A190" s="137"/>
      <c r="B190" s="148"/>
      <c r="C190" s="148"/>
      <c r="D190" s="148"/>
      <c r="E190" s="13"/>
      <c r="F190" s="13"/>
      <c r="G190" s="147"/>
      <c r="H190" s="13"/>
      <c r="I190" s="13"/>
      <c r="J190" s="13"/>
      <c r="K190" s="13"/>
      <c r="L190" s="13"/>
      <c r="M190" s="13"/>
      <c r="N190" s="149"/>
      <c r="O190" s="13"/>
      <c r="P190" s="149"/>
      <c r="R190" s="132"/>
      <c r="T190" s="13"/>
    </row>
    <row r="191" spans="1:20" ht="12.75" customHeight="1" x14ac:dyDescent="0.2">
      <c r="A191" s="137"/>
      <c r="B191" s="148"/>
      <c r="C191" s="148"/>
      <c r="D191" s="148"/>
      <c r="E191" s="13"/>
      <c r="F191" s="13"/>
      <c r="G191" s="147"/>
      <c r="H191" s="13"/>
      <c r="I191" s="13"/>
      <c r="J191" s="13"/>
      <c r="K191" s="13"/>
      <c r="L191" s="13"/>
      <c r="M191" s="13"/>
      <c r="N191" s="149"/>
      <c r="O191" s="13"/>
      <c r="P191" s="149"/>
      <c r="R191" s="132"/>
      <c r="T191" s="13"/>
    </row>
    <row r="192" spans="1:20" ht="12.75" customHeight="1" x14ac:dyDescent="0.2">
      <c r="A192" s="137"/>
      <c r="B192" s="148"/>
      <c r="C192" s="148"/>
      <c r="D192" s="148"/>
      <c r="E192" s="13"/>
      <c r="F192" s="13"/>
      <c r="G192" s="147"/>
      <c r="H192" s="13"/>
      <c r="I192" s="13"/>
      <c r="J192" s="13"/>
      <c r="K192" s="13"/>
      <c r="L192" s="13"/>
      <c r="M192" s="13"/>
      <c r="N192" s="149"/>
      <c r="O192" s="13"/>
      <c r="P192" s="149"/>
      <c r="R192" s="132"/>
      <c r="T192" s="13"/>
    </row>
    <row r="193" spans="1:20" ht="12.75" customHeight="1" x14ac:dyDescent="0.2">
      <c r="A193" s="137"/>
      <c r="B193" s="148"/>
      <c r="C193" s="148"/>
      <c r="D193" s="148"/>
      <c r="E193" s="13"/>
      <c r="F193" s="13"/>
      <c r="G193" s="147"/>
      <c r="H193" s="13"/>
      <c r="I193" s="13"/>
      <c r="J193" s="13"/>
      <c r="K193" s="13"/>
      <c r="L193" s="13"/>
      <c r="M193" s="13"/>
      <c r="N193" s="149"/>
      <c r="O193" s="13"/>
      <c r="P193" s="149"/>
      <c r="R193" s="132"/>
      <c r="T193" s="13"/>
    </row>
    <row r="194" spans="1:20" ht="12.75" customHeight="1" x14ac:dyDescent="0.2">
      <c r="A194" s="137"/>
      <c r="B194" s="148"/>
      <c r="C194" s="148"/>
      <c r="D194" s="148"/>
      <c r="E194" s="13"/>
      <c r="F194" s="13"/>
      <c r="G194" s="147"/>
      <c r="H194" s="13"/>
      <c r="I194" s="13"/>
      <c r="J194" s="13"/>
      <c r="K194" s="13"/>
      <c r="L194" s="13"/>
      <c r="M194" s="13"/>
      <c r="N194" s="149"/>
      <c r="O194" s="13"/>
      <c r="P194" s="149"/>
      <c r="R194" s="132"/>
      <c r="T194" s="13"/>
    </row>
    <row r="195" spans="1:20" ht="12.75" customHeight="1" x14ac:dyDescent="0.2">
      <c r="A195" s="137"/>
      <c r="B195" s="148"/>
      <c r="C195" s="148"/>
      <c r="D195" s="148"/>
      <c r="E195" s="13"/>
      <c r="F195" s="13"/>
      <c r="G195" s="147"/>
      <c r="H195" s="13"/>
      <c r="I195" s="13"/>
      <c r="J195" s="13"/>
      <c r="K195" s="13"/>
      <c r="L195" s="13"/>
      <c r="M195" s="13"/>
      <c r="N195" s="149"/>
      <c r="O195" s="13"/>
      <c r="P195" s="149"/>
      <c r="R195" s="132"/>
      <c r="T195" s="13"/>
    </row>
    <row r="196" spans="1:20" ht="12.75" customHeight="1" x14ac:dyDescent="0.2">
      <c r="A196" s="137"/>
      <c r="B196" s="148"/>
      <c r="C196" s="148"/>
      <c r="D196" s="148"/>
      <c r="E196" s="13"/>
      <c r="F196" s="13"/>
      <c r="G196" s="147"/>
      <c r="H196" s="13"/>
      <c r="I196" s="13"/>
      <c r="J196" s="13"/>
      <c r="K196" s="13"/>
      <c r="L196" s="13"/>
      <c r="M196" s="13"/>
      <c r="N196" s="149"/>
      <c r="O196" s="13"/>
      <c r="P196" s="149"/>
      <c r="R196" s="132"/>
      <c r="T196" s="13"/>
    </row>
    <row r="197" spans="1:20" ht="12.75" customHeight="1" x14ac:dyDescent="0.2">
      <c r="A197" s="137"/>
      <c r="B197" s="148"/>
      <c r="C197" s="148"/>
      <c r="D197" s="148"/>
      <c r="E197" s="13"/>
      <c r="F197" s="13"/>
      <c r="G197" s="147"/>
      <c r="H197" s="13"/>
      <c r="I197" s="13"/>
      <c r="J197" s="13"/>
      <c r="K197" s="13"/>
      <c r="L197" s="13"/>
      <c r="M197" s="13"/>
      <c r="N197" s="149"/>
      <c r="O197" s="13"/>
      <c r="P197" s="149"/>
      <c r="R197" s="132"/>
      <c r="T197" s="13"/>
    </row>
    <row r="198" spans="1:20" ht="12.75" customHeight="1" x14ac:dyDescent="0.2">
      <c r="A198" s="137"/>
      <c r="B198" s="148"/>
      <c r="C198" s="148"/>
      <c r="D198" s="148"/>
      <c r="E198" s="13"/>
      <c r="F198" s="13"/>
      <c r="G198" s="147"/>
      <c r="H198" s="13"/>
      <c r="I198" s="13"/>
      <c r="J198" s="13"/>
      <c r="K198" s="13"/>
      <c r="L198" s="13"/>
      <c r="M198" s="13"/>
      <c r="N198" s="149"/>
      <c r="O198" s="13"/>
      <c r="P198" s="149"/>
      <c r="R198" s="132"/>
      <c r="T198" s="13"/>
    </row>
    <row r="199" spans="1:20" ht="12.75" customHeight="1" x14ac:dyDescent="0.2">
      <c r="A199" s="137"/>
      <c r="B199" s="148"/>
      <c r="C199" s="148"/>
      <c r="D199" s="148"/>
      <c r="E199" s="13"/>
      <c r="F199" s="13"/>
      <c r="G199" s="147"/>
      <c r="H199" s="13"/>
      <c r="I199" s="13"/>
      <c r="J199" s="13"/>
      <c r="K199" s="13"/>
      <c r="L199" s="13"/>
      <c r="M199" s="13"/>
      <c r="N199" s="149"/>
      <c r="O199" s="13"/>
      <c r="P199" s="149"/>
      <c r="R199" s="132"/>
      <c r="T199" s="13"/>
    </row>
    <row r="200" spans="1:20" ht="12.75" customHeight="1" x14ac:dyDescent="0.2">
      <c r="A200" s="137"/>
      <c r="B200" s="148"/>
      <c r="C200" s="148"/>
      <c r="D200" s="148"/>
      <c r="E200" s="13"/>
      <c r="F200" s="13"/>
      <c r="G200" s="147"/>
      <c r="H200" s="13"/>
      <c r="I200" s="13"/>
      <c r="J200" s="13"/>
      <c r="K200" s="13"/>
      <c r="L200" s="13"/>
      <c r="M200" s="13"/>
      <c r="N200" s="149"/>
      <c r="O200" s="13"/>
      <c r="P200" s="149"/>
      <c r="R200" s="132"/>
      <c r="T200" s="13"/>
    </row>
    <row r="201" spans="1:20" ht="12.75" customHeight="1" x14ac:dyDescent="0.2">
      <c r="A201" s="137"/>
      <c r="B201" s="148"/>
      <c r="C201" s="148"/>
      <c r="D201" s="148"/>
      <c r="E201" s="13"/>
      <c r="F201" s="13"/>
      <c r="G201" s="147"/>
      <c r="H201" s="13"/>
      <c r="I201" s="13"/>
      <c r="J201" s="13"/>
      <c r="K201" s="13"/>
      <c r="L201" s="13"/>
      <c r="M201" s="13"/>
      <c r="N201" s="149"/>
      <c r="O201" s="13"/>
      <c r="P201" s="149"/>
      <c r="R201" s="132"/>
      <c r="T201" s="13"/>
    </row>
    <row r="202" spans="1:20" ht="12.75" customHeight="1" x14ac:dyDescent="0.2">
      <c r="A202" s="137"/>
      <c r="B202" s="148"/>
      <c r="C202" s="148"/>
      <c r="D202" s="148"/>
      <c r="E202" s="13"/>
      <c r="F202" s="13"/>
      <c r="G202" s="147"/>
      <c r="H202" s="13"/>
      <c r="I202" s="13"/>
      <c r="J202" s="13"/>
      <c r="K202" s="13"/>
      <c r="L202" s="13"/>
      <c r="M202" s="13"/>
      <c r="N202" s="149"/>
      <c r="O202" s="13"/>
      <c r="P202" s="149"/>
      <c r="R202" s="132"/>
      <c r="T202" s="13"/>
    </row>
    <row r="203" spans="1:20" ht="12.75" customHeight="1" x14ac:dyDescent="0.2">
      <c r="A203" s="137"/>
      <c r="B203" s="148"/>
      <c r="C203" s="148"/>
      <c r="D203" s="148"/>
      <c r="E203" s="13"/>
      <c r="F203" s="13"/>
      <c r="G203" s="147"/>
      <c r="H203" s="13"/>
      <c r="I203" s="13"/>
      <c r="J203" s="13"/>
      <c r="K203" s="13"/>
      <c r="L203" s="13"/>
      <c r="M203" s="13"/>
      <c r="N203" s="149"/>
      <c r="O203" s="13"/>
      <c r="P203" s="149"/>
      <c r="R203" s="132"/>
      <c r="T203" s="13"/>
    </row>
    <row r="204" spans="1:20" ht="12.75" customHeight="1" x14ac:dyDescent="0.2">
      <c r="A204" s="137"/>
      <c r="B204" s="148"/>
      <c r="C204" s="148"/>
      <c r="D204" s="148"/>
      <c r="E204" s="13"/>
      <c r="F204" s="13"/>
      <c r="G204" s="147"/>
      <c r="H204" s="13"/>
      <c r="I204" s="13"/>
      <c r="J204" s="13"/>
      <c r="K204" s="13"/>
      <c r="L204" s="13"/>
      <c r="M204" s="13"/>
      <c r="N204" s="149"/>
      <c r="O204" s="13"/>
      <c r="P204" s="149"/>
      <c r="R204" s="132"/>
      <c r="T204" s="13"/>
    </row>
    <row r="205" spans="1:20" ht="12.75" customHeight="1" x14ac:dyDescent="0.2">
      <c r="A205" s="137"/>
      <c r="B205" s="148"/>
      <c r="C205" s="148"/>
      <c r="D205" s="148"/>
      <c r="E205" s="13"/>
      <c r="F205" s="13"/>
      <c r="G205" s="147"/>
      <c r="H205" s="13"/>
      <c r="I205" s="13"/>
      <c r="J205" s="13"/>
      <c r="K205" s="13"/>
      <c r="L205" s="13"/>
      <c r="M205" s="13"/>
      <c r="N205" s="149"/>
      <c r="O205" s="13"/>
      <c r="P205" s="149"/>
      <c r="R205" s="132"/>
      <c r="T205" s="13"/>
    </row>
    <row r="206" spans="1:20" ht="12.75" customHeight="1" x14ac:dyDescent="0.2">
      <c r="A206" s="137"/>
      <c r="B206" s="148"/>
      <c r="C206" s="148"/>
      <c r="D206" s="148"/>
      <c r="E206" s="13"/>
      <c r="F206" s="13"/>
      <c r="G206" s="147"/>
      <c r="H206" s="13"/>
      <c r="I206" s="13"/>
      <c r="J206" s="13"/>
      <c r="K206" s="13"/>
      <c r="L206" s="13"/>
      <c r="M206" s="13"/>
      <c r="N206" s="149"/>
      <c r="O206" s="13"/>
      <c r="P206" s="149"/>
      <c r="R206" s="132"/>
      <c r="T206" s="13"/>
    </row>
    <row r="207" spans="1:20" ht="12.75" customHeight="1" x14ac:dyDescent="0.2">
      <c r="A207" s="137"/>
      <c r="B207" s="148"/>
      <c r="C207" s="148"/>
      <c r="D207" s="148"/>
      <c r="E207" s="13"/>
      <c r="F207" s="13"/>
      <c r="G207" s="147"/>
      <c r="H207" s="13"/>
      <c r="I207" s="13"/>
      <c r="J207" s="13"/>
      <c r="K207" s="13"/>
      <c r="L207" s="13"/>
      <c r="M207" s="13"/>
      <c r="N207" s="149"/>
      <c r="O207" s="13"/>
      <c r="P207" s="149"/>
      <c r="R207" s="132"/>
      <c r="T207" s="13"/>
    </row>
    <row r="208" spans="1:20" ht="12.75" customHeight="1" x14ac:dyDescent="0.2">
      <c r="A208" s="137"/>
      <c r="B208" s="148"/>
      <c r="C208" s="148"/>
      <c r="D208" s="148"/>
      <c r="E208" s="13"/>
      <c r="F208" s="13"/>
      <c r="G208" s="147"/>
      <c r="H208" s="13"/>
      <c r="I208" s="13"/>
      <c r="J208" s="13"/>
      <c r="K208" s="13"/>
      <c r="L208" s="13"/>
      <c r="M208" s="13"/>
      <c r="N208" s="149"/>
      <c r="O208" s="13"/>
      <c r="P208" s="149"/>
      <c r="R208" s="132"/>
      <c r="T208" s="13"/>
    </row>
    <row r="209" spans="1:20" ht="12.75" customHeight="1" x14ac:dyDescent="0.2">
      <c r="A209" s="137"/>
      <c r="B209" s="148"/>
      <c r="C209" s="148"/>
      <c r="D209" s="148"/>
      <c r="E209" s="13"/>
      <c r="F209" s="13"/>
      <c r="G209" s="147"/>
      <c r="H209" s="13"/>
      <c r="I209" s="13"/>
      <c r="J209" s="13"/>
      <c r="K209" s="13"/>
      <c r="L209" s="13"/>
      <c r="M209" s="13"/>
      <c r="N209" s="149"/>
      <c r="O209" s="13"/>
      <c r="P209" s="149"/>
      <c r="R209" s="132"/>
      <c r="T209" s="13"/>
    </row>
    <row r="210" spans="1:20" ht="12.75" customHeight="1" x14ac:dyDescent="0.2">
      <c r="A210" s="137"/>
      <c r="B210" s="148"/>
      <c r="C210" s="148"/>
      <c r="D210" s="148"/>
      <c r="E210" s="13"/>
      <c r="F210" s="13"/>
      <c r="G210" s="147"/>
      <c r="H210" s="13"/>
      <c r="I210" s="13"/>
      <c r="J210" s="13"/>
      <c r="K210" s="13"/>
      <c r="L210" s="13"/>
      <c r="M210" s="13"/>
      <c r="N210" s="149"/>
      <c r="O210" s="13"/>
      <c r="P210" s="149"/>
      <c r="R210" s="132"/>
      <c r="T210" s="13"/>
    </row>
    <row r="211" spans="1:20" ht="12.75" customHeight="1" x14ac:dyDescent="0.2">
      <c r="A211" s="137"/>
      <c r="B211" s="148"/>
      <c r="C211" s="148"/>
      <c r="D211" s="148"/>
      <c r="E211" s="13"/>
      <c r="F211" s="13"/>
      <c r="G211" s="147"/>
      <c r="H211" s="13"/>
      <c r="I211" s="13"/>
      <c r="J211" s="13"/>
      <c r="K211" s="13"/>
      <c r="L211" s="13"/>
      <c r="M211" s="13"/>
      <c r="N211" s="149"/>
      <c r="O211" s="13"/>
      <c r="P211" s="149"/>
      <c r="R211" s="132"/>
      <c r="T211" s="13"/>
    </row>
    <row r="212" spans="1:20" ht="12.75" customHeight="1" x14ac:dyDescent="0.2">
      <c r="A212" s="137"/>
      <c r="B212" s="148"/>
      <c r="C212" s="148"/>
      <c r="D212" s="148"/>
      <c r="E212" s="13"/>
      <c r="F212" s="13"/>
      <c r="G212" s="147"/>
      <c r="H212" s="13"/>
      <c r="I212" s="13"/>
      <c r="J212" s="13"/>
      <c r="K212" s="13"/>
      <c r="L212" s="13"/>
      <c r="M212" s="13"/>
      <c r="N212" s="149"/>
      <c r="O212" s="13"/>
      <c r="P212" s="149"/>
      <c r="R212" s="132"/>
      <c r="T212" s="13"/>
    </row>
    <row r="213" spans="1:20" ht="12.75" customHeight="1" x14ac:dyDescent="0.2">
      <c r="A213" s="137"/>
      <c r="B213" s="148"/>
      <c r="C213" s="148"/>
      <c r="D213" s="148"/>
      <c r="E213" s="13"/>
      <c r="F213" s="13"/>
      <c r="G213" s="147"/>
      <c r="H213" s="13"/>
      <c r="I213" s="13"/>
      <c r="J213" s="13"/>
      <c r="K213" s="13"/>
      <c r="L213" s="13"/>
      <c r="M213" s="13"/>
      <c r="N213" s="149"/>
      <c r="O213" s="13"/>
      <c r="P213" s="149"/>
      <c r="R213" s="132"/>
      <c r="T213" s="13"/>
    </row>
    <row r="214" spans="1:20" ht="12.75" customHeight="1" x14ac:dyDescent="0.2">
      <c r="A214" s="137"/>
      <c r="B214" s="148"/>
      <c r="C214" s="148"/>
      <c r="D214" s="148"/>
      <c r="E214" s="13"/>
      <c r="F214" s="13"/>
      <c r="G214" s="147"/>
      <c r="H214" s="13"/>
      <c r="I214" s="13"/>
      <c r="J214" s="13"/>
      <c r="K214" s="13"/>
      <c r="L214" s="13"/>
      <c r="M214" s="13"/>
      <c r="N214" s="149"/>
      <c r="O214" s="13"/>
      <c r="P214" s="149"/>
      <c r="R214" s="132"/>
      <c r="T214" s="13"/>
    </row>
    <row r="215" spans="1:20" ht="12.75" customHeight="1" x14ac:dyDescent="0.2">
      <c r="A215" s="137"/>
      <c r="B215" s="148"/>
      <c r="C215" s="148"/>
      <c r="D215" s="148"/>
      <c r="E215" s="13"/>
      <c r="F215" s="13"/>
      <c r="G215" s="147"/>
      <c r="H215" s="13"/>
      <c r="I215" s="13"/>
      <c r="J215" s="13"/>
      <c r="K215" s="13"/>
      <c r="L215" s="13"/>
      <c r="M215" s="13"/>
      <c r="N215" s="149"/>
      <c r="O215" s="13"/>
      <c r="P215" s="149"/>
      <c r="R215" s="132"/>
      <c r="T215" s="13"/>
    </row>
    <row r="216" spans="1:20" ht="12.75" customHeight="1" x14ac:dyDescent="0.2">
      <c r="A216" s="137"/>
      <c r="B216" s="148"/>
      <c r="C216" s="148"/>
      <c r="D216" s="148"/>
      <c r="E216" s="13"/>
      <c r="F216" s="13"/>
      <c r="G216" s="147"/>
      <c r="H216" s="13"/>
      <c r="I216" s="13"/>
      <c r="J216" s="13"/>
      <c r="K216" s="13"/>
      <c r="L216" s="13"/>
      <c r="M216" s="13"/>
      <c r="N216" s="149"/>
      <c r="O216" s="13"/>
      <c r="P216" s="149"/>
      <c r="R216" s="132"/>
      <c r="T216" s="13"/>
    </row>
    <row r="217" spans="1:20" ht="12.75" customHeight="1" x14ac:dyDescent="0.2">
      <c r="A217" s="137"/>
      <c r="B217" s="148"/>
      <c r="C217" s="148"/>
      <c r="D217" s="148"/>
      <c r="E217" s="13"/>
      <c r="F217" s="13"/>
      <c r="G217" s="147"/>
      <c r="H217" s="13"/>
      <c r="I217" s="13"/>
      <c r="J217" s="13"/>
      <c r="K217" s="13"/>
      <c r="L217" s="13"/>
      <c r="M217" s="13"/>
      <c r="N217" s="149"/>
      <c r="O217" s="13"/>
      <c r="P217" s="149"/>
      <c r="R217" s="132"/>
      <c r="T217" s="13"/>
    </row>
    <row r="218" spans="1:20" ht="12.75" customHeight="1" x14ac:dyDescent="0.2">
      <c r="A218" s="137"/>
      <c r="B218" s="148"/>
      <c r="C218" s="148"/>
      <c r="D218" s="148"/>
      <c r="E218" s="13"/>
      <c r="F218" s="13"/>
      <c r="G218" s="147"/>
      <c r="H218" s="13"/>
      <c r="I218" s="13"/>
      <c r="J218" s="13"/>
      <c r="K218" s="13"/>
      <c r="L218" s="13"/>
      <c r="M218" s="13"/>
      <c r="N218" s="149"/>
      <c r="O218" s="13"/>
      <c r="P218" s="149"/>
      <c r="R218" s="132"/>
      <c r="T218" s="13"/>
    </row>
    <row r="219" spans="1:20" ht="12.75" customHeight="1" x14ac:dyDescent="0.2">
      <c r="A219" s="137"/>
      <c r="B219" s="148"/>
      <c r="C219" s="148"/>
      <c r="D219" s="148"/>
      <c r="E219" s="13"/>
      <c r="F219" s="13"/>
      <c r="G219" s="147"/>
      <c r="H219" s="13"/>
      <c r="I219" s="13"/>
      <c r="J219" s="13"/>
      <c r="K219" s="13"/>
      <c r="L219" s="13"/>
      <c r="M219" s="13"/>
      <c r="N219" s="149"/>
      <c r="O219" s="13"/>
      <c r="P219" s="149"/>
      <c r="R219" s="132"/>
      <c r="T219" s="13"/>
    </row>
    <row r="220" spans="1:20" ht="12.75" customHeight="1" x14ac:dyDescent="0.2">
      <c r="A220" s="137"/>
      <c r="B220" s="148"/>
      <c r="C220" s="148"/>
      <c r="D220" s="148"/>
      <c r="E220" s="13"/>
      <c r="F220" s="13"/>
      <c r="G220" s="147"/>
      <c r="H220" s="13"/>
      <c r="I220" s="13"/>
      <c r="J220" s="13"/>
      <c r="K220" s="13"/>
      <c r="L220" s="13"/>
      <c r="M220" s="13"/>
      <c r="N220" s="149"/>
      <c r="O220" s="13"/>
      <c r="P220" s="149"/>
      <c r="R220" s="132"/>
      <c r="T220" s="13"/>
    </row>
    <row r="221" spans="1:20" ht="12.75" customHeight="1" x14ac:dyDescent="0.2">
      <c r="A221" s="137"/>
      <c r="B221" s="148"/>
      <c r="C221" s="148"/>
      <c r="D221" s="148"/>
      <c r="E221" s="13"/>
      <c r="F221" s="13"/>
      <c r="G221" s="147"/>
      <c r="H221" s="13"/>
      <c r="I221" s="13"/>
      <c r="J221" s="13"/>
      <c r="K221" s="13"/>
      <c r="L221" s="13"/>
      <c r="M221" s="13"/>
      <c r="N221" s="149"/>
      <c r="O221" s="13"/>
      <c r="P221" s="149"/>
      <c r="R221" s="132"/>
      <c r="T221" s="13"/>
    </row>
    <row r="222" spans="1:20" ht="12.75" customHeight="1" x14ac:dyDescent="0.2">
      <c r="A222" s="137"/>
      <c r="B222" s="148"/>
      <c r="C222" s="148"/>
      <c r="D222" s="148"/>
      <c r="E222" s="13"/>
      <c r="F222" s="13"/>
      <c r="G222" s="147"/>
      <c r="H222" s="13"/>
      <c r="I222" s="13"/>
      <c r="J222" s="13"/>
      <c r="K222" s="13"/>
      <c r="L222" s="13"/>
      <c r="M222" s="13"/>
      <c r="N222" s="149"/>
      <c r="O222" s="13"/>
      <c r="P222" s="149"/>
      <c r="R222" s="132"/>
      <c r="T222" s="13"/>
    </row>
    <row r="223" spans="1:20" ht="12.75" customHeight="1" x14ac:dyDescent="0.2">
      <c r="A223" s="137"/>
      <c r="B223" s="148"/>
      <c r="C223" s="148"/>
      <c r="D223" s="148"/>
      <c r="E223" s="13"/>
      <c r="F223" s="13"/>
      <c r="G223" s="147"/>
      <c r="H223" s="13"/>
      <c r="I223" s="13"/>
      <c r="J223" s="13"/>
      <c r="K223" s="13"/>
      <c r="L223" s="13"/>
      <c r="M223" s="13"/>
      <c r="N223" s="149"/>
      <c r="O223" s="13"/>
      <c r="P223" s="149"/>
      <c r="R223" s="132"/>
      <c r="T223" s="13"/>
    </row>
    <row r="224" spans="1:20" ht="12.75" customHeight="1" x14ac:dyDescent="0.2">
      <c r="A224" s="137"/>
      <c r="B224" s="148"/>
      <c r="C224" s="148"/>
      <c r="D224" s="148"/>
      <c r="E224" s="13"/>
      <c r="F224" s="13"/>
      <c r="G224" s="147"/>
      <c r="H224" s="13"/>
      <c r="I224" s="13"/>
      <c r="J224" s="13"/>
      <c r="K224" s="13"/>
      <c r="L224" s="13"/>
      <c r="M224" s="13"/>
      <c r="N224" s="149"/>
      <c r="O224" s="13"/>
      <c r="P224" s="149"/>
      <c r="R224" s="132"/>
      <c r="T224" s="13"/>
    </row>
    <row r="225" spans="1:20" ht="12.75" customHeight="1" x14ac:dyDescent="0.2">
      <c r="A225" s="137"/>
      <c r="B225" s="148"/>
      <c r="C225" s="148"/>
      <c r="D225" s="148"/>
      <c r="E225" s="13"/>
      <c r="F225" s="13"/>
      <c r="G225" s="147"/>
      <c r="H225" s="13"/>
      <c r="I225" s="13"/>
      <c r="J225" s="13"/>
      <c r="K225" s="13"/>
      <c r="L225" s="13"/>
      <c r="M225" s="13"/>
      <c r="N225" s="149"/>
      <c r="O225" s="13"/>
      <c r="P225" s="149"/>
      <c r="R225" s="132"/>
      <c r="T225" s="13"/>
    </row>
    <row r="226" spans="1:20" ht="12.75" customHeight="1" x14ac:dyDescent="0.2">
      <c r="A226" s="137"/>
      <c r="B226" s="148"/>
      <c r="C226" s="148"/>
      <c r="D226" s="148"/>
      <c r="E226" s="13"/>
      <c r="F226" s="13"/>
      <c r="G226" s="147"/>
      <c r="H226" s="13"/>
      <c r="I226" s="13"/>
      <c r="J226" s="13"/>
      <c r="K226" s="13"/>
      <c r="L226" s="13"/>
      <c r="M226" s="13"/>
      <c r="N226" s="149"/>
      <c r="O226" s="13"/>
      <c r="P226" s="149"/>
      <c r="R226" s="132"/>
      <c r="T226" s="13"/>
    </row>
    <row r="227" spans="1:20" ht="12.75" customHeight="1" x14ac:dyDescent="0.2">
      <c r="A227" s="137"/>
      <c r="B227" s="148"/>
      <c r="C227" s="148"/>
      <c r="D227" s="148"/>
      <c r="E227" s="13"/>
      <c r="F227" s="13"/>
      <c r="G227" s="147"/>
      <c r="H227" s="13"/>
      <c r="I227" s="13"/>
      <c r="J227" s="13"/>
      <c r="K227" s="13"/>
      <c r="L227" s="13"/>
      <c r="M227" s="13"/>
      <c r="N227" s="149"/>
      <c r="O227" s="13"/>
      <c r="P227" s="149"/>
      <c r="R227" s="132"/>
      <c r="T227" s="13"/>
    </row>
    <row r="228" spans="1:20" ht="12.75" customHeight="1" x14ac:dyDescent="0.2">
      <c r="A228" s="137"/>
      <c r="B228" s="148"/>
      <c r="C228" s="148"/>
      <c r="D228" s="148"/>
      <c r="E228" s="13"/>
      <c r="F228" s="13"/>
      <c r="G228" s="147"/>
      <c r="H228" s="13"/>
      <c r="I228" s="13"/>
      <c r="J228" s="13"/>
      <c r="K228" s="13"/>
      <c r="L228" s="13"/>
      <c r="M228" s="13"/>
      <c r="N228" s="149"/>
      <c r="O228" s="13"/>
      <c r="P228" s="149"/>
      <c r="R228" s="132"/>
      <c r="T228" s="13"/>
    </row>
    <row r="229" spans="1:20" ht="12.75" customHeight="1" x14ac:dyDescent="0.2">
      <c r="A229" s="137"/>
      <c r="B229" s="148"/>
      <c r="C229" s="148"/>
      <c r="D229" s="148"/>
      <c r="E229" s="13"/>
      <c r="F229" s="13"/>
      <c r="G229" s="147"/>
      <c r="H229" s="13"/>
      <c r="I229" s="13"/>
      <c r="J229" s="13"/>
      <c r="K229" s="13"/>
      <c r="L229" s="13"/>
      <c r="M229" s="13"/>
      <c r="N229" s="149"/>
      <c r="O229" s="13"/>
      <c r="P229" s="149"/>
      <c r="R229" s="132"/>
      <c r="T229" s="13"/>
    </row>
    <row r="230" spans="1:20" ht="12.75" customHeight="1" x14ac:dyDescent="0.2">
      <c r="A230" s="137"/>
      <c r="B230" s="148"/>
      <c r="C230" s="148"/>
      <c r="D230" s="148"/>
      <c r="E230" s="13"/>
      <c r="F230" s="13"/>
      <c r="G230" s="147"/>
      <c r="H230" s="13"/>
      <c r="I230" s="13"/>
      <c r="J230" s="13"/>
      <c r="K230" s="13"/>
      <c r="L230" s="13"/>
      <c r="M230" s="13"/>
      <c r="N230" s="149"/>
      <c r="O230" s="13"/>
      <c r="P230" s="149"/>
      <c r="R230" s="132"/>
      <c r="T230" s="13"/>
    </row>
    <row r="231" spans="1:20" ht="12.75" customHeight="1" x14ac:dyDescent="0.2">
      <c r="A231" s="137"/>
      <c r="B231" s="148"/>
      <c r="C231" s="148"/>
      <c r="D231" s="148"/>
      <c r="E231" s="13"/>
      <c r="F231" s="13"/>
      <c r="G231" s="147"/>
      <c r="H231" s="13"/>
      <c r="I231" s="13"/>
      <c r="J231" s="13"/>
      <c r="K231" s="13"/>
      <c r="L231" s="13"/>
      <c r="M231" s="13"/>
      <c r="N231" s="149"/>
      <c r="O231" s="13"/>
      <c r="P231" s="149"/>
      <c r="R231" s="132"/>
      <c r="T231" s="13"/>
    </row>
    <row r="232" spans="1:20" ht="12.75" customHeight="1" x14ac:dyDescent="0.2">
      <c r="A232" s="137"/>
      <c r="B232" s="148"/>
      <c r="C232" s="148"/>
      <c r="D232" s="148"/>
      <c r="E232" s="13"/>
      <c r="F232" s="13"/>
      <c r="G232" s="147"/>
      <c r="H232" s="13"/>
      <c r="I232" s="13"/>
      <c r="J232" s="13"/>
      <c r="K232" s="13"/>
      <c r="L232" s="13"/>
      <c r="M232" s="13"/>
      <c r="N232" s="149"/>
      <c r="O232" s="13"/>
      <c r="P232" s="149"/>
      <c r="R232" s="132"/>
      <c r="T232" s="13"/>
    </row>
    <row r="233" spans="1:20" ht="12.75" customHeight="1" x14ac:dyDescent="0.2">
      <c r="A233" s="137"/>
      <c r="B233" s="148"/>
      <c r="C233" s="148"/>
      <c r="D233" s="148"/>
      <c r="E233" s="13"/>
      <c r="F233" s="13"/>
      <c r="G233" s="147"/>
      <c r="H233" s="13"/>
      <c r="I233" s="13"/>
      <c r="J233" s="13"/>
      <c r="K233" s="13"/>
      <c r="L233" s="13"/>
      <c r="M233" s="13"/>
      <c r="N233" s="149"/>
      <c r="O233" s="13"/>
      <c r="P233" s="149"/>
      <c r="R233" s="132"/>
      <c r="T233" s="13"/>
    </row>
    <row r="234" spans="1:20" ht="12.75" customHeight="1" x14ac:dyDescent="0.2">
      <c r="A234" s="137"/>
      <c r="B234" s="148"/>
      <c r="C234" s="148"/>
      <c r="D234" s="148"/>
      <c r="E234" s="13"/>
      <c r="F234" s="13"/>
      <c r="G234" s="147"/>
      <c r="H234" s="13"/>
      <c r="I234" s="13"/>
      <c r="J234" s="13"/>
      <c r="K234" s="13"/>
      <c r="L234" s="13"/>
      <c r="M234" s="13"/>
      <c r="N234" s="149"/>
      <c r="O234" s="13"/>
      <c r="P234" s="149"/>
      <c r="R234" s="132"/>
      <c r="T234" s="13"/>
    </row>
    <row r="235" spans="1:20" ht="12.75" customHeight="1" x14ac:dyDescent="0.2">
      <c r="A235" s="137"/>
      <c r="B235" s="148"/>
      <c r="C235" s="148"/>
      <c r="D235" s="148"/>
      <c r="E235" s="13"/>
      <c r="F235" s="13"/>
      <c r="G235" s="147"/>
      <c r="H235" s="13"/>
      <c r="I235" s="13"/>
      <c r="J235" s="13"/>
      <c r="K235" s="13"/>
      <c r="L235" s="13"/>
      <c r="M235" s="13"/>
      <c r="N235" s="149"/>
      <c r="O235" s="13"/>
      <c r="P235" s="149"/>
      <c r="R235" s="132"/>
      <c r="T235" s="13"/>
    </row>
    <row r="236" spans="1:20" ht="12.75" customHeight="1" x14ac:dyDescent="0.2">
      <c r="A236" s="137"/>
      <c r="B236" s="148"/>
      <c r="C236" s="148"/>
      <c r="D236" s="148"/>
      <c r="E236" s="13"/>
      <c r="F236" s="13"/>
      <c r="G236" s="147"/>
      <c r="H236" s="13"/>
      <c r="I236" s="13"/>
      <c r="J236" s="13"/>
      <c r="K236" s="13"/>
      <c r="L236" s="13"/>
      <c r="M236" s="13"/>
      <c r="N236" s="149"/>
      <c r="O236" s="13"/>
      <c r="P236" s="149"/>
      <c r="R236" s="132"/>
      <c r="T236" s="13"/>
    </row>
    <row r="237" spans="1:20" ht="12.75" customHeight="1" x14ac:dyDescent="0.2">
      <c r="A237" s="137"/>
      <c r="B237" s="148"/>
      <c r="C237" s="148"/>
      <c r="D237" s="148"/>
      <c r="E237" s="13"/>
      <c r="F237" s="13"/>
      <c r="G237" s="147"/>
      <c r="H237" s="13"/>
      <c r="I237" s="13"/>
      <c r="J237" s="13"/>
      <c r="K237" s="13"/>
      <c r="L237" s="13"/>
      <c r="M237" s="13"/>
      <c r="N237" s="149"/>
      <c r="O237" s="13"/>
      <c r="P237" s="149"/>
      <c r="R237" s="132"/>
      <c r="T237" s="13"/>
    </row>
    <row r="238" spans="1:20" ht="12.75" customHeight="1" x14ac:dyDescent="0.2">
      <c r="A238" s="137"/>
      <c r="B238" s="148"/>
      <c r="C238" s="148"/>
      <c r="D238" s="148"/>
      <c r="E238" s="13"/>
      <c r="F238" s="13"/>
      <c r="G238" s="147"/>
      <c r="H238" s="13"/>
      <c r="I238" s="13"/>
      <c r="J238" s="13"/>
      <c r="K238" s="13"/>
      <c r="L238" s="13"/>
      <c r="M238" s="13"/>
      <c r="N238" s="149"/>
      <c r="O238" s="13"/>
      <c r="P238" s="149"/>
      <c r="R238" s="132"/>
      <c r="T238" s="13"/>
    </row>
    <row r="239" spans="1:20" ht="12.75" customHeight="1" x14ac:dyDescent="0.2">
      <c r="A239" s="137"/>
      <c r="B239" s="148"/>
      <c r="C239" s="148"/>
      <c r="D239" s="148"/>
      <c r="E239" s="13"/>
      <c r="F239" s="13"/>
      <c r="G239" s="147"/>
      <c r="H239" s="13"/>
      <c r="I239" s="13"/>
      <c r="J239" s="13"/>
      <c r="K239" s="13"/>
      <c r="L239" s="13"/>
      <c r="M239" s="13"/>
      <c r="N239" s="149"/>
      <c r="O239" s="13"/>
      <c r="P239" s="149"/>
      <c r="R239" s="132"/>
      <c r="T239" s="13"/>
    </row>
    <row r="240" spans="1:20" ht="12.75" customHeight="1" x14ac:dyDescent="0.2">
      <c r="A240" s="137"/>
      <c r="B240" s="148"/>
      <c r="C240" s="148"/>
      <c r="D240" s="148"/>
      <c r="E240" s="13"/>
      <c r="F240" s="13"/>
      <c r="G240" s="147"/>
      <c r="H240" s="13"/>
      <c r="I240" s="13"/>
      <c r="J240" s="13"/>
      <c r="K240" s="13"/>
      <c r="L240" s="13"/>
      <c r="M240" s="13"/>
      <c r="N240" s="149"/>
      <c r="O240" s="13"/>
      <c r="P240" s="149"/>
      <c r="R240" s="132"/>
      <c r="T240" s="13"/>
    </row>
    <row r="241" spans="1:20" ht="12.75" customHeight="1" x14ac:dyDescent="0.2">
      <c r="A241" s="137"/>
      <c r="B241" s="148"/>
      <c r="C241" s="148"/>
      <c r="D241" s="148"/>
      <c r="E241" s="13"/>
      <c r="F241" s="13"/>
      <c r="G241" s="147"/>
      <c r="H241" s="13"/>
      <c r="I241" s="13"/>
      <c r="J241" s="13"/>
      <c r="K241" s="13"/>
      <c r="L241" s="13"/>
      <c r="M241" s="13"/>
      <c r="N241" s="149"/>
      <c r="O241" s="13"/>
      <c r="P241" s="149"/>
      <c r="R241" s="132"/>
      <c r="T241" s="13"/>
    </row>
    <row r="242" spans="1:20" ht="12.75" customHeight="1" x14ac:dyDescent="0.2">
      <c r="A242" s="137"/>
      <c r="B242" s="148"/>
      <c r="C242" s="148"/>
      <c r="D242" s="148"/>
      <c r="E242" s="13"/>
      <c r="F242" s="13"/>
      <c r="G242" s="147"/>
      <c r="H242" s="13"/>
      <c r="I242" s="13"/>
      <c r="J242" s="13"/>
      <c r="K242" s="13"/>
      <c r="L242" s="13"/>
      <c r="M242" s="13"/>
      <c r="N242" s="149"/>
      <c r="O242" s="13"/>
      <c r="P242" s="149"/>
      <c r="R242" s="132"/>
      <c r="T242" s="13"/>
    </row>
    <row r="243" spans="1:20" ht="12.75" customHeight="1" x14ac:dyDescent="0.2">
      <c r="A243" s="137"/>
      <c r="B243" s="148"/>
      <c r="C243" s="148"/>
      <c r="D243" s="148"/>
      <c r="E243" s="13"/>
      <c r="F243" s="13"/>
      <c r="G243" s="147"/>
      <c r="H243" s="13"/>
      <c r="I243" s="13"/>
      <c r="J243" s="13"/>
      <c r="K243" s="13"/>
      <c r="L243" s="13"/>
      <c r="M243" s="13"/>
      <c r="N243" s="149"/>
      <c r="O243" s="13"/>
      <c r="P243" s="149"/>
      <c r="R243" s="132"/>
      <c r="T243" s="13"/>
    </row>
    <row r="244" spans="1:20" ht="12.75" customHeight="1" x14ac:dyDescent="0.2">
      <c r="A244" s="137"/>
      <c r="B244" s="148"/>
      <c r="C244" s="148"/>
      <c r="D244" s="148"/>
      <c r="E244" s="13"/>
      <c r="F244" s="13"/>
      <c r="G244" s="147"/>
      <c r="H244" s="13"/>
      <c r="I244" s="13"/>
      <c r="J244" s="13"/>
      <c r="K244" s="13"/>
      <c r="L244" s="13"/>
      <c r="M244" s="13"/>
      <c r="N244" s="149"/>
      <c r="O244" s="13"/>
      <c r="P244" s="149"/>
      <c r="R244" s="132"/>
      <c r="T244" s="13"/>
    </row>
    <row r="245" spans="1:20" ht="12.75" customHeight="1" x14ac:dyDescent="0.2">
      <c r="A245" s="137"/>
      <c r="B245" s="148"/>
      <c r="C245" s="148"/>
      <c r="D245" s="148"/>
      <c r="E245" s="13"/>
      <c r="F245" s="13"/>
      <c r="G245" s="147"/>
      <c r="H245" s="13"/>
      <c r="I245" s="13"/>
      <c r="J245" s="13"/>
      <c r="K245" s="13"/>
      <c r="L245" s="13"/>
      <c r="M245" s="13"/>
      <c r="N245" s="149"/>
      <c r="O245" s="13"/>
      <c r="P245" s="149"/>
      <c r="R245" s="132"/>
      <c r="T245" s="13"/>
    </row>
    <row r="246" spans="1:20" ht="12.75" customHeight="1" x14ac:dyDescent="0.2">
      <c r="A246" s="137"/>
      <c r="B246" s="148"/>
      <c r="C246" s="148"/>
      <c r="D246" s="148"/>
      <c r="E246" s="13"/>
      <c r="F246" s="13"/>
      <c r="G246" s="147"/>
      <c r="H246" s="13"/>
      <c r="I246" s="13"/>
      <c r="J246" s="13"/>
      <c r="K246" s="13"/>
      <c r="L246" s="13"/>
      <c r="M246" s="13"/>
      <c r="N246" s="149"/>
      <c r="O246" s="13"/>
      <c r="P246" s="149"/>
      <c r="R246" s="132"/>
      <c r="T246" s="13"/>
    </row>
    <row r="247" spans="1:20" ht="12.75" customHeight="1" x14ac:dyDescent="0.2">
      <c r="A247" s="137"/>
      <c r="B247" s="148"/>
      <c r="C247" s="148"/>
      <c r="D247" s="148"/>
      <c r="E247" s="13"/>
      <c r="F247" s="13"/>
      <c r="G247" s="147"/>
      <c r="H247" s="13"/>
      <c r="I247" s="13"/>
      <c r="J247" s="13"/>
      <c r="K247" s="13"/>
      <c r="L247" s="13"/>
      <c r="M247" s="13"/>
      <c r="N247" s="149"/>
      <c r="O247" s="13"/>
      <c r="P247" s="149"/>
      <c r="R247" s="132"/>
      <c r="T247" s="13"/>
    </row>
    <row r="248" spans="1:20" ht="12.75" customHeight="1" x14ac:dyDescent="0.2">
      <c r="A248" s="137"/>
      <c r="B248" s="148"/>
      <c r="C248" s="148"/>
      <c r="D248" s="148"/>
      <c r="E248" s="13"/>
      <c r="F248" s="13"/>
      <c r="G248" s="147"/>
      <c r="H248" s="13"/>
      <c r="I248" s="13"/>
      <c r="J248" s="13"/>
      <c r="K248" s="13"/>
      <c r="L248" s="13"/>
      <c r="M248" s="13"/>
      <c r="N248" s="149"/>
      <c r="O248" s="13"/>
      <c r="P248" s="149"/>
      <c r="R248" s="132"/>
      <c r="T248" s="13"/>
    </row>
    <row r="249" spans="1:20" ht="12.75" customHeight="1" x14ac:dyDescent="0.2">
      <c r="A249" s="137"/>
      <c r="B249" s="148"/>
      <c r="C249" s="148"/>
      <c r="D249" s="148"/>
      <c r="E249" s="13"/>
      <c r="F249" s="13"/>
      <c r="G249" s="147"/>
      <c r="H249" s="13"/>
      <c r="I249" s="13"/>
      <c r="J249" s="13"/>
      <c r="K249" s="13"/>
      <c r="L249" s="13"/>
      <c r="M249" s="13"/>
      <c r="N249" s="149"/>
      <c r="O249" s="13"/>
      <c r="P249" s="149"/>
      <c r="R249" s="132"/>
      <c r="T249" s="13"/>
    </row>
    <row r="250" spans="1:20" ht="12.75" customHeight="1" x14ac:dyDescent="0.2">
      <c r="A250" s="137"/>
      <c r="B250" s="148"/>
      <c r="C250" s="148"/>
      <c r="D250" s="148"/>
      <c r="E250" s="13"/>
      <c r="F250" s="13"/>
      <c r="G250" s="147"/>
      <c r="H250" s="13"/>
      <c r="I250" s="13"/>
      <c r="J250" s="13"/>
      <c r="K250" s="13"/>
      <c r="L250" s="13"/>
      <c r="M250" s="13"/>
      <c r="N250" s="149"/>
      <c r="O250" s="13"/>
      <c r="P250" s="149"/>
      <c r="R250" s="132"/>
      <c r="T250" s="13"/>
    </row>
    <row r="251" spans="1:20" ht="12.75" customHeight="1" x14ac:dyDescent="0.2">
      <c r="A251" s="137"/>
      <c r="B251" s="148"/>
      <c r="C251" s="148"/>
      <c r="D251" s="148"/>
      <c r="E251" s="13"/>
      <c r="F251" s="13"/>
      <c r="G251" s="147"/>
      <c r="H251" s="13"/>
      <c r="I251" s="13"/>
      <c r="J251" s="13"/>
      <c r="K251" s="13"/>
      <c r="L251" s="13"/>
      <c r="M251" s="13"/>
      <c r="N251" s="149"/>
      <c r="O251" s="13"/>
      <c r="P251" s="149"/>
      <c r="R251" s="132"/>
      <c r="T251" s="13"/>
    </row>
    <row r="252" spans="1:20" ht="12.75" customHeight="1" x14ac:dyDescent="0.2">
      <c r="A252" s="137"/>
      <c r="B252" s="148"/>
      <c r="C252" s="148"/>
      <c r="D252" s="148"/>
      <c r="E252" s="13"/>
      <c r="F252" s="13"/>
      <c r="G252" s="147"/>
      <c r="H252" s="13"/>
      <c r="I252" s="13"/>
      <c r="J252" s="13"/>
      <c r="K252" s="13"/>
      <c r="L252" s="13"/>
      <c r="M252" s="13"/>
      <c r="N252" s="149"/>
      <c r="O252" s="13"/>
      <c r="P252" s="149"/>
      <c r="R252" s="132"/>
      <c r="T252" s="13"/>
    </row>
    <row r="253" spans="1:20" ht="12.75" customHeight="1" x14ac:dyDescent="0.2">
      <c r="A253" s="137"/>
      <c r="B253" s="148"/>
      <c r="C253" s="148"/>
      <c r="D253" s="148"/>
      <c r="E253" s="13"/>
      <c r="F253" s="13"/>
      <c r="G253" s="147"/>
      <c r="H253" s="13"/>
      <c r="I253" s="13"/>
      <c r="J253" s="13"/>
      <c r="K253" s="13"/>
      <c r="L253" s="13"/>
      <c r="M253" s="13"/>
      <c r="N253" s="149"/>
      <c r="O253" s="13"/>
      <c r="P253" s="149"/>
      <c r="R253" s="132"/>
      <c r="T253" s="13"/>
    </row>
    <row r="254" spans="1:20" ht="12.75" customHeight="1" x14ac:dyDescent="0.2">
      <c r="A254" s="137"/>
      <c r="B254" s="148"/>
      <c r="C254" s="148"/>
      <c r="D254" s="148"/>
      <c r="E254" s="13"/>
      <c r="F254" s="13"/>
      <c r="G254" s="147"/>
      <c r="H254" s="13"/>
      <c r="I254" s="13"/>
      <c r="J254" s="13"/>
      <c r="K254" s="13"/>
      <c r="L254" s="13"/>
      <c r="M254" s="13"/>
      <c r="N254" s="149"/>
      <c r="O254" s="13"/>
      <c r="P254" s="149"/>
      <c r="R254" s="132"/>
      <c r="T254" s="13"/>
    </row>
    <row r="255" spans="1:20" ht="12.75" customHeight="1" x14ac:dyDescent="0.2">
      <c r="A255" s="137"/>
      <c r="B255" s="148"/>
      <c r="C255" s="148"/>
      <c r="D255" s="148"/>
      <c r="E255" s="13"/>
      <c r="F255" s="13"/>
      <c r="G255" s="147"/>
      <c r="H255" s="13"/>
      <c r="I255" s="13"/>
      <c r="J255" s="13"/>
      <c r="K255" s="13"/>
      <c r="L255" s="13"/>
      <c r="M255" s="13"/>
      <c r="N255" s="149"/>
      <c r="O255" s="13"/>
      <c r="P255" s="149"/>
      <c r="R255" s="132"/>
      <c r="T255" s="13"/>
    </row>
    <row r="256" spans="1:20" ht="12.75" customHeight="1" x14ac:dyDescent="0.2">
      <c r="A256" s="137"/>
      <c r="B256" s="148"/>
      <c r="C256" s="148"/>
      <c r="D256" s="148"/>
      <c r="E256" s="13"/>
      <c r="F256" s="13"/>
      <c r="G256" s="147"/>
      <c r="H256" s="13"/>
      <c r="I256" s="13"/>
      <c r="J256" s="13"/>
      <c r="K256" s="13"/>
      <c r="L256" s="13"/>
      <c r="M256" s="13"/>
      <c r="N256" s="149"/>
      <c r="O256" s="13"/>
      <c r="P256" s="149"/>
      <c r="R256" s="132"/>
      <c r="T256" s="13"/>
    </row>
    <row r="257" spans="1:20" ht="12.75" customHeight="1" x14ac:dyDescent="0.2">
      <c r="A257" s="137"/>
      <c r="B257" s="148"/>
      <c r="C257" s="148"/>
      <c r="D257" s="148"/>
      <c r="E257" s="13"/>
      <c r="F257" s="13"/>
      <c r="G257" s="147"/>
      <c r="H257" s="13"/>
      <c r="I257" s="13"/>
      <c r="J257" s="13"/>
      <c r="K257" s="13"/>
      <c r="L257" s="13"/>
      <c r="M257" s="13"/>
      <c r="N257" s="149"/>
      <c r="O257" s="13"/>
      <c r="P257" s="149"/>
      <c r="R257" s="132"/>
      <c r="T257" s="13"/>
    </row>
    <row r="258" spans="1:20" ht="12.75" customHeight="1" x14ac:dyDescent="0.2">
      <c r="A258" s="137"/>
      <c r="B258" s="148"/>
      <c r="C258" s="148"/>
      <c r="D258" s="148"/>
      <c r="E258" s="13"/>
      <c r="F258" s="13"/>
      <c r="G258" s="147"/>
      <c r="H258" s="13"/>
      <c r="I258" s="13"/>
      <c r="J258" s="13"/>
      <c r="K258" s="13"/>
      <c r="L258" s="13"/>
      <c r="M258" s="13"/>
      <c r="N258" s="149"/>
      <c r="O258" s="13"/>
      <c r="P258" s="149"/>
      <c r="R258" s="132"/>
      <c r="T258" s="13"/>
    </row>
    <row r="259" spans="1:20" ht="12.75" customHeight="1" x14ac:dyDescent="0.2">
      <c r="A259" s="137"/>
      <c r="B259" s="148"/>
      <c r="C259" s="148"/>
      <c r="D259" s="148"/>
      <c r="E259" s="13"/>
      <c r="F259" s="13"/>
      <c r="G259" s="147"/>
      <c r="H259" s="13"/>
      <c r="I259" s="13"/>
      <c r="J259" s="13"/>
      <c r="K259" s="13"/>
      <c r="L259" s="13"/>
      <c r="M259" s="13"/>
      <c r="N259" s="149"/>
      <c r="O259" s="13"/>
      <c r="P259" s="149"/>
      <c r="R259" s="132"/>
      <c r="T259" s="13"/>
    </row>
    <row r="260" spans="1:20" ht="12.75" customHeight="1" x14ac:dyDescent="0.2">
      <c r="A260" s="137"/>
      <c r="B260" s="148"/>
      <c r="C260" s="148"/>
      <c r="D260" s="148"/>
      <c r="E260" s="13"/>
      <c r="F260" s="13"/>
      <c r="G260" s="147"/>
      <c r="H260" s="13"/>
      <c r="I260" s="13"/>
      <c r="J260" s="13"/>
      <c r="K260" s="13"/>
      <c r="L260" s="13"/>
      <c r="M260" s="13"/>
      <c r="N260" s="149"/>
      <c r="O260" s="13"/>
      <c r="P260" s="149"/>
      <c r="R260" s="132"/>
      <c r="T260" s="13"/>
    </row>
    <row r="261" spans="1:20" ht="12.75" customHeight="1" x14ac:dyDescent="0.2">
      <c r="A261" s="137"/>
      <c r="B261" s="148"/>
      <c r="C261" s="148"/>
      <c r="D261" s="148"/>
      <c r="E261" s="13"/>
      <c r="F261" s="13"/>
      <c r="G261" s="147"/>
      <c r="H261" s="13"/>
      <c r="I261" s="13"/>
      <c r="J261" s="13"/>
      <c r="K261" s="13"/>
      <c r="L261" s="13"/>
      <c r="M261" s="13"/>
      <c r="N261" s="149"/>
      <c r="O261" s="13"/>
      <c r="P261" s="149"/>
      <c r="R261" s="132"/>
      <c r="T261" s="13"/>
    </row>
    <row r="262" spans="1:20" ht="12.75" customHeight="1" x14ac:dyDescent="0.2">
      <c r="A262" s="137"/>
      <c r="B262" s="148"/>
      <c r="C262" s="148"/>
      <c r="D262" s="148"/>
      <c r="E262" s="13"/>
      <c r="F262" s="13"/>
      <c r="G262" s="147"/>
      <c r="H262" s="13"/>
      <c r="I262" s="13"/>
      <c r="J262" s="13"/>
      <c r="K262" s="13"/>
      <c r="L262" s="13"/>
      <c r="M262" s="13"/>
      <c r="N262" s="149"/>
      <c r="O262" s="13"/>
      <c r="P262" s="149"/>
      <c r="R262" s="132"/>
      <c r="T262" s="13"/>
    </row>
    <row r="263" spans="1:20" ht="12.75" customHeight="1" x14ac:dyDescent="0.2">
      <c r="A263" s="137"/>
      <c r="B263" s="148"/>
      <c r="C263" s="148"/>
      <c r="D263" s="148"/>
      <c r="E263" s="13"/>
      <c r="F263" s="13"/>
      <c r="G263" s="147"/>
      <c r="H263" s="13"/>
      <c r="I263" s="13"/>
      <c r="J263" s="13"/>
      <c r="K263" s="13"/>
      <c r="L263" s="13"/>
      <c r="M263" s="13"/>
      <c r="N263" s="149"/>
      <c r="O263" s="13"/>
      <c r="P263" s="149"/>
      <c r="R263" s="132"/>
      <c r="T263" s="13"/>
    </row>
    <row r="264" spans="1:20" ht="12.75" customHeight="1" x14ac:dyDescent="0.2">
      <c r="A264" s="137"/>
      <c r="B264" s="148"/>
      <c r="C264" s="148"/>
      <c r="D264" s="148"/>
      <c r="E264" s="13"/>
      <c r="F264" s="13"/>
      <c r="G264" s="147"/>
      <c r="H264" s="13"/>
      <c r="I264" s="13"/>
      <c r="J264" s="13"/>
      <c r="K264" s="13"/>
      <c r="L264" s="13"/>
      <c r="M264" s="13"/>
      <c r="N264" s="149"/>
      <c r="O264" s="13"/>
      <c r="P264" s="149"/>
      <c r="R264" s="132"/>
      <c r="T264" s="13"/>
    </row>
    <row r="265" spans="1:20" ht="12.75" customHeight="1" x14ac:dyDescent="0.2">
      <c r="A265" s="137"/>
      <c r="B265" s="148"/>
      <c r="C265" s="148"/>
      <c r="D265" s="148"/>
      <c r="E265" s="13"/>
      <c r="F265" s="13"/>
      <c r="G265" s="147"/>
      <c r="H265" s="13"/>
      <c r="I265" s="13"/>
      <c r="J265" s="13"/>
      <c r="K265" s="13"/>
      <c r="L265" s="13"/>
      <c r="M265" s="13"/>
      <c r="N265" s="149"/>
      <c r="O265" s="13"/>
      <c r="P265" s="149"/>
      <c r="R265" s="132"/>
      <c r="T265" s="13"/>
    </row>
    <row r="266" spans="1:20" ht="12.75" customHeight="1" x14ac:dyDescent="0.2">
      <c r="A266" s="137"/>
      <c r="B266" s="148"/>
      <c r="C266" s="148"/>
      <c r="D266" s="148"/>
      <c r="E266" s="13"/>
      <c r="F266" s="13"/>
      <c r="G266" s="147"/>
      <c r="H266" s="13"/>
      <c r="I266" s="13"/>
      <c r="J266" s="13"/>
      <c r="K266" s="13"/>
      <c r="L266" s="13"/>
      <c r="M266" s="13"/>
      <c r="N266" s="149"/>
      <c r="O266" s="13"/>
      <c r="P266" s="149"/>
      <c r="R266" s="132"/>
      <c r="T266" s="13"/>
    </row>
    <row r="267" spans="1:20" ht="12.75" customHeight="1" x14ac:dyDescent="0.2">
      <c r="A267" s="137"/>
      <c r="B267" s="148"/>
      <c r="C267" s="148"/>
      <c r="D267" s="148"/>
      <c r="E267" s="13"/>
      <c r="F267" s="13"/>
      <c r="G267" s="147"/>
      <c r="H267" s="13"/>
      <c r="I267" s="13"/>
      <c r="J267" s="13"/>
      <c r="K267" s="13"/>
      <c r="L267" s="13"/>
      <c r="M267" s="13"/>
      <c r="N267" s="149"/>
      <c r="O267" s="13"/>
      <c r="P267" s="149"/>
      <c r="R267" s="132"/>
      <c r="T267" s="13"/>
    </row>
    <row r="268" spans="1:20" ht="12.75" customHeight="1" x14ac:dyDescent="0.2">
      <c r="A268" s="137"/>
      <c r="B268" s="148"/>
      <c r="C268" s="148"/>
      <c r="D268" s="148"/>
      <c r="E268" s="13"/>
      <c r="F268" s="13"/>
      <c r="G268" s="147"/>
      <c r="H268" s="13"/>
      <c r="I268" s="13"/>
      <c r="J268" s="13"/>
      <c r="K268" s="13"/>
      <c r="L268" s="13"/>
      <c r="M268" s="13"/>
      <c r="N268" s="149"/>
      <c r="O268" s="13"/>
      <c r="P268" s="149"/>
      <c r="R268" s="132"/>
      <c r="T268" s="13"/>
    </row>
    <row r="269" spans="1:20" ht="12.75" customHeight="1" x14ac:dyDescent="0.2">
      <c r="A269" s="137"/>
      <c r="B269" s="148"/>
      <c r="C269" s="148"/>
      <c r="D269" s="148"/>
      <c r="E269" s="13"/>
      <c r="F269" s="13"/>
      <c r="G269" s="147"/>
      <c r="H269" s="13"/>
      <c r="I269" s="13"/>
      <c r="J269" s="13"/>
      <c r="K269" s="13"/>
      <c r="L269" s="13"/>
      <c r="M269" s="13"/>
      <c r="N269" s="149"/>
      <c r="O269" s="13"/>
      <c r="P269" s="149"/>
      <c r="R269" s="132"/>
      <c r="T269" s="13"/>
    </row>
    <row r="270" spans="1:20" ht="12.75" customHeight="1" x14ac:dyDescent="0.2">
      <c r="A270" s="137"/>
      <c r="B270" s="148"/>
      <c r="C270" s="148"/>
      <c r="D270" s="148"/>
      <c r="E270" s="13"/>
      <c r="F270" s="13"/>
      <c r="G270" s="147"/>
      <c r="H270" s="13"/>
      <c r="I270" s="13"/>
      <c r="J270" s="13"/>
      <c r="K270" s="13"/>
      <c r="L270" s="13"/>
      <c r="M270" s="13"/>
      <c r="N270" s="149"/>
      <c r="O270" s="13"/>
      <c r="P270" s="149"/>
      <c r="R270" s="132"/>
      <c r="T270" s="13"/>
    </row>
    <row r="271" spans="1:20" ht="12.75" customHeight="1" x14ac:dyDescent="0.2">
      <c r="A271" s="137"/>
      <c r="B271" s="148"/>
      <c r="C271" s="148"/>
      <c r="D271" s="148"/>
      <c r="E271" s="13"/>
      <c r="F271" s="13"/>
      <c r="G271" s="147"/>
      <c r="H271" s="13"/>
      <c r="I271" s="13"/>
      <c r="J271" s="13"/>
      <c r="K271" s="13"/>
      <c r="L271" s="13"/>
      <c r="M271" s="13"/>
      <c r="N271" s="149"/>
      <c r="O271" s="13"/>
      <c r="P271" s="149"/>
      <c r="R271" s="132"/>
      <c r="T271" s="13"/>
    </row>
    <row r="272" spans="1:20" ht="12.75" customHeight="1" x14ac:dyDescent="0.2">
      <c r="A272" s="137"/>
      <c r="B272" s="148"/>
      <c r="C272" s="148"/>
      <c r="D272" s="148"/>
      <c r="E272" s="13"/>
      <c r="F272" s="13"/>
      <c r="G272" s="147"/>
      <c r="H272" s="13"/>
      <c r="I272" s="13"/>
      <c r="J272" s="13"/>
      <c r="K272" s="13"/>
      <c r="L272" s="13"/>
      <c r="M272" s="13"/>
      <c r="N272" s="149"/>
      <c r="O272" s="13"/>
      <c r="P272" s="149"/>
      <c r="R272" s="132"/>
      <c r="T272" s="13"/>
    </row>
    <row r="273" spans="1:20" ht="12.75" customHeight="1" x14ac:dyDescent="0.2">
      <c r="A273" s="137"/>
      <c r="B273" s="148"/>
      <c r="C273" s="148"/>
      <c r="D273" s="148"/>
      <c r="E273" s="13"/>
      <c r="F273" s="13"/>
      <c r="G273" s="147"/>
      <c r="H273" s="13"/>
      <c r="I273" s="13"/>
      <c r="J273" s="13"/>
      <c r="K273" s="13"/>
      <c r="L273" s="13"/>
      <c r="M273" s="13"/>
      <c r="N273" s="149"/>
      <c r="O273" s="13"/>
      <c r="P273" s="149"/>
      <c r="R273" s="132"/>
      <c r="T273" s="13"/>
    </row>
    <row r="274" spans="1:20" ht="12.75" customHeight="1" x14ac:dyDescent="0.2">
      <c r="A274" s="137"/>
      <c r="B274" s="148"/>
      <c r="C274" s="148"/>
      <c r="D274" s="148"/>
      <c r="E274" s="13"/>
      <c r="F274" s="13"/>
      <c r="G274" s="147"/>
      <c r="H274" s="13"/>
      <c r="I274" s="13"/>
      <c r="J274" s="13"/>
      <c r="K274" s="13"/>
      <c r="L274" s="13"/>
      <c r="M274" s="13"/>
      <c r="N274" s="149"/>
      <c r="O274" s="13"/>
      <c r="P274" s="149"/>
      <c r="R274" s="132"/>
      <c r="T274" s="13"/>
    </row>
    <row r="275" spans="1:20" ht="12.75" customHeight="1" x14ac:dyDescent="0.2">
      <c r="A275" s="137"/>
      <c r="B275" s="148"/>
      <c r="C275" s="148"/>
      <c r="D275" s="148"/>
      <c r="E275" s="13"/>
      <c r="F275" s="13"/>
      <c r="G275" s="147"/>
      <c r="H275" s="13"/>
      <c r="I275" s="13"/>
      <c r="J275" s="13"/>
      <c r="K275" s="13"/>
      <c r="L275" s="13"/>
      <c r="M275" s="13"/>
      <c r="N275" s="149"/>
      <c r="O275" s="13"/>
      <c r="P275" s="149"/>
      <c r="R275" s="132"/>
      <c r="T275" s="13"/>
    </row>
    <row r="276" spans="1:20" ht="12.75" customHeight="1" x14ac:dyDescent="0.2">
      <c r="A276" s="137"/>
      <c r="B276" s="148"/>
      <c r="C276" s="148"/>
      <c r="D276" s="148"/>
      <c r="E276" s="13"/>
      <c r="F276" s="13"/>
      <c r="G276" s="147"/>
      <c r="H276" s="13"/>
      <c r="I276" s="13"/>
      <c r="J276" s="13"/>
      <c r="K276" s="13"/>
      <c r="L276" s="13"/>
      <c r="M276" s="13"/>
      <c r="N276" s="149"/>
      <c r="O276" s="13"/>
      <c r="P276" s="149"/>
      <c r="R276" s="132"/>
      <c r="T276" s="13"/>
    </row>
    <row r="277" spans="1:20" ht="12.75" customHeight="1" x14ac:dyDescent="0.2">
      <c r="A277" s="137"/>
      <c r="B277" s="148"/>
      <c r="C277" s="148"/>
      <c r="D277" s="148"/>
      <c r="E277" s="13"/>
      <c r="F277" s="13"/>
      <c r="G277" s="147"/>
      <c r="H277" s="13"/>
      <c r="I277" s="13"/>
      <c r="J277" s="13"/>
      <c r="K277" s="13"/>
      <c r="L277" s="13"/>
      <c r="M277" s="13"/>
      <c r="N277" s="149"/>
      <c r="O277" s="13"/>
      <c r="P277" s="149"/>
      <c r="R277" s="132"/>
      <c r="T277" s="13"/>
    </row>
    <row r="278" spans="1:20" ht="12.75" customHeight="1" x14ac:dyDescent="0.2">
      <c r="A278" s="137"/>
      <c r="B278" s="148"/>
      <c r="C278" s="148"/>
      <c r="D278" s="148"/>
      <c r="E278" s="13"/>
      <c r="F278" s="13"/>
      <c r="G278" s="147"/>
      <c r="H278" s="13"/>
      <c r="I278" s="13"/>
      <c r="J278" s="13"/>
      <c r="K278" s="13"/>
      <c r="L278" s="13"/>
      <c r="M278" s="13"/>
      <c r="N278" s="149"/>
      <c r="O278" s="13"/>
      <c r="P278" s="149"/>
      <c r="R278" s="132"/>
      <c r="T278" s="13"/>
    </row>
    <row r="279" spans="1:20" ht="12.75" customHeight="1" x14ac:dyDescent="0.2">
      <c r="A279" s="137"/>
      <c r="B279" s="148"/>
      <c r="C279" s="148"/>
      <c r="D279" s="148"/>
      <c r="E279" s="13"/>
      <c r="F279" s="13"/>
      <c r="G279" s="147"/>
      <c r="H279" s="13"/>
      <c r="I279" s="13"/>
      <c r="J279" s="13"/>
      <c r="K279" s="13"/>
      <c r="L279" s="13"/>
      <c r="M279" s="13"/>
      <c r="N279" s="149"/>
      <c r="O279" s="13"/>
      <c r="P279" s="149"/>
      <c r="R279" s="132"/>
      <c r="T279" s="13"/>
    </row>
    <row r="280" spans="1:20" ht="12.75" customHeight="1" x14ac:dyDescent="0.2">
      <c r="A280" s="137"/>
      <c r="B280" s="148"/>
      <c r="C280" s="148"/>
      <c r="D280" s="148"/>
      <c r="E280" s="13"/>
      <c r="F280" s="13"/>
      <c r="G280" s="147"/>
      <c r="H280" s="13"/>
      <c r="I280" s="13"/>
      <c r="J280" s="13"/>
      <c r="K280" s="13"/>
      <c r="L280" s="13"/>
      <c r="M280" s="13"/>
      <c r="N280" s="149"/>
      <c r="O280" s="13"/>
      <c r="P280" s="149"/>
      <c r="R280" s="132"/>
      <c r="T280" s="13"/>
    </row>
    <row r="281" spans="1:20" ht="12.75" customHeight="1" x14ac:dyDescent="0.2">
      <c r="A281" s="137"/>
      <c r="B281" s="148"/>
      <c r="C281" s="148"/>
      <c r="D281" s="148"/>
      <c r="E281" s="13"/>
      <c r="F281" s="13"/>
      <c r="G281" s="147"/>
      <c r="H281" s="13"/>
      <c r="I281" s="13"/>
      <c r="J281" s="13"/>
      <c r="K281" s="13"/>
      <c r="L281" s="13"/>
      <c r="M281" s="13"/>
      <c r="N281" s="149"/>
      <c r="O281" s="13"/>
      <c r="P281" s="149"/>
      <c r="R281" s="132"/>
      <c r="T281" s="13"/>
    </row>
    <row r="282" spans="1:20" ht="12.75" customHeight="1" x14ac:dyDescent="0.2">
      <c r="A282" s="137"/>
      <c r="B282" s="148"/>
      <c r="C282" s="148"/>
      <c r="D282" s="148"/>
      <c r="E282" s="13"/>
      <c r="F282" s="13"/>
      <c r="G282" s="147"/>
      <c r="H282" s="13"/>
      <c r="I282" s="13"/>
      <c r="J282" s="13"/>
      <c r="K282" s="13"/>
      <c r="L282" s="13"/>
      <c r="M282" s="13"/>
      <c r="N282" s="149"/>
      <c r="O282" s="13"/>
      <c r="P282" s="149"/>
      <c r="R282" s="132"/>
      <c r="T282" s="13"/>
    </row>
    <row r="283" spans="1:20" ht="12.75" customHeight="1" x14ac:dyDescent="0.2">
      <c r="A283" s="137"/>
      <c r="B283" s="148"/>
      <c r="C283" s="148"/>
      <c r="D283" s="148"/>
      <c r="E283" s="13"/>
      <c r="F283" s="13"/>
      <c r="G283" s="147"/>
      <c r="H283" s="13"/>
      <c r="I283" s="13"/>
      <c r="J283" s="13"/>
      <c r="K283" s="13"/>
      <c r="L283" s="13"/>
      <c r="M283" s="13"/>
      <c r="N283" s="149"/>
      <c r="O283" s="13"/>
      <c r="P283" s="149"/>
      <c r="R283" s="132"/>
      <c r="T283" s="13"/>
    </row>
    <row r="284" spans="1:20" ht="12.75" customHeight="1" x14ac:dyDescent="0.2">
      <c r="A284" s="137"/>
      <c r="B284" s="148"/>
      <c r="C284" s="148"/>
      <c r="D284" s="148"/>
      <c r="E284" s="13"/>
      <c r="F284" s="13"/>
      <c r="G284" s="147"/>
      <c r="H284" s="13"/>
      <c r="I284" s="13"/>
      <c r="J284" s="13"/>
      <c r="K284" s="13"/>
      <c r="L284" s="13"/>
      <c r="M284" s="13"/>
      <c r="N284" s="149"/>
      <c r="O284" s="13"/>
      <c r="P284" s="149"/>
      <c r="R284" s="132"/>
      <c r="T284" s="13"/>
    </row>
    <row r="285" spans="1:20" ht="12.75" customHeight="1" x14ac:dyDescent="0.2">
      <c r="A285" s="137"/>
      <c r="B285" s="148"/>
      <c r="C285" s="148"/>
      <c r="D285" s="148"/>
      <c r="E285" s="13"/>
      <c r="F285" s="13"/>
      <c r="G285" s="147"/>
      <c r="H285" s="13"/>
      <c r="I285" s="13"/>
      <c r="J285" s="13"/>
      <c r="K285" s="13"/>
      <c r="L285" s="13"/>
      <c r="M285" s="13"/>
      <c r="N285" s="149"/>
      <c r="O285" s="13"/>
      <c r="P285" s="149"/>
      <c r="R285" s="132"/>
      <c r="T285" s="13"/>
    </row>
    <row r="286" spans="1:20" ht="12.75" customHeight="1" x14ac:dyDescent="0.2">
      <c r="A286" s="137"/>
      <c r="B286" s="148"/>
      <c r="C286" s="148"/>
      <c r="D286" s="148"/>
      <c r="E286" s="13"/>
      <c r="F286" s="13"/>
      <c r="G286" s="147"/>
      <c r="H286" s="13"/>
      <c r="I286" s="13"/>
      <c r="J286" s="13"/>
      <c r="K286" s="13"/>
      <c r="L286" s="13"/>
      <c r="M286" s="13"/>
      <c r="N286" s="149"/>
      <c r="O286" s="13"/>
      <c r="P286" s="149"/>
      <c r="R286" s="132"/>
      <c r="T286" s="13"/>
    </row>
    <row r="287" spans="1:20" ht="12.75" customHeight="1" x14ac:dyDescent="0.2">
      <c r="A287" s="137"/>
      <c r="B287" s="148"/>
      <c r="C287" s="148"/>
      <c r="D287" s="148"/>
      <c r="E287" s="13"/>
      <c r="F287" s="13"/>
      <c r="G287" s="147"/>
      <c r="H287" s="13"/>
      <c r="I287" s="13"/>
      <c r="J287" s="13"/>
      <c r="K287" s="13"/>
      <c r="L287" s="13"/>
      <c r="M287" s="13"/>
      <c r="N287" s="149"/>
      <c r="O287" s="13"/>
      <c r="P287" s="149"/>
      <c r="R287" s="132"/>
      <c r="T287" s="13"/>
    </row>
    <row r="288" spans="1:20" ht="12.75" customHeight="1" x14ac:dyDescent="0.2">
      <c r="A288" s="137"/>
      <c r="B288" s="148"/>
      <c r="C288" s="148"/>
      <c r="D288" s="148"/>
      <c r="E288" s="13"/>
      <c r="F288" s="13"/>
      <c r="G288" s="147"/>
      <c r="H288" s="13"/>
      <c r="I288" s="13"/>
      <c r="J288" s="13"/>
      <c r="K288" s="13"/>
      <c r="L288" s="13"/>
      <c r="M288" s="13"/>
      <c r="N288" s="149"/>
      <c r="O288" s="13"/>
      <c r="P288" s="149"/>
      <c r="R288" s="132"/>
      <c r="T288" s="13"/>
    </row>
    <row r="289" spans="1:20" ht="12.75" customHeight="1" x14ac:dyDescent="0.2">
      <c r="A289" s="137"/>
      <c r="B289" s="148"/>
      <c r="C289" s="148"/>
      <c r="D289" s="148"/>
      <c r="E289" s="13"/>
      <c r="F289" s="13"/>
      <c r="G289" s="147"/>
      <c r="H289" s="13"/>
      <c r="I289" s="13"/>
      <c r="J289" s="13"/>
      <c r="K289" s="13"/>
      <c r="L289" s="13"/>
      <c r="M289" s="13"/>
      <c r="N289" s="149"/>
      <c r="O289" s="13"/>
      <c r="P289" s="149"/>
      <c r="R289" s="132"/>
      <c r="T289" s="13"/>
    </row>
    <row r="290" spans="1:20" ht="12.75" customHeight="1" x14ac:dyDescent="0.2">
      <c r="A290" s="137"/>
      <c r="B290" s="148"/>
      <c r="C290" s="148"/>
      <c r="D290" s="148"/>
      <c r="E290" s="13"/>
      <c r="F290" s="13"/>
      <c r="G290" s="147"/>
      <c r="H290" s="13"/>
      <c r="I290" s="13"/>
      <c r="J290" s="13"/>
      <c r="K290" s="13"/>
      <c r="L290" s="13"/>
      <c r="M290" s="13"/>
      <c r="N290" s="149"/>
      <c r="O290" s="13"/>
      <c r="P290" s="149"/>
      <c r="R290" s="132"/>
      <c r="T290" s="13"/>
    </row>
    <row r="291" spans="1:20" ht="12.75" customHeight="1" x14ac:dyDescent="0.2">
      <c r="A291" s="137"/>
      <c r="B291" s="148"/>
      <c r="C291" s="148"/>
      <c r="D291" s="148"/>
      <c r="E291" s="13"/>
      <c r="F291" s="13"/>
      <c r="G291" s="147"/>
      <c r="H291" s="13"/>
      <c r="I291" s="13"/>
      <c r="J291" s="13"/>
      <c r="K291" s="13"/>
      <c r="L291" s="13"/>
      <c r="M291" s="13"/>
      <c r="N291" s="149"/>
      <c r="O291" s="13"/>
      <c r="P291" s="149"/>
      <c r="R291" s="132"/>
      <c r="T291" s="13"/>
    </row>
    <row r="292" spans="1:20" ht="12.75" customHeight="1" x14ac:dyDescent="0.2">
      <c r="A292" s="137"/>
      <c r="B292" s="148"/>
      <c r="C292" s="148"/>
      <c r="D292" s="148"/>
      <c r="E292" s="13"/>
      <c r="F292" s="13"/>
      <c r="G292" s="147"/>
      <c r="H292" s="13"/>
      <c r="I292" s="13"/>
      <c r="J292" s="13"/>
      <c r="K292" s="13"/>
      <c r="L292" s="13"/>
      <c r="M292" s="13"/>
      <c r="N292" s="149"/>
      <c r="O292" s="13"/>
      <c r="P292" s="149"/>
      <c r="R292" s="132"/>
      <c r="T292" s="13"/>
    </row>
    <row r="293" spans="1:20" ht="12.75" customHeight="1" x14ac:dyDescent="0.2">
      <c r="A293" s="137"/>
      <c r="B293" s="148"/>
      <c r="C293" s="148"/>
      <c r="D293" s="148"/>
      <c r="E293" s="13"/>
      <c r="F293" s="13"/>
      <c r="G293" s="147"/>
      <c r="H293" s="13"/>
      <c r="I293" s="13"/>
      <c r="J293" s="13"/>
      <c r="K293" s="13"/>
      <c r="L293" s="13"/>
      <c r="M293" s="13"/>
      <c r="N293" s="149"/>
      <c r="O293" s="13"/>
      <c r="P293" s="149"/>
      <c r="R293" s="132"/>
      <c r="T293" s="13"/>
    </row>
    <row r="294" spans="1:20" ht="12.75" customHeight="1" x14ac:dyDescent="0.2">
      <c r="A294" s="137"/>
      <c r="B294" s="148"/>
      <c r="C294" s="148"/>
      <c r="D294" s="148"/>
      <c r="E294" s="13"/>
      <c r="F294" s="13"/>
      <c r="G294" s="147"/>
      <c r="H294" s="13"/>
      <c r="I294" s="13"/>
      <c r="J294" s="13"/>
      <c r="K294" s="13"/>
      <c r="L294" s="13"/>
      <c r="M294" s="13"/>
      <c r="N294" s="149"/>
      <c r="O294" s="13"/>
      <c r="P294" s="149"/>
      <c r="R294" s="132"/>
      <c r="T294" s="13"/>
    </row>
    <row r="295" spans="1:20" ht="12.75" customHeight="1" x14ac:dyDescent="0.2">
      <c r="A295" s="137"/>
      <c r="B295" s="148"/>
      <c r="C295" s="148"/>
      <c r="D295" s="148"/>
      <c r="E295" s="13"/>
      <c r="F295" s="13"/>
      <c r="G295" s="147"/>
      <c r="H295" s="13"/>
      <c r="I295" s="13"/>
      <c r="J295" s="13"/>
      <c r="K295" s="13"/>
      <c r="L295" s="13"/>
      <c r="M295" s="13"/>
      <c r="N295" s="149"/>
      <c r="O295" s="13"/>
      <c r="P295" s="149"/>
      <c r="R295" s="132"/>
      <c r="T295" s="13"/>
    </row>
    <row r="296" spans="1:20" ht="12.75" customHeight="1" x14ac:dyDescent="0.2">
      <c r="A296" s="137"/>
      <c r="B296" s="148"/>
      <c r="C296" s="148"/>
      <c r="D296" s="148"/>
      <c r="E296" s="13"/>
      <c r="F296" s="13"/>
      <c r="G296" s="147"/>
      <c r="H296" s="13"/>
      <c r="I296" s="13"/>
      <c r="J296" s="13"/>
      <c r="K296" s="13"/>
      <c r="L296" s="13"/>
      <c r="M296" s="13"/>
      <c r="N296" s="149"/>
      <c r="O296" s="13"/>
      <c r="P296" s="149"/>
      <c r="R296" s="132"/>
      <c r="T296" s="13"/>
    </row>
    <row r="297" spans="1:20" ht="12.75" customHeight="1" x14ac:dyDescent="0.2">
      <c r="A297" s="137"/>
      <c r="B297" s="148"/>
      <c r="C297" s="148"/>
      <c r="D297" s="148"/>
      <c r="E297" s="13"/>
      <c r="F297" s="13"/>
      <c r="G297" s="147"/>
      <c r="H297" s="13"/>
      <c r="I297" s="13"/>
      <c r="J297" s="13"/>
      <c r="K297" s="13"/>
      <c r="L297" s="13"/>
      <c r="M297" s="13"/>
      <c r="N297" s="149"/>
      <c r="O297" s="13"/>
      <c r="P297" s="149"/>
      <c r="R297" s="132"/>
      <c r="T297" s="13"/>
    </row>
    <row r="298" spans="1:20" ht="12.75" customHeight="1" x14ac:dyDescent="0.2">
      <c r="A298" s="137"/>
      <c r="B298" s="148"/>
      <c r="C298" s="148"/>
      <c r="D298" s="148"/>
      <c r="E298" s="13"/>
      <c r="F298" s="13"/>
      <c r="G298" s="147"/>
      <c r="H298" s="13"/>
      <c r="I298" s="13"/>
      <c r="J298" s="13"/>
      <c r="K298" s="13"/>
      <c r="L298" s="13"/>
      <c r="M298" s="13"/>
      <c r="N298" s="149"/>
      <c r="O298" s="13"/>
      <c r="P298" s="149"/>
      <c r="R298" s="132"/>
      <c r="T298" s="13"/>
    </row>
    <row r="299" spans="1:20" ht="12.75" customHeight="1" x14ac:dyDescent="0.2">
      <c r="A299" s="137"/>
      <c r="B299" s="148"/>
      <c r="C299" s="148"/>
      <c r="D299" s="148"/>
      <c r="E299" s="13"/>
      <c r="F299" s="13"/>
      <c r="G299" s="147"/>
      <c r="H299" s="13"/>
      <c r="I299" s="13"/>
      <c r="J299" s="13"/>
      <c r="K299" s="13"/>
      <c r="L299" s="13"/>
      <c r="M299" s="13"/>
      <c r="N299" s="149"/>
      <c r="O299" s="13"/>
      <c r="P299" s="149"/>
      <c r="R299" s="132"/>
      <c r="T299" s="13"/>
    </row>
    <row r="300" spans="1:20" ht="12.75" customHeight="1" x14ac:dyDescent="0.2">
      <c r="A300" s="137"/>
      <c r="B300" s="148"/>
      <c r="C300" s="148"/>
      <c r="D300" s="148"/>
      <c r="E300" s="13"/>
      <c r="F300" s="13"/>
      <c r="G300" s="147"/>
      <c r="H300" s="13"/>
      <c r="I300" s="13"/>
      <c r="J300" s="13"/>
      <c r="K300" s="13"/>
      <c r="L300" s="13"/>
      <c r="M300" s="13"/>
      <c r="N300" s="149"/>
      <c r="O300" s="13"/>
      <c r="P300" s="149"/>
      <c r="R300" s="132"/>
      <c r="T300" s="13"/>
    </row>
    <row r="301" spans="1:20" ht="12.75" customHeight="1" x14ac:dyDescent="0.2">
      <c r="A301" s="137"/>
      <c r="B301" s="148"/>
      <c r="C301" s="148"/>
      <c r="D301" s="148"/>
      <c r="E301" s="13"/>
      <c r="F301" s="13"/>
      <c r="G301" s="147"/>
      <c r="H301" s="13"/>
      <c r="I301" s="13"/>
      <c r="J301" s="13"/>
      <c r="K301" s="13"/>
      <c r="L301" s="13"/>
      <c r="M301" s="13"/>
      <c r="N301" s="149"/>
      <c r="O301" s="13"/>
      <c r="P301" s="149"/>
      <c r="R301" s="132"/>
      <c r="T301" s="13"/>
    </row>
    <row r="302" spans="1:20" ht="12.75" customHeight="1" x14ac:dyDescent="0.2">
      <c r="A302" s="137"/>
      <c r="B302" s="148"/>
      <c r="C302" s="148"/>
      <c r="D302" s="148"/>
      <c r="E302" s="13"/>
      <c r="F302" s="13"/>
      <c r="G302" s="147"/>
      <c r="H302" s="13"/>
      <c r="I302" s="13"/>
      <c r="J302" s="13"/>
      <c r="K302" s="13"/>
      <c r="L302" s="13"/>
      <c r="M302" s="13"/>
      <c r="N302" s="149"/>
      <c r="O302" s="13"/>
      <c r="P302" s="149"/>
      <c r="R302" s="132"/>
      <c r="T302" s="13"/>
    </row>
    <row r="303" spans="1:20" ht="12.75" customHeight="1" x14ac:dyDescent="0.2">
      <c r="A303" s="137"/>
      <c r="B303" s="148"/>
      <c r="C303" s="148"/>
      <c r="D303" s="148"/>
      <c r="E303" s="13"/>
      <c r="F303" s="13"/>
      <c r="G303" s="147"/>
      <c r="H303" s="13"/>
      <c r="I303" s="13"/>
      <c r="J303" s="13"/>
      <c r="K303" s="13"/>
      <c r="L303" s="13"/>
      <c r="M303" s="13"/>
      <c r="N303" s="149"/>
      <c r="O303" s="13"/>
      <c r="P303" s="149"/>
      <c r="R303" s="132"/>
      <c r="T303" s="13"/>
    </row>
    <row r="304" spans="1:20" ht="12.75" customHeight="1" x14ac:dyDescent="0.2">
      <c r="A304" s="137"/>
      <c r="B304" s="148"/>
      <c r="C304" s="148"/>
      <c r="D304" s="148"/>
      <c r="E304" s="13"/>
      <c r="F304" s="13"/>
      <c r="G304" s="147"/>
      <c r="H304" s="13"/>
      <c r="I304" s="13"/>
      <c r="J304" s="13"/>
      <c r="K304" s="13"/>
      <c r="L304" s="13"/>
      <c r="M304" s="13"/>
      <c r="N304" s="149"/>
      <c r="O304" s="13"/>
      <c r="P304" s="149"/>
      <c r="R304" s="132"/>
      <c r="T304" s="13"/>
    </row>
    <row r="305" spans="1:20" ht="12.75" customHeight="1" x14ac:dyDescent="0.2">
      <c r="A305" s="137"/>
      <c r="B305" s="148"/>
      <c r="C305" s="148"/>
      <c r="D305" s="148"/>
      <c r="E305" s="13"/>
      <c r="F305" s="13"/>
      <c r="G305" s="147"/>
      <c r="H305" s="13"/>
      <c r="I305" s="13"/>
      <c r="J305" s="13"/>
      <c r="K305" s="13"/>
      <c r="L305" s="13"/>
      <c r="M305" s="13"/>
      <c r="N305" s="149"/>
      <c r="O305" s="13"/>
      <c r="P305" s="149"/>
      <c r="R305" s="132"/>
      <c r="T305" s="13"/>
    </row>
    <row r="306" spans="1:20" ht="12.75" customHeight="1" x14ac:dyDescent="0.2">
      <c r="A306" s="137"/>
      <c r="B306" s="148"/>
      <c r="C306" s="148"/>
      <c r="D306" s="148"/>
      <c r="E306" s="13"/>
      <c r="F306" s="13"/>
      <c r="G306" s="147"/>
      <c r="H306" s="13"/>
      <c r="I306" s="13"/>
      <c r="J306" s="13"/>
      <c r="K306" s="13"/>
      <c r="L306" s="13"/>
      <c r="M306" s="13"/>
      <c r="N306" s="149"/>
      <c r="O306" s="13"/>
      <c r="P306" s="149"/>
      <c r="R306" s="132"/>
      <c r="T306" s="13"/>
    </row>
    <row r="307" spans="1:20" ht="12.75" customHeight="1" x14ac:dyDescent="0.2">
      <c r="A307" s="137"/>
      <c r="B307" s="148"/>
      <c r="C307" s="148"/>
      <c r="D307" s="148"/>
      <c r="E307" s="13"/>
      <c r="F307" s="13"/>
      <c r="G307" s="147"/>
      <c r="H307" s="13"/>
      <c r="I307" s="13"/>
      <c r="J307" s="13"/>
      <c r="K307" s="13"/>
      <c r="L307" s="13"/>
      <c r="M307" s="13"/>
      <c r="N307" s="149"/>
      <c r="O307" s="13"/>
      <c r="P307" s="149"/>
      <c r="R307" s="132"/>
      <c r="T307" s="13"/>
    </row>
    <row r="308" spans="1:20" ht="12.75" customHeight="1" x14ac:dyDescent="0.2">
      <c r="A308" s="137"/>
      <c r="B308" s="148"/>
      <c r="C308" s="148"/>
      <c r="D308" s="148"/>
      <c r="E308" s="13"/>
      <c r="F308" s="13"/>
      <c r="G308" s="147"/>
      <c r="H308" s="13"/>
      <c r="I308" s="13"/>
      <c r="J308" s="13"/>
      <c r="K308" s="13"/>
      <c r="L308" s="13"/>
      <c r="M308" s="13"/>
      <c r="N308" s="149"/>
      <c r="O308" s="13"/>
      <c r="P308" s="149"/>
      <c r="R308" s="132"/>
      <c r="T308" s="13"/>
    </row>
    <row r="309" spans="1:20" ht="12.75" customHeight="1" x14ac:dyDescent="0.2">
      <c r="A309" s="137"/>
      <c r="B309" s="148"/>
      <c r="C309" s="148"/>
      <c r="D309" s="148"/>
      <c r="E309" s="13"/>
      <c r="F309" s="13"/>
      <c r="G309" s="147"/>
      <c r="H309" s="13"/>
      <c r="I309" s="13"/>
      <c r="J309" s="13"/>
      <c r="K309" s="13"/>
      <c r="L309" s="13"/>
      <c r="M309" s="13"/>
      <c r="N309" s="149"/>
      <c r="O309" s="13"/>
      <c r="P309" s="149"/>
      <c r="R309" s="132"/>
      <c r="T309" s="13"/>
    </row>
    <row r="310" spans="1:20" ht="12.75" customHeight="1" x14ac:dyDescent="0.2">
      <c r="A310" s="137"/>
      <c r="B310" s="148"/>
      <c r="C310" s="148"/>
      <c r="D310" s="148"/>
      <c r="E310" s="13"/>
      <c r="F310" s="13"/>
      <c r="G310" s="147"/>
      <c r="H310" s="13"/>
      <c r="I310" s="13"/>
      <c r="J310" s="13"/>
      <c r="K310" s="13"/>
      <c r="L310" s="13"/>
      <c r="M310" s="13"/>
      <c r="N310" s="149"/>
      <c r="O310" s="13"/>
      <c r="P310" s="149"/>
      <c r="R310" s="132"/>
      <c r="T310" s="13"/>
    </row>
    <row r="311" spans="1:20" ht="12.75" customHeight="1" x14ac:dyDescent="0.2">
      <c r="A311" s="137"/>
      <c r="B311" s="148"/>
      <c r="C311" s="148"/>
      <c r="D311" s="148"/>
      <c r="E311" s="13"/>
      <c r="F311" s="13"/>
      <c r="G311" s="147"/>
      <c r="H311" s="13"/>
      <c r="I311" s="13"/>
      <c r="J311" s="13"/>
      <c r="K311" s="13"/>
      <c r="L311" s="13"/>
      <c r="M311" s="13"/>
      <c r="N311" s="149"/>
      <c r="O311" s="13"/>
      <c r="P311" s="149"/>
      <c r="R311" s="132"/>
      <c r="T311" s="13"/>
    </row>
    <row r="312" spans="1:20" ht="12.75" customHeight="1" x14ac:dyDescent="0.2">
      <c r="A312" s="137"/>
      <c r="B312" s="148"/>
      <c r="C312" s="148"/>
      <c r="D312" s="148"/>
      <c r="E312" s="13"/>
      <c r="F312" s="13"/>
      <c r="G312" s="147"/>
      <c r="H312" s="13"/>
      <c r="I312" s="13"/>
      <c r="J312" s="13"/>
      <c r="K312" s="13"/>
      <c r="L312" s="13"/>
      <c r="M312" s="13"/>
      <c r="N312" s="149"/>
      <c r="O312" s="13"/>
      <c r="P312" s="149"/>
      <c r="R312" s="132"/>
      <c r="T312" s="13"/>
    </row>
    <row r="313" spans="1:20" ht="12.75" customHeight="1" x14ac:dyDescent="0.2">
      <c r="A313" s="137"/>
      <c r="B313" s="148"/>
      <c r="C313" s="148"/>
      <c r="D313" s="148"/>
      <c r="E313" s="13"/>
      <c r="F313" s="13"/>
      <c r="G313" s="147"/>
      <c r="H313" s="13"/>
      <c r="I313" s="13"/>
      <c r="J313" s="13"/>
      <c r="K313" s="13"/>
      <c r="L313" s="13"/>
      <c r="M313" s="13"/>
      <c r="N313" s="149"/>
      <c r="O313" s="13"/>
      <c r="P313" s="149"/>
      <c r="R313" s="132"/>
      <c r="T313" s="13"/>
    </row>
    <row r="314" spans="1:20" ht="12.75" customHeight="1" x14ac:dyDescent="0.2">
      <c r="A314" s="137"/>
      <c r="B314" s="148"/>
      <c r="C314" s="148"/>
      <c r="D314" s="148"/>
      <c r="E314" s="13"/>
      <c r="F314" s="13"/>
      <c r="G314" s="147"/>
      <c r="H314" s="13"/>
      <c r="I314" s="13"/>
      <c r="J314" s="13"/>
      <c r="K314" s="13"/>
      <c r="L314" s="13"/>
      <c r="M314" s="13"/>
      <c r="N314" s="149"/>
      <c r="O314" s="13"/>
      <c r="P314" s="149"/>
      <c r="R314" s="132"/>
      <c r="T314" s="13"/>
    </row>
    <row r="315" spans="1:20" ht="12.75" customHeight="1" x14ac:dyDescent="0.2">
      <c r="A315" s="137"/>
      <c r="B315" s="148"/>
      <c r="C315" s="148"/>
      <c r="D315" s="148"/>
      <c r="E315" s="13"/>
      <c r="F315" s="13"/>
      <c r="G315" s="147"/>
      <c r="H315" s="13"/>
      <c r="I315" s="13"/>
      <c r="J315" s="13"/>
      <c r="K315" s="13"/>
      <c r="L315" s="13"/>
      <c r="M315" s="13"/>
      <c r="N315" s="149"/>
      <c r="O315" s="13"/>
      <c r="P315" s="149"/>
      <c r="R315" s="132"/>
      <c r="T315" s="13"/>
    </row>
    <row r="316" spans="1:20" ht="12.75" customHeight="1" x14ac:dyDescent="0.2">
      <c r="A316" s="137"/>
      <c r="B316" s="148"/>
      <c r="C316" s="148"/>
      <c r="D316" s="148"/>
      <c r="E316" s="13"/>
      <c r="F316" s="13"/>
      <c r="G316" s="147"/>
      <c r="H316" s="13"/>
      <c r="I316" s="13"/>
      <c r="J316" s="13"/>
      <c r="K316" s="13"/>
      <c r="L316" s="13"/>
      <c r="M316" s="13"/>
      <c r="N316" s="149"/>
      <c r="O316" s="13"/>
      <c r="P316" s="149"/>
      <c r="R316" s="132"/>
      <c r="T316" s="13"/>
    </row>
    <row r="317" spans="1:20" ht="12.75" customHeight="1" x14ac:dyDescent="0.2">
      <c r="A317" s="137"/>
      <c r="B317" s="148"/>
      <c r="C317" s="148"/>
      <c r="D317" s="148"/>
      <c r="E317" s="13"/>
      <c r="F317" s="13"/>
      <c r="G317" s="147"/>
      <c r="H317" s="13"/>
      <c r="I317" s="13"/>
      <c r="J317" s="13"/>
      <c r="K317" s="13"/>
      <c r="L317" s="13"/>
      <c r="M317" s="13"/>
      <c r="N317" s="149"/>
      <c r="O317" s="13"/>
      <c r="P317" s="149"/>
      <c r="R317" s="132"/>
      <c r="T317" s="13"/>
    </row>
    <row r="318" spans="1:20" ht="12.75" customHeight="1" x14ac:dyDescent="0.2">
      <c r="A318" s="137"/>
      <c r="B318" s="148"/>
      <c r="C318" s="148"/>
      <c r="D318" s="148"/>
      <c r="E318" s="13"/>
      <c r="F318" s="13"/>
      <c r="G318" s="147"/>
      <c r="H318" s="13"/>
      <c r="I318" s="13"/>
      <c r="J318" s="13"/>
      <c r="K318" s="13"/>
      <c r="L318" s="13"/>
      <c r="M318" s="13"/>
      <c r="N318" s="149"/>
      <c r="O318" s="13"/>
      <c r="P318" s="149"/>
      <c r="R318" s="132"/>
      <c r="T318" s="13"/>
    </row>
    <row r="319" spans="1:20" ht="12.75" customHeight="1" x14ac:dyDescent="0.2">
      <c r="A319" s="137"/>
      <c r="B319" s="148"/>
      <c r="C319" s="148"/>
      <c r="D319" s="148"/>
      <c r="E319" s="13"/>
      <c r="F319" s="13"/>
      <c r="G319" s="147"/>
      <c r="H319" s="13"/>
      <c r="I319" s="13"/>
      <c r="J319" s="13"/>
      <c r="K319" s="13"/>
      <c r="L319" s="13"/>
      <c r="M319" s="13"/>
      <c r="N319" s="149"/>
      <c r="O319" s="13"/>
      <c r="P319" s="149"/>
      <c r="R319" s="132"/>
      <c r="T319" s="13"/>
    </row>
    <row r="320" spans="1:20" ht="12.75" customHeight="1" x14ac:dyDescent="0.2">
      <c r="A320" s="137"/>
      <c r="B320" s="148"/>
      <c r="C320" s="148"/>
      <c r="D320" s="148"/>
      <c r="E320" s="13"/>
      <c r="F320" s="13"/>
      <c r="G320" s="147"/>
      <c r="H320" s="13"/>
      <c r="I320" s="13"/>
      <c r="J320" s="13"/>
      <c r="K320" s="13"/>
      <c r="L320" s="13"/>
      <c r="M320" s="13"/>
      <c r="N320" s="149"/>
      <c r="O320" s="13"/>
      <c r="P320" s="149"/>
      <c r="R320" s="132"/>
      <c r="T320" s="13"/>
    </row>
    <row r="321" spans="1:20" ht="12.75" customHeight="1" x14ac:dyDescent="0.2">
      <c r="A321" s="137"/>
      <c r="B321" s="148"/>
      <c r="C321" s="148"/>
      <c r="D321" s="148"/>
      <c r="E321" s="13"/>
      <c r="F321" s="13"/>
      <c r="G321" s="147"/>
      <c r="H321" s="13"/>
      <c r="I321" s="13"/>
      <c r="J321" s="13"/>
      <c r="K321" s="13"/>
      <c r="L321" s="13"/>
      <c r="M321" s="13"/>
      <c r="N321" s="149"/>
      <c r="O321" s="13"/>
      <c r="P321" s="149"/>
      <c r="R321" s="132"/>
      <c r="T321" s="13"/>
    </row>
    <row r="322" spans="1:20" ht="12.75" customHeight="1" x14ac:dyDescent="0.2">
      <c r="A322" s="137"/>
      <c r="B322" s="148"/>
      <c r="C322" s="148"/>
      <c r="D322" s="148"/>
      <c r="E322" s="13"/>
      <c r="F322" s="13"/>
      <c r="G322" s="147"/>
      <c r="H322" s="13"/>
      <c r="I322" s="13"/>
      <c r="J322" s="13"/>
      <c r="K322" s="13"/>
      <c r="L322" s="13"/>
      <c r="M322" s="13"/>
      <c r="N322" s="149"/>
      <c r="O322" s="13"/>
      <c r="P322" s="149"/>
      <c r="R322" s="132"/>
      <c r="T322" s="13"/>
    </row>
    <row r="323" spans="1:20" ht="12.75" customHeight="1" x14ac:dyDescent="0.2">
      <c r="A323" s="137"/>
      <c r="B323" s="148"/>
      <c r="C323" s="148"/>
      <c r="D323" s="148"/>
      <c r="E323" s="13"/>
      <c r="F323" s="13"/>
      <c r="G323" s="147"/>
      <c r="H323" s="13"/>
      <c r="I323" s="13"/>
      <c r="J323" s="13"/>
      <c r="K323" s="13"/>
      <c r="L323" s="13"/>
      <c r="M323" s="13"/>
      <c r="N323" s="149"/>
      <c r="O323" s="13"/>
      <c r="P323" s="149"/>
      <c r="R323" s="132"/>
      <c r="T323" s="13"/>
    </row>
    <row r="324" spans="1:20" ht="12.75" customHeight="1" x14ac:dyDescent="0.2">
      <c r="A324" s="137"/>
      <c r="B324" s="148"/>
      <c r="C324" s="148"/>
      <c r="D324" s="148"/>
      <c r="E324" s="13"/>
      <c r="F324" s="13"/>
      <c r="G324" s="147"/>
      <c r="H324" s="13"/>
      <c r="I324" s="13"/>
      <c r="J324" s="13"/>
      <c r="K324" s="13"/>
      <c r="L324" s="13"/>
      <c r="M324" s="13"/>
      <c r="N324" s="149"/>
      <c r="O324" s="13"/>
      <c r="P324" s="149"/>
      <c r="R324" s="132"/>
      <c r="T324" s="13"/>
    </row>
    <row r="325" spans="1:20" ht="12.75" customHeight="1" x14ac:dyDescent="0.2">
      <c r="A325" s="137"/>
      <c r="B325" s="148"/>
      <c r="C325" s="148"/>
      <c r="D325" s="148"/>
      <c r="E325" s="13"/>
      <c r="F325" s="13"/>
      <c r="G325" s="147"/>
      <c r="H325" s="13"/>
      <c r="I325" s="13"/>
      <c r="J325" s="13"/>
      <c r="K325" s="13"/>
      <c r="L325" s="13"/>
      <c r="M325" s="13"/>
      <c r="N325" s="149"/>
      <c r="O325" s="13"/>
      <c r="P325" s="149"/>
      <c r="R325" s="132"/>
      <c r="T325" s="13"/>
    </row>
    <row r="326" spans="1:20" ht="12.75" customHeight="1" x14ac:dyDescent="0.2">
      <c r="A326" s="137"/>
      <c r="B326" s="148"/>
      <c r="C326" s="148"/>
      <c r="D326" s="148"/>
      <c r="E326" s="13"/>
      <c r="F326" s="13"/>
      <c r="G326" s="147"/>
      <c r="H326" s="13"/>
      <c r="I326" s="13"/>
      <c r="J326" s="13"/>
      <c r="K326" s="13"/>
      <c r="L326" s="13"/>
      <c r="M326" s="13"/>
      <c r="N326" s="149"/>
      <c r="O326" s="13"/>
      <c r="P326" s="149"/>
      <c r="R326" s="132"/>
      <c r="T326" s="13"/>
    </row>
    <row r="327" spans="1:20" ht="12.75" customHeight="1" x14ac:dyDescent="0.2">
      <c r="A327" s="137"/>
      <c r="B327" s="148"/>
      <c r="C327" s="148"/>
      <c r="D327" s="148"/>
      <c r="E327" s="13"/>
      <c r="F327" s="13"/>
      <c r="G327" s="147"/>
      <c r="H327" s="13"/>
      <c r="I327" s="13"/>
      <c r="J327" s="13"/>
      <c r="K327" s="13"/>
      <c r="L327" s="13"/>
      <c r="M327" s="13"/>
      <c r="N327" s="149"/>
      <c r="O327" s="13"/>
      <c r="P327" s="149"/>
      <c r="R327" s="132"/>
      <c r="T327" s="13"/>
    </row>
    <row r="328" spans="1:20" ht="12.75" customHeight="1" x14ac:dyDescent="0.2">
      <c r="A328" s="137"/>
      <c r="B328" s="148"/>
      <c r="C328" s="148"/>
      <c r="D328" s="148"/>
      <c r="E328" s="13"/>
      <c r="F328" s="13"/>
      <c r="G328" s="147"/>
      <c r="H328" s="13"/>
      <c r="I328" s="13"/>
      <c r="J328" s="13"/>
      <c r="K328" s="13"/>
      <c r="L328" s="13"/>
      <c r="M328" s="13"/>
      <c r="N328" s="149"/>
      <c r="O328" s="13"/>
      <c r="P328" s="149"/>
      <c r="R328" s="132"/>
      <c r="T328" s="13"/>
    </row>
    <row r="329" spans="1:20" ht="12.75" customHeight="1" x14ac:dyDescent="0.2">
      <c r="A329" s="137"/>
      <c r="B329" s="148"/>
      <c r="C329" s="148"/>
      <c r="D329" s="148"/>
      <c r="E329" s="13"/>
      <c r="F329" s="13"/>
      <c r="G329" s="147"/>
      <c r="H329" s="13"/>
      <c r="I329" s="13"/>
      <c r="J329" s="13"/>
      <c r="K329" s="13"/>
      <c r="L329" s="13"/>
      <c r="M329" s="13"/>
      <c r="N329" s="149"/>
      <c r="O329" s="13"/>
      <c r="P329" s="149"/>
      <c r="R329" s="132"/>
      <c r="T329" s="13"/>
    </row>
    <row r="330" spans="1:20" ht="12.75" customHeight="1" x14ac:dyDescent="0.2">
      <c r="A330" s="137"/>
      <c r="B330" s="148"/>
      <c r="C330" s="148"/>
      <c r="D330" s="148"/>
      <c r="E330" s="13"/>
      <c r="F330" s="13"/>
      <c r="G330" s="147"/>
      <c r="H330" s="13"/>
      <c r="I330" s="13"/>
      <c r="J330" s="13"/>
      <c r="K330" s="13"/>
      <c r="L330" s="13"/>
      <c r="M330" s="13"/>
      <c r="N330" s="149"/>
      <c r="O330" s="13"/>
      <c r="P330" s="149"/>
      <c r="R330" s="132"/>
      <c r="T330" s="13"/>
    </row>
    <row r="331" spans="1:20" ht="12.75" customHeight="1" x14ac:dyDescent="0.2">
      <c r="A331" s="137"/>
      <c r="B331" s="148"/>
      <c r="C331" s="148"/>
      <c r="D331" s="148"/>
      <c r="E331" s="13"/>
      <c r="F331" s="13"/>
      <c r="G331" s="147"/>
      <c r="H331" s="13"/>
      <c r="I331" s="13"/>
      <c r="J331" s="13"/>
      <c r="K331" s="13"/>
      <c r="L331" s="13"/>
      <c r="M331" s="13"/>
      <c r="N331" s="149"/>
      <c r="O331" s="13"/>
      <c r="P331" s="149"/>
      <c r="R331" s="132"/>
      <c r="T331" s="13"/>
    </row>
    <row r="332" spans="1:20" ht="12.75" customHeight="1" x14ac:dyDescent="0.2">
      <c r="A332" s="137"/>
      <c r="B332" s="148"/>
      <c r="C332" s="148"/>
      <c r="D332" s="148"/>
      <c r="E332" s="13"/>
      <c r="F332" s="13"/>
      <c r="G332" s="147"/>
      <c r="H332" s="13"/>
      <c r="I332" s="13"/>
      <c r="J332" s="13"/>
      <c r="K332" s="13"/>
      <c r="L332" s="13"/>
      <c r="M332" s="13"/>
      <c r="N332" s="149"/>
      <c r="O332" s="13"/>
      <c r="P332" s="149"/>
      <c r="R332" s="132"/>
      <c r="T332" s="13"/>
    </row>
    <row r="333" spans="1:20" ht="12.75" customHeight="1" x14ac:dyDescent="0.2">
      <c r="A333" s="137"/>
      <c r="B333" s="148"/>
      <c r="C333" s="148"/>
      <c r="D333" s="148"/>
      <c r="E333" s="13"/>
      <c r="F333" s="13"/>
      <c r="G333" s="147"/>
      <c r="H333" s="13"/>
      <c r="I333" s="13"/>
      <c r="J333" s="13"/>
      <c r="K333" s="13"/>
      <c r="L333" s="13"/>
      <c r="M333" s="13"/>
      <c r="N333" s="149"/>
      <c r="O333" s="13"/>
      <c r="P333" s="149"/>
      <c r="R333" s="132"/>
      <c r="T333" s="13"/>
    </row>
    <row r="334" spans="1:20" ht="12.75" customHeight="1" x14ac:dyDescent="0.2">
      <c r="A334" s="137"/>
      <c r="B334" s="148"/>
      <c r="C334" s="148"/>
      <c r="D334" s="148"/>
      <c r="E334" s="13"/>
      <c r="F334" s="13"/>
      <c r="G334" s="147"/>
      <c r="H334" s="13"/>
      <c r="I334" s="13"/>
      <c r="J334" s="13"/>
      <c r="K334" s="13"/>
      <c r="L334" s="13"/>
      <c r="M334" s="13"/>
      <c r="N334" s="149"/>
      <c r="O334" s="13"/>
      <c r="P334" s="149"/>
      <c r="R334" s="132"/>
      <c r="T334" s="13"/>
    </row>
    <row r="335" spans="1:20" ht="12.75" customHeight="1" x14ac:dyDescent="0.2">
      <c r="A335" s="137"/>
      <c r="B335" s="148"/>
      <c r="C335" s="148"/>
      <c r="D335" s="148"/>
      <c r="E335" s="13"/>
      <c r="F335" s="13"/>
      <c r="G335" s="147"/>
      <c r="H335" s="13"/>
      <c r="I335" s="13"/>
      <c r="J335" s="13"/>
      <c r="K335" s="13"/>
      <c r="L335" s="13"/>
      <c r="M335" s="13"/>
      <c r="N335" s="149"/>
      <c r="O335" s="13"/>
      <c r="P335" s="149"/>
      <c r="R335" s="132"/>
      <c r="T335" s="13"/>
    </row>
    <row r="336" spans="1:20" ht="12.75" customHeight="1" x14ac:dyDescent="0.2">
      <c r="A336" s="137"/>
      <c r="B336" s="148"/>
      <c r="C336" s="148"/>
      <c r="D336" s="148"/>
      <c r="E336" s="13"/>
      <c r="F336" s="13"/>
      <c r="G336" s="147"/>
      <c r="H336" s="13"/>
      <c r="I336" s="13"/>
      <c r="J336" s="13"/>
      <c r="K336" s="13"/>
      <c r="L336" s="13"/>
      <c r="M336" s="13"/>
      <c r="N336" s="149"/>
      <c r="O336" s="13"/>
      <c r="P336" s="149"/>
      <c r="R336" s="132"/>
      <c r="T336" s="13"/>
    </row>
    <row r="337" spans="1:20" ht="12.75" customHeight="1" x14ac:dyDescent="0.2">
      <c r="A337" s="137"/>
      <c r="B337" s="148"/>
      <c r="C337" s="148"/>
      <c r="D337" s="148"/>
      <c r="E337" s="13"/>
      <c r="F337" s="13"/>
      <c r="G337" s="147"/>
      <c r="H337" s="13"/>
      <c r="I337" s="13"/>
      <c r="J337" s="13"/>
      <c r="K337" s="13"/>
      <c r="L337" s="13"/>
      <c r="M337" s="13"/>
      <c r="N337" s="149"/>
      <c r="O337" s="13"/>
      <c r="P337" s="149"/>
      <c r="R337" s="132"/>
      <c r="T337" s="13"/>
    </row>
    <row r="338" spans="1:20" ht="12.75" customHeight="1" x14ac:dyDescent="0.2">
      <c r="A338" s="137"/>
      <c r="B338" s="148"/>
      <c r="C338" s="148"/>
      <c r="D338" s="148"/>
      <c r="E338" s="13"/>
      <c r="F338" s="13"/>
      <c r="G338" s="147"/>
      <c r="H338" s="13"/>
      <c r="I338" s="13"/>
      <c r="J338" s="13"/>
      <c r="K338" s="13"/>
      <c r="L338" s="13"/>
      <c r="M338" s="13"/>
      <c r="N338" s="149"/>
      <c r="O338" s="13"/>
      <c r="P338" s="149"/>
      <c r="R338" s="132"/>
      <c r="T338" s="13"/>
    </row>
    <row r="339" spans="1:20" ht="12.75" customHeight="1" x14ac:dyDescent="0.2">
      <c r="A339" s="137"/>
      <c r="B339" s="148"/>
      <c r="C339" s="148"/>
      <c r="D339" s="148"/>
      <c r="E339" s="13"/>
      <c r="F339" s="13"/>
      <c r="G339" s="147"/>
      <c r="H339" s="13"/>
      <c r="I339" s="13"/>
      <c r="J339" s="13"/>
      <c r="K339" s="13"/>
      <c r="L339" s="13"/>
      <c r="M339" s="13"/>
      <c r="N339" s="149"/>
      <c r="O339" s="13"/>
      <c r="P339" s="149"/>
      <c r="R339" s="132"/>
      <c r="T339" s="13"/>
    </row>
    <row r="340" spans="1:20" ht="12.75" customHeight="1" x14ac:dyDescent="0.2">
      <c r="A340" s="137"/>
      <c r="B340" s="148"/>
      <c r="C340" s="148"/>
      <c r="D340" s="148"/>
      <c r="E340" s="13"/>
      <c r="F340" s="13"/>
      <c r="G340" s="147"/>
      <c r="H340" s="13"/>
      <c r="I340" s="13"/>
      <c r="J340" s="13"/>
      <c r="K340" s="13"/>
      <c r="L340" s="13"/>
      <c r="M340" s="13"/>
      <c r="N340" s="149"/>
      <c r="O340" s="13"/>
      <c r="P340" s="149"/>
      <c r="R340" s="132"/>
      <c r="T340" s="13"/>
    </row>
    <row r="341" spans="1:20" ht="12.75" customHeight="1" x14ac:dyDescent="0.2">
      <c r="A341" s="137"/>
      <c r="B341" s="148"/>
      <c r="C341" s="148"/>
      <c r="D341" s="148"/>
      <c r="E341" s="13"/>
      <c r="F341" s="13"/>
      <c r="G341" s="147"/>
      <c r="H341" s="13"/>
      <c r="I341" s="13"/>
      <c r="J341" s="13"/>
      <c r="K341" s="13"/>
      <c r="L341" s="13"/>
      <c r="M341" s="13"/>
      <c r="N341" s="149"/>
      <c r="O341" s="13"/>
      <c r="P341" s="149"/>
      <c r="R341" s="132"/>
      <c r="T341" s="13"/>
    </row>
    <row r="342" spans="1:20" ht="12.75" customHeight="1" x14ac:dyDescent="0.2">
      <c r="A342" s="137"/>
      <c r="B342" s="148"/>
      <c r="C342" s="148"/>
      <c r="D342" s="148"/>
      <c r="E342" s="13"/>
      <c r="F342" s="13"/>
      <c r="G342" s="147"/>
      <c r="H342" s="13"/>
      <c r="I342" s="13"/>
      <c r="J342" s="13"/>
      <c r="K342" s="13"/>
      <c r="L342" s="13"/>
      <c r="M342" s="13"/>
      <c r="N342" s="149"/>
      <c r="O342" s="13"/>
      <c r="P342" s="149"/>
      <c r="R342" s="132"/>
      <c r="T342" s="13"/>
    </row>
    <row r="343" spans="1:20" ht="12.75" customHeight="1" x14ac:dyDescent="0.2">
      <c r="A343" s="137"/>
      <c r="B343" s="148"/>
      <c r="C343" s="148"/>
      <c r="D343" s="148"/>
      <c r="E343" s="13"/>
      <c r="F343" s="13"/>
      <c r="G343" s="147"/>
      <c r="H343" s="13"/>
      <c r="I343" s="13"/>
      <c r="J343" s="13"/>
      <c r="K343" s="13"/>
      <c r="L343" s="13"/>
      <c r="M343" s="13"/>
      <c r="N343" s="149"/>
      <c r="O343" s="13"/>
      <c r="P343" s="149"/>
      <c r="R343" s="132"/>
      <c r="T343" s="13"/>
    </row>
    <row r="344" spans="1:20" ht="12.75" customHeight="1" x14ac:dyDescent="0.2">
      <c r="A344" s="137"/>
      <c r="B344" s="148"/>
      <c r="C344" s="148"/>
      <c r="D344" s="148"/>
      <c r="E344" s="13"/>
      <c r="F344" s="13"/>
      <c r="G344" s="147"/>
      <c r="H344" s="13"/>
      <c r="I344" s="13"/>
      <c r="J344" s="13"/>
      <c r="K344" s="13"/>
      <c r="L344" s="13"/>
      <c r="M344" s="13"/>
      <c r="N344" s="149"/>
      <c r="O344" s="13"/>
      <c r="P344" s="149"/>
      <c r="R344" s="132"/>
      <c r="T344" s="13"/>
    </row>
    <row r="345" spans="1:20" ht="12.75" customHeight="1" x14ac:dyDescent="0.2">
      <c r="A345" s="137"/>
      <c r="B345" s="148"/>
      <c r="C345" s="148"/>
      <c r="D345" s="148"/>
      <c r="E345" s="13"/>
      <c r="F345" s="13"/>
      <c r="G345" s="147"/>
      <c r="H345" s="13"/>
      <c r="I345" s="13"/>
      <c r="J345" s="13"/>
      <c r="K345" s="13"/>
      <c r="L345" s="13"/>
      <c r="M345" s="13"/>
      <c r="N345" s="149"/>
      <c r="O345" s="13"/>
      <c r="P345" s="149"/>
      <c r="R345" s="132"/>
      <c r="T345" s="13"/>
    </row>
    <row r="346" spans="1:20" ht="12.75" customHeight="1" x14ac:dyDescent="0.2">
      <c r="A346" s="137"/>
      <c r="B346" s="148"/>
      <c r="C346" s="148"/>
      <c r="D346" s="148"/>
      <c r="E346" s="13"/>
      <c r="F346" s="13"/>
      <c r="G346" s="147"/>
      <c r="H346" s="13"/>
      <c r="I346" s="13"/>
      <c r="J346" s="13"/>
      <c r="K346" s="13"/>
      <c r="L346" s="13"/>
      <c r="M346" s="13"/>
      <c r="N346" s="149"/>
      <c r="O346" s="13"/>
      <c r="P346" s="149"/>
      <c r="R346" s="132"/>
      <c r="T346" s="13"/>
    </row>
    <row r="347" spans="1:20" ht="12.75" customHeight="1" x14ac:dyDescent="0.2">
      <c r="A347" s="137"/>
      <c r="B347" s="148"/>
      <c r="C347" s="148"/>
      <c r="D347" s="148"/>
      <c r="E347" s="13"/>
      <c r="F347" s="13"/>
      <c r="G347" s="147"/>
      <c r="H347" s="13"/>
      <c r="I347" s="13"/>
      <c r="J347" s="13"/>
      <c r="K347" s="13"/>
      <c r="L347" s="13"/>
      <c r="M347" s="13"/>
      <c r="N347" s="149"/>
      <c r="O347" s="13"/>
      <c r="P347" s="149"/>
      <c r="R347" s="132"/>
      <c r="T347" s="13"/>
    </row>
    <row r="348" spans="1:20" ht="12.75" customHeight="1" x14ac:dyDescent="0.2">
      <c r="A348" s="137"/>
      <c r="B348" s="148"/>
      <c r="C348" s="148"/>
      <c r="D348" s="148"/>
      <c r="E348" s="13"/>
      <c r="F348" s="13"/>
      <c r="G348" s="147"/>
      <c r="H348" s="13"/>
      <c r="I348" s="13"/>
      <c r="J348" s="13"/>
      <c r="K348" s="13"/>
      <c r="L348" s="13"/>
      <c r="M348" s="13"/>
      <c r="N348" s="149"/>
      <c r="O348" s="13"/>
      <c r="P348" s="149"/>
      <c r="R348" s="132"/>
      <c r="T348" s="13"/>
    </row>
    <row r="349" spans="1:20" ht="12.75" customHeight="1" x14ac:dyDescent="0.2">
      <c r="A349" s="137"/>
      <c r="B349" s="148"/>
      <c r="C349" s="148"/>
      <c r="D349" s="148"/>
      <c r="E349" s="13"/>
      <c r="F349" s="13"/>
      <c r="G349" s="147"/>
      <c r="H349" s="13"/>
      <c r="I349" s="13"/>
      <c r="J349" s="13"/>
      <c r="K349" s="13"/>
      <c r="L349" s="13"/>
      <c r="M349" s="13"/>
      <c r="N349" s="149"/>
      <c r="O349" s="13"/>
      <c r="P349" s="149"/>
      <c r="R349" s="132"/>
      <c r="T349" s="13"/>
    </row>
    <row r="350" spans="1:20" ht="12.75" customHeight="1" x14ac:dyDescent="0.2">
      <c r="A350" s="137"/>
      <c r="B350" s="148"/>
      <c r="C350" s="148"/>
      <c r="D350" s="148"/>
      <c r="E350" s="13"/>
      <c r="F350" s="13"/>
      <c r="G350" s="147"/>
      <c r="H350" s="13"/>
      <c r="I350" s="13"/>
      <c r="J350" s="13"/>
      <c r="K350" s="13"/>
      <c r="L350" s="13"/>
      <c r="M350" s="13"/>
      <c r="N350" s="149"/>
      <c r="O350" s="13"/>
      <c r="P350" s="149"/>
      <c r="R350" s="132"/>
      <c r="T350" s="13"/>
    </row>
    <row r="351" spans="1:20" ht="12.75" customHeight="1" x14ac:dyDescent="0.2">
      <c r="A351" s="137"/>
      <c r="B351" s="148"/>
      <c r="C351" s="148"/>
      <c r="D351" s="148"/>
      <c r="E351" s="13"/>
      <c r="F351" s="13"/>
      <c r="G351" s="147"/>
      <c r="H351" s="13"/>
      <c r="I351" s="13"/>
      <c r="J351" s="13"/>
      <c r="K351" s="13"/>
      <c r="L351" s="13"/>
      <c r="M351" s="13"/>
      <c r="N351" s="149"/>
      <c r="O351" s="13"/>
      <c r="P351" s="149"/>
      <c r="R351" s="132"/>
      <c r="T351" s="13"/>
    </row>
    <row r="352" spans="1:20" ht="12.75" customHeight="1" x14ac:dyDescent="0.2">
      <c r="A352" s="137"/>
      <c r="B352" s="148"/>
      <c r="C352" s="148"/>
      <c r="D352" s="148"/>
      <c r="E352" s="13"/>
      <c r="F352" s="13"/>
      <c r="G352" s="147"/>
      <c r="H352" s="13"/>
      <c r="I352" s="13"/>
      <c r="J352" s="13"/>
      <c r="K352" s="13"/>
      <c r="L352" s="13"/>
      <c r="M352" s="13"/>
      <c r="N352" s="149"/>
      <c r="O352" s="13"/>
      <c r="P352" s="149"/>
      <c r="R352" s="132"/>
      <c r="T352" s="13"/>
    </row>
    <row r="353" spans="1:20" ht="12.75" customHeight="1" x14ac:dyDescent="0.2">
      <c r="A353" s="137"/>
      <c r="B353" s="148"/>
      <c r="C353" s="148"/>
      <c r="D353" s="148"/>
      <c r="E353" s="13"/>
      <c r="F353" s="13"/>
      <c r="G353" s="147"/>
      <c r="H353" s="13"/>
      <c r="I353" s="13"/>
      <c r="J353" s="13"/>
      <c r="K353" s="13"/>
      <c r="L353" s="13"/>
      <c r="M353" s="13"/>
      <c r="N353" s="149"/>
      <c r="O353" s="13"/>
      <c r="P353" s="149"/>
      <c r="R353" s="132"/>
      <c r="T353" s="13"/>
    </row>
    <row r="354" spans="1:20" ht="12.75" customHeight="1" x14ac:dyDescent="0.2">
      <c r="A354" s="137"/>
      <c r="B354" s="148"/>
      <c r="C354" s="148"/>
      <c r="D354" s="148"/>
      <c r="E354" s="13"/>
      <c r="F354" s="13"/>
      <c r="G354" s="147"/>
      <c r="H354" s="13"/>
      <c r="I354" s="13"/>
      <c r="J354" s="13"/>
      <c r="K354" s="13"/>
      <c r="L354" s="13"/>
      <c r="M354" s="13"/>
      <c r="N354" s="149"/>
      <c r="O354" s="13"/>
      <c r="P354" s="149"/>
      <c r="R354" s="132"/>
      <c r="T354" s="13"/>
    </row>
    <row r="355" spans="1:20" ht="12.75" customHeight="1" x14ac:dyDescent="0.2">
      <c r="A355" s="137"/>
      <c r="B355" s="148"/>
      <c r="C355" s="148"/>
      <c r="D355" s="148"/>
      <c r="E355" s="13"/>
      <c r="F355" s="13"/>
      <c r="G355" s="147"/>
      <c r="H355" s="13"/>
      <c r="I355" s="13"/>
      <c r="J355" s="13"/>
      <c r="K355" s="13"/>
      <c r="L355" s="13"/>
      <c r="M355" s="13"/>
      <c r="N355" s="149"/>
      <c r="O355" s="13"/>
      <c r="P355" s="149"/>
      <c r="R355" s="132"/>
      <c r="T355" s="13"/>
    </row>
    <row r="356" spans="1:20" ht="12.75" customHeight="1" x14ac:dyDescent="0.2">
      <c r="A356" s="137"/>
      <c r="B356" s="148"/>
      <c r="C356" s="148"/>
      <c r="D356" s="148"/>
      <c r="E356" s="13"/>
      <c r="F356" s="13"/>
      <c r="G356" s="147"/>
      <c r="H356" s="13"/>
      <c r="I356" s="13"/>
      <c r="J356" s="13"/>
      <c r="K356" s="13"/>
      <c r="L356" s="13"/>
      <c r="M356" s="13"/>
      <c r="N356" s="149"/>
      <c r="O356" s="13"/>
      <c r="P356" s="149"/>
      <c r="R356" s="132"/>
      <c r="T356" s="13"/>
    </row>
    <row r="357" spans="1:20" ht="12.75" customHeight="1" x14ac:dyDescent="0.2">
      <c r="A357" s="137"/>
      <c r="B357" s="148"/>
      <c r="C357" s="148"/>
      <c r="D357" s="148"/>
      <c r="E357" s="13"/>
      <c r="F357" s="13"/>
      <c r="G357" s="147"/>
      <c r="H357" s="13"/>
      <c r="I357" s="13"/>
      <c r="J357" s="13"/>
      <c r="K357" s="13"/>
      <c r="L357" s="13"/>
      <c r="M357" s="13"/>
      <c r="N357" s="149"/>
      <c r="O357" s="13"/>
      <c r="P357" s="149"/>
      <c r="R357" s="132"/>
      <c r="T357" s="13"/>
    </row>
    <row r="358" spans="1:20" ht="12.75" customHeight="1" x14ac:dyDescent="0.2">
      <c r="A358" s="137"/>
      <c r="B358" s="148"/>
      <c r="C358" s="148"/>
      <c r="D358" s="148"/>
      <c r="E358" s="13"/>
      <c r="F358" s="13"/>
      <c r="G358" s="147"/>
      <c r="H358" s="13"/>
      <c r="I358" s="13"/>
      <c r="J358" s="13"/>
      <c r="K358" s="13"/>
      <c r="L358" s="13"/>
      <c r="M358" s="13"/>
      <c r="N358" s="149"/>
      <c r="O358" s="13"/>
      <c r="P358" s="149"/>
      <c r="R358" s="132"/>
      <c r="T358" s="13"/>
    </row>
    <row r="359" spans="1:20" ht="12.75" customHeight="1" x14ac:dyDescent="0.2">
      <c r="A359" s="137"/>
      <c r="B359" s="148"/>
      <c r="C359" s="148"/>
      <c r="D359" s="148"/>
      <c r="E359" s="13"/>
      <c r="F359" s="13"/>
      <c r="G359" s="147"/>
      <c r="H359" s="13"/>
      <c r="I359" s="13"/>
      <c r="J359" s="13"/>
      <c r="K359" s="13"/>
      <c r="L359" s="13"/>
      <c r="M359" s="13"/>
      <c r="N359" s="149"/>
      <c r="O359" s="13"/>
      <c r="P359" s="149"/>
      <c r="R359" s="132"/>
      <c r="T359" s="13"/>
    </row>
    <row r="360" spans="1:20" ht="12.75" customHeight="1" x14ac:dyDescent="0.2">
      <c r="A360" s="137"/>
      <c r="B360" s="148"/>
      <c r="C360" s="148"/>
      <c r="D360" s="148"/>
      <c r="E360" s="13"/>
      <c r="F360" s="13"/>
      <c r="G360" s="147"/>
      <c r="H360" s="13"/>
      <c r="I360" s="13"/>
      <c r="J360" s="13"/>
      <c r="K360" s="13"/>
      <c r="L360" s="13"/>
      <c r="M360" s="13"/>
      <c r="N360" s="149"/>
      <c r="O360" s="13"/>
      <c r="P360" s="149"/>
      <c r="R360" s="132"/>
      <c r="T360" s="13"/>
    </row>
    <row r="361" spans="1:20" ht="12.75" customHeight="1" x14ac:dyDescent="0.2">
      <c r="A361" s="137"/>
      <c r="B361" s="148"/>
      <c r="C361" s="148"/>
      <c r="D361" s="148"/>
      <c r="E361" s="13"/>
      <c r="F361" s="13"/>
      <c r="G361" s="147"/>
      <c r="H361" s="13"/>
      <c r="I361" s="13"/>
      <c r="J361" s="13"/>
      <c r="K361" s="13"/>
      <c r="L361" s="13"/>
      <c r="M361" s="13"/>
      <c r="N361" s="149"/>
      <c r="O361" s="13"/>
      <c r="P361" s="149"/>
      <c r="R361" s="132"/>
      <c r="T361" s="13"/>
    </row>
    <row r="362" spans="1:20" ht="12.75" customHeight="1" x14ac:dyDescent="0.2">
      <c r="A362" s="137"/>
      <c r="B362" s="148"/>
      <c r="C362" s="148"/>
      <c r="D362" s="148"/>
      <c r="E362" s="13"/>
      <c r="F362" s="13"/>
      <c r="G362" s="147"/>
      <c r="H362" s="13"/>
      <c r="I362" s="13"/>
      <c r="J362" s="13"/>
      <c r="K362" s="13"/>
      <c r="L362" s="13"/>
      <c r="M362" s="13"/>
      <c r="N362" s="149"/>
      <c r="O362" s="13"/>
      <c r="P362" s="149"/>
      <c r="R362" s="132"/>
      <c r="T362" s="13"/>
    </row>
    <row r="363" spans="1:20" ht="12.75" customHeight="1" x14ac:dyDescent="0.2">
      <c r="A363" s="137"/>
      <c r="B363" s="148"/>
      <c r="C363" s="148"/>
      <c r="D363" s="148"/>
      <c r="E363" s="13"/>
      <c r="F363" s="13"/>
      <c r="G363" s="147"/>
      <c r="H363" s="13"/>
      <c r="I363" s="13"/>
      <c r="J363" s="13"/>
      <c r="K363" s="13"/>
      <c r="L363" s="13"/>
      <c r="M363" s="13"/>
      <c r="N363" s="149"/>
      <c r="O363" s="13"/>
      <c r="P363" s="149"/>
      <c r="R363" s="132"/>
      <c r="T363" s="13"/>
    </row>
    <row r="364" spans="1:20" ht="12.75" customHeight="1" x14ac:dyDescent="0.2">
      <c r="A364" s="137"/>
      <c r="B364" s="148"/>
      <c r="C364" s="148"/>
      <c r="D364" s="148"/>
      <c r="E364" s="13"/>
      <c r="F364" s="13"/>
      <c r="G364" s="147"/>
      <c r="H364" s="13"/>
      <c r="I364" s="13"/>
      <c r="J364" s="13"/>
      <c r="K364" s="13"/>
      <c r="L364" s="13"/>
      <c r="M364" s="13"/>
      <c r="N364" s="149"/>
      <c r="O364" s="13"/>
      <c r="P364" s="149"/>
      <c r="R364" s="132"/>
      <c r="T364" s="13"/>
    </row>
    <row r="365" spans="1:20" ht="12.75" customHeight="1" x14ac:dyDescent="0.2">
      <c r="A365" s="137"/>
      <c r="B365" s="148"/>
      <c r="C365" s="148"/>
      <c r="D365" s="148"/>
      <c r="E365" s="13"/>
      <c r="F365" s="13"/>
      <c r="G365" s="147"/>
      <c r="H365" s="13"/>
      <c r="I365" s="13"/>
      <c r="J365" s="13"/>
      <c r="K365" s="13"/>
      <c r="L365" s="13"/>
      <c r="M365" s="13"/>
      <c r="N365" s="149"/>
      <c r="O365" s="13"/>
      <c r="P365" s="149"/>
      <c r="R365" s="132"/>
      <c r="T365" s="13"/>
    </row>
    <row r="366" spans="1:20" ht="12.75" customHeight="1" x14ac:dyDescent="0.2">
      <c r="A366" s="137"/>
      <c r="B366" s="148"/>
      <c r="C366" s="148"/>
      <c r="D366" s="148"/>
      <c r="E366" s="13"/>
      <c r="F366" s="13"/>
      <c r="G366" s="147"/>
      <c r="H366" s="13"/>
      <c r="I366" s="13"/>
      <c r="J366" s="13"/>
      <c r="K366" s="13"/>
      <c r="L366" s="13"/>
      <c r="M366" s="13"/>
      <c r="N366" s="149"/>
      <c r="O366" s="13"/>
      <c r="P366" s="149"/>
      <c r="R366" s="132"/>
      <c r="T366" s="13"/>
    </row>
    <row r="367" spans="1:20" ht="12.75" customHeight="1" x14ac:dyDescent="0.2">
      <c r="A367" s="137"/>
      <c r="B367" s="148"/>
      <c r="C367" s="148"/>
      <c r="D367" s="148"/>
      <c r="E367" s="13"/>
      <c r="F367" s="13"/>
      <c r="G367" s="147"/>
      <c r="H367" s="13"/>
      <c r="I367" s="13"/>
      <c r="J367" s="13"/>
      <c r="K367" s="13"/>
      <c r="L367" s="13"/>
      <c r="M367" s="13"/>
      <c r="N367" s="149"/>
      <c r="O367" s="13"/>
      <c r="P367" s="149"/>
      <c r="R367" s="132"/>
      <c r="T367" s="13"/>
    </row>
    <row r="368" spans="1:20" ht="12.75" customHeight="1" x14ac:dyDescent="0.2">
      <c r="A368" s="137"/>
      <c r="B368" s="148"/>
      <c r="C368" s="148"/>
      <c r="D368" s="148"/>
      <c r="E368" s="13"/>
      <c r="F368" s="13"/>
      <c r="G368" s="147"/>
      <c r="H368" s="13"/>
      <c r="I368" s="13"/>
      <c r="J368" s="13"/>
      <c r="K368" s="13"/>
      <c r="L368" s="13"/>
      <c r="M368" s="13"/>
      <c r="N368" s="149"/>
      <c r="O368" s="13"/>
      <c r="P368" s="149"/>
      <c r="R368" s="132"/>
      <c r="T368" s="13"/>
    </row>
    <row r="369" spans="1:20" ht="12.75" customHeight="1" x14ac:dyDescent="0.2">
      <c r="A369" s="137"/>
      <c r="B369" s="148"/>
      <c r="C369" s="148"/>
      <c r="D369" s="148"/>
      <c r="E369" s="13"/>
      <c r="F369" s="13"/>
      <c r="G369" s="147"/>
      <c r="H369" s="13"/>
      <c r="I369" s="13"/>
      <c r="J369" s="13"/>
      <c r="K369" s="13"/>
      <c r="L369" s="13"/>
      <c r="M369" s="13"/>
      <c r="N369" s="149"/>
      <c r="O369" s="13"/>
      <c r="P369" s="149"/>
      <c r="R369" s="132"/>
      <c r="T369" s="13"/>
    </row>
    <row r="370" spans="1:20" ht="12.75" customHeight="1" x14ac:dyDescent="0.2">
      <c r="A370" s="137"/>
      <c r="B370" s="148"/>
      <c r="C370" s="148"/>
      <c r="D370" s="148"/>
      <c r="E370" s="13"/>
      <c r="F370" s="13"/>
      <c r="G370" s="147"/>
      <c r="H370" s="13"/>
      <c r="I370" s="13"/>
      <c r="J370" s="13"/>
      <c r="K370" s="13"/>
      <c r="L370" s="13"/>
      <c r="M370" s="13"/>
      <c r="N370" s="149"/>
      <c r="O370" s="13"/>
      <c r="P370" s="149"/>
      <c r="R370" s="132"/>
      <c r="T370" s="13"/>
    </row>
    <row r="371" spans="1:20" ht="12.75" customHeight="1" x14ac:dyDescent="0.2">
      <c r="A371" s="137"/>
      <c r="B371" s="148"/>
      <c r="C371" s="148"/>
      <c r="D371" s="148"/>
      <c r="E371" s="13"/>
      <c r="F371" s="13"/>
      <c r="G371" s="147"/>
      <c r="H371" s="13"/>
      <c r="I371" s="13"/>
      <c r="J371" s="13"/>
      <c r="K371" s="13"/>
      <c r="L371" s="13"/>
      <c r="M371" s="13"/>
      <c r="N371" s="149"/>
      <c r="O371" s="13"/>
      <c r="P371" s="149"/>
      <c r="R371" s="132"/>
      <c r="T371" s="13"/>
    </row>
    <row r="372" spans="1:20" ht="12.75" customHeight="1" x14ac:dyDescent="0.2">
      <c r="A372" s="137"/>
      <c r="B372" s="148"/>
      <c r="C372" s="148"/>
      <c r="D372" s="148"/>
      <c r="E372" s="13"/>
      <c r="F372" s="13"/>
      <c r="G372" s="147"/>
      <c r="H372" s="13"/>
      <c r="I372" s="13"/>
      <c r="J372" s="13"/>
      <c r="K372" s="13"/>
      <c r="L372" s="13"/>
      <c r="M372" s="13"/>
      <c r="N372" s="149"/>
      <c r="O372" s="13"/>
      <c r="P372" s="149"/>
      <c r="R372" s="132"/>
      <c r="T372" s="13"/>
    </row>
    <row r="373" spans="1:20" ht="12.75" customHeight="1" x14ac:dyDescent="0.2">
      <c r="A373" s="137"/>
      <c r="B373" s="148"/>
      <c r="C373" s="148"/>
      <c r="D373" s="148"/>
      <c r="E373" s="13"/>
      <c r="F373" s="13"/>
      <c r="G373" s="147"/>
      <c r="H373" s="13"/>
      <c r="I373" s="13"/>
      <c r="J373" s="13"/>
      <c r="K373" s="13"/>
      <c r="L373" s="13"/>
      <c r="M373" s="13"/>
      <c r="N373" s="149"/>
      <c r="O373" s="13"/>
      <c r="P373" s="149"/>
      <c r="R373" s="132"/>
      <c r="T373" s="13"/>
    </row>
    <row r="374" spans="1:20" ht="12.75" customHeight="1" x14ac:dyDescent="0.2">
      <c r="A374" s="137"/>
      <c r="B374" s="148"/>
      <c r="C374" s="148"/>
      <c r="D374" s="148"/>
      <c r="E374" s="13"/>
      <c r="F374" s="13"/>
      <c r="G374" s="147"/>
      <c r="H374" s="13"/>
      <c r="I374" s="13"/>
      <c r="J374" s="13"/>
      <c r="K374" s="13"/>
      <c r="L374" s="13"/>
      <c r="M374" s="13"/>
      <c r="N374" s="149"/>
      <c r="O374" s="13"/>
      <c r="P374" s="149"/>
      <c r="R374" s="132"/>
      <c r="T374" s="13"/>
    </row>
    <row r="375" spans="1:20" ht="12.75" customHeight="1" x14ac:dyDescent="0.2">
      <c r="A375" s="137"/>
      <c r="B375" s="148"/>
      <c r="C375" s="148"/>
      <c r="D375" s="148"/>
      <c r="E375" s="13"/>
      <c r="F375" s="13"/>
      <c r="G375" s="147"/>
      <c r="H375" s="13"/>
      <c r="I375" s="13"/>
      <c r="J375" s="13"/>
      <c r="K375" s="13"/>
      <c r="L375" s="13"/>
      <c r="M375" s="13"/>
      <c r="N375" s="149"/>
      <c r="O375" s="13"/>
      <c r="P375" s="149"/>
      <c r="R375" s="132"/>
      <c r="T375" s="13"/>
    </row>
    <row r="376" spans="1:20" ht="12.75" customHeight="1" x14ac:dyDescent="0.2">
      <c r="A376" s="137"/>
      <c r="B376" s="148"/>
      <c r="C376" s="148"/>
      <c r="D376" s="148"/>
      <c r="E376" s="13"/>
      <c r="F376" s="13"/>
      <c r="G376" s="147"/>
      <c r="H376" s="13"/>
      <c r="I376" s="13"/>
      <c r="J376" s="13"/>
      <c r="K376" s="13"/>
      <c r="L376" s="13"/>
      <c r="M376" s="13"/>
      <c r="N376" s="149"/>
      <c r="O376" s="13"/>
      <c r="P376" s="149"/>
      <c r="R376" s="132"/>
      <c r="T376" s="13"/>
    </row>
    <row r="377" spans="1:20" ht="12.75" customHeight="1" x14ac:dyDescent="0.2">
      <c r="A377" s="137"/>
      <c r="B377" s="148"/>
      <c r="C377" s="148"/>
      <c r="D377" s="148"/>
      <c r="E377" s="13"/>
      <c r="F377" s="13"/>
      <c r="G377" s="147"/>
      <c r="H377" s="13"/>
      <c r="I377" s="13"/>
      <c r="J377" s="13"/>
      <c r="K377" s="13"/>
      <c r="L377" s="13"/>
      <c r="M377" s="13"/>
      <c r="N377" s="149"/>
      <c r="O377" s="13"/>
      <c r="P377" s="149"/>
      <c r="R377" s="132"/>
      <c r="T377" s="13"/>
    </row>
    <row r="378" spans="1:20" ht="12.75" customHeight="1" x14ac:dyDescent="0.2">
      <c r="A378" s="137"/>
      <c r="B378" s="148"/>
      <c r="C378" s="148"/>
      <c r="D378" s="148"/>
      <c r="E378" s="13"/>
      <c r="F378" s="13"/>
      <c r="G378" s="147"/>
      <c r="H378" s="13"/>
      <c r="I378" s="13"/>
      <c r="J378" s="13"/>
      <c r="K378" s="13"/>
      <c r="L378" s="13"/>
      <c r="M378" s="13"/>
      <c r="N378" s="149"/>
      <c r="O378" s="13"/>
      <c r="P378" s="149"/>
      <c r="R378" s="132"/>
      <c r="T378" s="13"/>
    </row>
    <row r="379" spans="1:20" ht="12.75" customHeight="1" x14ac:dyDescent="0.2">
      <c r="A379" s="137"/>
      <c r="B379" s="148"/>
      <c r="C379" s="148"/>
      <c r="D379" s="148"/>
      <c r="E379" s="13"/>
      <c r="F379" s="13"/>
      <c r="G379" s="147"/>
      <c r="H379" s="13"/>
      <c r="I379" s="13"/>
      <c r="J379" s="13"/>
      <c r="K379" s="13"/>
      <c r="L379" s="13"/>
      <c r="M379" s="13"/>
      <c r="N379" s="149"/>
      <c r="O379" s="13"/>
      <c r="P379" s="149"/>
      <c r="R379" s="132"/>
      <c r="T379" s="13"/>
    </row>
    <row r="380" spans="1:20" ht="12.75" customHeight="1" x14ac:dyDescent="0.2">
      <c r="A380" s="137"/>
      <c r="B380" s="148"/>
      <c r="C380" s="148"/>
      <c r="D380" s="148"/>
      <c r="E380" s="13"/>
      <c r="F380" s="13"/>
      <c r="G380" s="147"/>
      <c r="H380" s="13"/>
      <c r="I380" s="13"/>
      <c r="J380" s="13"/>
      <c r="K380" s="13"/>
      <c r="L380" s="13"/>
      <c r="M380" s="13"/>
      <c r="N380" s="149"/>
      <c r="O380" s="13"/>
      <c r="P380" s="149"/>
      <c r="R380" s="132"/>
      <c r="T380" s="13"/>
    </row>
    <row r="381" spans="1:20" ht="12.75" customHeight="1" x14ac:dyDescent="0.2">
      <c r="A381" s="137"/>
      <c r="B381" s="148"/>
      <c r="C381" s="148"/>
      <c r="D381" s="148"/>
      <c r="E381" s="13"/>
      <c r="F381" s="13"/>
      <c r="G381" s="147"/>
      <c r="H381" s="13"/>
      <c r="I381" s="13"/>
      <c r="J381" s="13"/>
      <c r="K381" s="13"/>
      <c r="L381" s="13"/>
      <c r="M381" s="13"/>
      <c r="N381" s="149"/>
      <c r="O381" s="13"/>
      <c r="P381" s="149"/>
      <c r="R381" s="132"/>
      <c r="T381" s="13"/>
    </row>
    <row r="382" spans="1:20" ht="12.75" customHeight="1" x14ac:dyDescent="0.2">
      <c r="A382" s="137"/>
      <c r="B382" s="148"/>
      <c r="C382" s="148"/>
      <c r="D382" s="148"/>
      <c r="E382" s="13"/>
      <c r="F382" s="13"/>
      <c r="G382" s="147"/>
      <c r="H382" s="13"/>
      <c r="I382" s="13"/>
      <c r="J382" s="13"/>
      <c r="K382" s="13"/>
      <c r="L382" s="13"/>
      <c r="M382" s="13"/>
      <c r="N382" s="149"/>
      <c r="O382" s="13"/>
      <c r="P382" s="149"/>
      <c r="R382" s="132"/>
      <c r="T382" s="13"/>
    </row>
    <row r="383" spans="1:20" ht="12.75" customHeight="1" x14ac:dyDescent="0.2">
      <c r="A383" s="137"/>
      <c r="B383" s="148"/>
      <c r="C383" s="148"/>
      <c r="D383" s="148"/>
      <c r="E383" s="13"/>
      <c r="F383" s="13"/>
      <c r="G383" s="147"/>
      <c r="H383" s="13"/>
      <c r="I383" s="13"/>
      <c r="J383" s="13"/>
      <c r="K383" s="13"/>
      <c r="L383" s="13"/>
      <c r="M383" s="13"/>
      <c r="N383" s="149"/>
      <c r="O383" s="13"/>
      <c r="P383" s="149"/>
      <c r="R383" s="132"/>
      <c r="T383" s="13"/>
    </row>
    <row r="384" spans="1:20" ht="12.75" customHeight="1" x14ac:dyDescent="0.2">
      <c r="A384" s="137"/>
      <c r="B384" s="148"/>
      <c r="C384" s="148"/>
      <c r="D384" s="148"/>
      <c r="E384" s="13"/>
      <c r="F384" s="13"/>
      <c r="G384" s="147"/>
      <c r="H384" s="13"/>
      <c r="I384" s="13"/>
      <c r="J384" s="13"/>
      <c r="K384" s="13"/>
      <c r="L384" s="13"/>
      <c r="M384" s="13"/>
      <c r="N384" s="149"/>
      <c r="O384" s="13"/>
      <c r="P384" s="149"/>
      <c r="R384" s="132"/>
      <c r="T384" s="13"/>
    </row>
    <row r="385" spans="1:20" ht="12.75" customHeight="1" x14ac:dyDescent="0.2">
      <c r="A385" s="137"/>
      <c r="B385" s="148"/>
      <c r="C385" s="148"/>
      <c r="D385" s="148"/>
      <c r="E385" s="13"/>
      <c r="F385" s="13"/>
      <c r="G385" s="147"/>
      <c r="H385" s="13"/>
      <c r="I385" s="13"/>
      <c r="J385" s="13"/>
      <c r="K385" s="13"/>
      <c r="L385" s="13"/>
      <c r="M385" s="13"/>
      <c r="N385" s="149"/>
      <c r="O385" s="13"/>
      <c r="P385" s="149"/>
      <c r="R385" s="132"/>
      <c r="T385" s="13"/>
    </row>
    <row r="386" spans="1:20" ht="12.75" customHeight="1" x14ac:dyDescent="0.2">
      <c r="A386" s="137"/>
      <c r="B386" s="148"/>
      <c r="C386" s="148"/>
      <c r="D386" s="148"/>
      <c r="E386" s="13"/>
      <c r="F386" s="13"/>
      <c r="G386" s="147"/>
      <c r="H386" s="13"/>
      <c r="I386" s="13"/>
      <c r="J386" s="13"/>
      <c r="K386" s="13"/>
      <c r="L386" s="13"/>
      <c r="M386" s="13"/>
      <c r="N386" s="149"/>
      <c r="O386" s="13"/>
      <c r="P386" s="149"/>
      <c r="R386" s="132"/>
      <c r="T386" s="13"/>
    </row>
    <row r="387" spans="1:20" ht="12.75" customHeight="1" x14ac:dyDescent="0.2">
      <c r="A387" s="137"/>
      <c r="B387" s="148"/>
      <c r="C387" s="148"/>
      <c r="D387" s="148"/>
      <c r="E387" s="13"/>
      <c r="F387" s="13"/>
      <c r="G387" s="147"/>
      <c r="H387" s="13"/>
      <c r="I387" s="13"/>
      <c r="J387" s="13"/>
      <c r="K387" s="13"/>
      <c r="L387" s="13"/>
      <c r="M387" s="13"/>
      <c r="N387" s="149"/>
      <c r="O387" s="13"/>
      <c r="P387" s="149"/>
      <c r="R387" s="132"/>
      <c r="T387" s="13"/>
    </row>
    <row r="388" spans="1:20" ht="12.75" customHeight="1" x14ac:dyDescent="0.2">
      <c r="A388" s="137"/>
      <c r="B388" s="148"/>
      <c r="C388" s="148"/>
      <c r="D388" s="148"/>
      <c r="E388" s="13"/>
      <c r="F388" s="13"/>
      <c r="G388" s="147"/>
      <c r="H388" s="13"/>
      <c r="I388" s="13"/>
      <c r="J388" s="13"/>
      <c r="K388" s="13"/>
      <c r="L388" s="13"/>
      <c r="M388" s="13"/>
      <c r="N388" s="149"/>
      <c r="O388" s="13"/>
      <c r="P388" s="149"/>
      <c r="R388" s="132"/>
      <c r="T388" s="13"/>
    </row>
    <row r="389" spans="1:20" ht="12.75" customHeight="1" x14ac:dyDescent="0.2">
      <c r="A389" s="137"/>
      <c r="B389" s="148"/>
      <c r="C389" s="148"/>
      <c r="D389" s="148"/>
      <c r="E389" s="13"/>
      <c r="F389" s="13"/>
      <c r="G389" s="147"/>
      <c r="H389" s="13"/>
      <c r="I389" s="13"/>
      <c r="J389" s="13"/>
      <c r="K389" s="13"/>
      <c r="L389" s="13"/>
      <c r="M389" s="13"/>
      <c r="N389" s="149"/>
      <c r="O389" s="13"/>
      <c r="P389" s="149"/>
      <c r="R389" s="132"/>
      <c r="T389" s="13"/>
    </row>
    <row r="390" spans="1:20" ht="12.75" customHeight="1" x14ac:dyDescent="0.2">
      <c r="A390" s="137"/>
      <c r="B390" s="148"/>
      <c r="C390" s="148"/>
      <c r="D390" s="148"/>
      <c r="E390" s="13"/>
      <c r="F390" s="13"/>
      <c r="G390" s="147"/>
      <c r="H390" s="13"/>
      <c r="I390" s="13"/>
      <c r="J390" s="13"/>
      <c r="K390" s="13"/>
      <c r="L390" s="13"/>
      <c r="M390" s="13"/>
      <c r="N390" s="149"/>
      <c r="O390" s="13"/>
      <c r="P390" s="149"/>
      <c r="R390" s="132"/>
      <c r="T390" s="13"/>
    </row>
    <row r="391" spans="1:20" ht="12.75" customHeight="1" x14ac:dyDescent="0.2">
      <c r="A391" s="137"/>
      <c r="B391" s="148"/>
      <c r="C391" s="148"/>
      <c r="D391" s="148"/>
      <c r="E391" s="13"/>
      <c r="F391" s="13"/>
      <c r="G391" s="147"/>
      <c r="H391" s="13"/>
      <c r="I391" s="13"/>
      <c r="J391" s="13"/>
      <c r="K391" s="13"/>
      <c r="L391" s="13"/>
      <c r="M391" s="13"/>
      <c r="N391" s="149"/>
      <c r="O391" s="13"/>
      <c r="P391" s="149"/>
      <c r="R391" s="132"/>
      <c r="T391" s="13"/>
    </row>
    <row r="392" spans="1:20" ht="12.75" customHeight="1" x14ac:dyDescent="0.2">
      <c r="A392" s="137"/>
      <c r="B392" s="148"/>
      <c r="C392" s="148"/>
      <c r="D392" s="148"/>
      <c r="E392" s="13"/>
      <c r="F392" s="13"/>
      <c r="G392" s="147"/>
      <c r="H392" s="13"/>
      <c r="I392" s="13"/>
      <c r="J392" s="13"/>
      <c r="K392" s="13"/>
      <c r="L392" s="13"/>
      <c r="M392" s="13"/>
      <c r="N392" s="149"/>
      <c r="O392" s="13"/>
      <c r="P392" s="149"/>
      <c r="R392" s="132"/>
      <c r="T392" s="13"/>
    </row>
    <row r="393" spans="1:20" ht="12.75" customHeight="1" x14ac:dyDescent="0.2">
      <c r="A393" s="137"/>
      <c r="B393" s="148"/>
      <c r="C393" s="148"/>
      <c r="D393" s="148"/>
      <c r="E393" s="13"/>
      <c r="F393" s="13"/>
      <c r="G393" s="147"/>
      <c r="H393" s="13"/>
      <c r="I393" s="13"/>
      <c r="J393" s="13"/>
      <c r="K393" s="13"/>
      <c r="L393" s="13"/>
      <c r="M393" s="13"/>
      <c r="N393" s="149"/>
      <c r="O393" s="13"/>
      <c r="P393" s="149"/>
      <c r="R393" s="132"/>
      <c r="T393" s="13"/>
    </row>
    <row r="394" spans="1:20" ht="12.75" customHeight="1" x14ac:dyDescent="0.2">
      <c r="A394" s="137"/>
      <c r="B394" s="148"/>
      <c r="C394" s="148"/>
      <c r="D394" s="148"/>
      <c r="E394" s="13"/>
      <c r="F394" s="13"/>
      <c r="G394" s="147"/>
      <c r="H394" s="13"/>
      <c r="I394" s="13"/>
      <c r="J394" s="13"/>
      <c r="K394" s="13"/>
      <c r="L394" s="13"/>
      <c r="M394" s="13"/>
      <c r="N394" s="149"/>
      <c r="O394" s="13"/>
      <c r="P394" s="149"/>
      <c r="R394" s="132"/>
      <c r="T394" s="13"/>
    </row>
    <row r="395" spans="1:20" ht="12.75" customHeight="1" x14ac:dyDescent="0.2">
      <c r="A395" s="137"/>
      <c r="B395" s="148"/>
      <c r="C395" s="148"/>
      <c r="D395" s="148"/>
      <c r="E395" s="13"/>
      <c r="F395" s="13"/>
      <c r="G395" s="147"/>
      <c r="H395" s="13"/>
      <c r="I395" s="13"/>
      <c r="J395" s="13"/>
      <c r="K395" s="13"/>
      <c r="L395" s="13"/>
      <c r="M395" s="13"/>
      <c r="N395" s="149"/>
      <c r="O395" s="13"/>
      <c r="P395" s="149"/>
      <c r="R395" s="132"/>
      <c r="T395" s="13"/>
    </row>
    <row r="396" spans="1:20" ht="12.75" customHeight="1" x14ac:dyDescent="0.2">
      <c r="A396" s="137"/>
      <c r="B396" s="148"/>
      <c r="C396" s="148"/>
      <c r="D396" s="148"/>
      <c r="E396" s="13"/>
      <c r="F396" s="13"/>
      <c r="G396" s="147"/>
      <c r="H396" s="13"/>
      <c r="I396" s="13"/>
      <c r="J396" s="13"/>
      <c r="K396" s="13"/>
      <c r="L396" s="13"/>
      <c r="M396" s="13"/>
      <c r="N396" s="149"/>
      <c r="O396" s="13"/>
      <c r="P396" s="149"/>
      <c r="R396" s="132"/>
      <c r="T396" s="13"/>
    </row>
    <row r="397" spans="1:20" ht="12.75" customHeight="1" x14ac:dyDescent="0.2">
      <c r="A397" s="137"/>
      <c r="B397" s="148"/>
      <c r="C397" s="148"/>
      <c r="D397" s="148"/>
      <c r="E397" s="13"/>
      <c r="F397" s="13"/>
      <c r="G397" s="147"/>
      <c r="H397" s="13"/>
      <c r="I397" s="13"/>
      <c r="J397" s="13"/>
      <c r="K397" s="13"/>
      <c r="L397" s="13"/>
      <c r="M397" s="13"/>
      <c r="N397" s="149"/>
      <c r="O397" s="13"/>
      <c r="P397" s="149"/>
      <c r="R397" s="132"/>
      <c r="T397" s="13"/>
    </row>
    <row r="398" spans="1:20" ht="12.75" customHeight="1" x14ac:dyDescent="0.2">
      <c r="A398" s="137"/>
      <c r="B398" s="148"/>
      <c r="C398" s="148"/>
      <c r="D398" s="148"/>
      <c r="E398" s="13"/>
      <c r="F398" s="13"/>
      <c r="G398" s="147"/>
      <c r="H398" s="13"/>
      <c r="I398" s="13"/>
      <c r="J398" s="13"/>
      <c r="K398" s="13"/>
      <c r="L398" s="13"/>
      <c r="M398" s="13"/>
      <c r="N398" s="149"/>
      <c r="O398" s="13"/>
      <c r="P398" s="149"/>
      <c r="R398" s="132"/>
      <c r="T398" s="13"/>
    </row>
    <row r="399" spans="1:20" ht="12.75" customHeight="1" x14ac:dyDescent="0.2">
      <c r="A399" s="137"/>
      <c r="B399" s="148"/>
      <c r="C399" s="148"/>
      <c r="D399" s="148"/>
      <c r="E399" s="13"/>
      <c r="F399" s="13"/>
      <c r="G399" s="147"/>
      <c r="H399" s="13"/>
      <c r="I399" s="13"/>
      <c r="J399" s="13"/>
      <c r="K399" s="13"/>
      <c r="L399" s="13"/>
      <c r="M399" s="13"/>
      <c r="N399" s="149"/>
      <c r="O399" s="13"/>
      <c r="P399" s="149"/>
      <c r="R399" s="132"/>
      <c r="T399" s="13"/>
    </row>
    <row r="400" spans="1:20" ht="12.75" customHeight="1" x14ac:dyDescent="0.2">
      <c r="A400" s="137"/>
      <c r="B400" s="148"/>
      <c r="C400" s="148"/>
      <c r="D400" s="148"/>
      <c r="E400" s="13"/>
      <c r="F400" s="13"/>
      <c r="G400" s="147"/>
      <c r="H400" s="13"/>
      <c r="I400" s="13"/>
      <c r="J400" s="13"/>
      <c r="K400" s="13"/>
      <c r="L400" s="13"/>
      <c r="M400" s="13"/>
      <c r="N400" s="149"/>
      <c r="O400" s="13"/>
      <c r="P400" s="149"/>
      <c r="R400" s="132"/>
      <c r="T400" s="13"/>
    </row>
    <row r="401" spans="1:20" ht="12.75" customHeight="1" x14ac:dyDescent="0.2">
      <c r="A401" s="137"/>
      <c r="B401" s="148"/>
      <c r="C401" s="148"/>
      <c r="D401" s="148"/>
      <c r="E401" s="13"/>
      <c r="F401" s="13"/>
      <c r="G401" s="147"/>
      <c r="H401" s="13"/>
      <c r="I401" s="13"/>
      <c r="J401" s="13"/>
      <c r="K401" s="13"/>
      <c r="L401" s="13"/>
      <c r="M401" s="13"/>
      <c r="N401" s="149"/>
      <c r="O401" s="13"/>
      <c r="P401" s="149"/>
      <c r="R401" s="132"/>
      <c r="T401" s="13"/>
    </row>
    <row r="402" spans="1:20" ht="12.75" customHeight="1" x14ac:dyDescent="0.2">
      <c r="A402" s="137"/>
      <c r="B402" s="148"/>
      <c r="C402" s="148"/>
      <c r="D402" s="148"/>
      <c r="E402" s="13"/>
      <c r="F402" s="13"/>
      <c r="G402" s="147"/>
      <c r="H402" s="13"/>
      <c r="I402" s="13"/>
      <c r="J402" s="13"/>
      <c r="K402" s="13"/>
      <c r="L402" s="13"/>
      <c r="M402" s="13"/>
      <c r="N402" s="149"/>
      <c r="O402" s="13"/>
      <c r="P402" s="149"/>
      <c r="R402" s="132"/>
      <c r="T402" s="13"/>
    </row>
    <row r="403" spans="1:20" ht="12.75" customHeight="1" x14ac:dyDescent="0.2">
      <c r="A403" s="137"/>
      <c r="B403" s="148"/>
      <c r="C403" s="148"/>
      <c r="D403" s="148"/>
      <c r="E403" s="13"/>
      <c r="F403" s="13"/>
      <c r="G403" s="147"/>
      <c r="H403" s="13"/>
      <c r="I403" s="13"/>
      <c r="J403" s="13"/>
      <c r="K403" s="13"/>
      <c r="L403" s="13"/>
      <c r="M403" s="13"/>
      <c r="N403" s="149"/>
      <c r="O403" s="13"/>
      <c r="P403" s="149"/>
      <c r="R403" s="132"/>
      <c r="T403" s="13"/>
    </row>
    <row r="404" spans="1:20" ht="12.75" customHeight="1" x14ac:dyDescent="0.2">
      <c r="A404" s="137"/>
      <c r="B404" s="148"/>
      <c r="C404" s="148"/>
      <c r="D404" s="148"/>
      <c r="E404" s="13"/>
      <c r="F404" s="13"/>
      <c r="G404" s="147"/>
      <c r="H404" s="13"/>
      <c r="I404" s="13"/>
      <c r="J404" s="13"/>
      <c r="K404" s="13"/>
      <c r="L404" s="13"/>
      <c r="M404" s="13"/>
      <c r="N404" s="149"/>
      <c r="O404" s="13"/>
      <c r="P404" s="149"/>
      <c r="R404" s="132"/>
      <c r="T404" s="13"/>
    </row>
    <row r="405" spans="1:20" ht="12.75" customHeight="1" x14ac:dyDescent="0.2">
      <c r="A405" s="137"/>
      <c r="B405" s="148"/>
      <c r="C405" s="148"/>
      <c r="D405" s="148"/>
      <c r="E405" s="13"/>
      <c r="F405" s="13"/>
      <c r="G405" s="147"/>
      <c r="H405" s="13"/>
      <c r="I405" s="13"/>
      <c r="J405" s="13"/>
      <c r="K405" s="13"/>
      <c r="L405" s="13"/>
      <c r="M405" s="13"/>
      <c r="N405" s="149"/>
      <c r="O405" s="13"/>
      <c r="P405" s="149"/>
      <c r="R405" s="132"/>
      <c r="T405" s="13"/>
    </row>
    <row r="406" spans="1:20" ht="12.75" customHeight="1" x14ac:dyDescent="0.2">
      <c r="A406" s="137"/>
      <c r="B406" s="148"/>
      <c r="C406" s="148"/>
      <c r="D406" s="148"/>
      <c r="E406" s="13"/>
      <c r="F406" s="13"/>
      <c r="G406" s="147"/>
      <c r="H406" s="13"/>
      <c r="I406" s="13"/>
      <c r="J406" s="13"/>
      <c r="K406" s="13"/>
      <c r="L406" s="13"/>
      <c r="M406" s="13"/>
      <c r="N406" s="149"/>
      <c r="O406" s="13"/>
      <c r="P406" s="149"/>
      <c r="R406" s="132"/>
      <c r="T406" s="13"/>
    </row>
    <row r="407" spans="1:20" ht="12.75" customHeight="1" x14ac:dyDescent="0.2">
      <c r="A407" s="137"/>
      <c r="B407" s="148"/>
      <c r="C407" s="148"/>
      <c r="D407" s="148"/>
      <c r="E407" s="13"/>
      <c r="F407" s="13"/>
      <c r="G407" s="147"/>
      <c r="H407" s="13"/>
      <c r="I407" s="13"/>
      <c r="J407" s="13"/>
      <c r="K407" s="13"/>
      <c r="L407" s="13"/>
      <c r="M407" s="13"/>
      <c r="N407" s="149"/>
      <c r="O407" s="13"/>
      <c r="P407" s="149"/>
      <c r="R407" s="132"/>
      <c r="T407" s="13"/>
    </row>
    <row r="408" spans="1:20" ht="12.75" customHeight="1" x14ac:dyDescent="0.2">
      <c r="A408" s="137"/>
      <c r="B408" s="148"/>
      <c r="C408" s="148"/>
      <c r="D408" s="148"/>
      <c r="E408" s="13"/>
      <c r="F408" s="13"/>
      <c r="G408" s="147"/>
      <c r="H408" s="13"/>
      <c r="I408" s="13"/>
      <c r="J408" s="13"/>
      <c r="K408" s="13"/>
      <c r="L408" s="13"/>
      <c r="M408" s="13"/>
      <c r="N408" s="149"/>
      <c r="O408" s="13"/>
      <c r="P408" s="149"/>
      <c r="R408" s="132"/>
      <c r="T408" s="13"/>
    </row>
    <row r="409" spans="1:20" ht="12.75" customHeight="1" x14ac:dyDescent="0.2">
      <c r="A409" s="137"/>
      <c r="B409" s="148"/>
      <c r="C409" s="148"/>
      <c r="D409" s="148"/>
      <c r="E409" s="13"/>
      <c r="F409" s="13"/>
      <c r="G409" s="147"/>
      <c r="H409" s="13"/>
      <c r="I409" s="13"/>
      <c r="J409" s="13"/>
      <c r="K409" s="13"/>
      <c r="L409" s="13"/>
      <c r="M409" s="13"/>
      <c r="N409" s="149"/>
      <c r="O409" s="13"/>
      <c r="P409" s="149"/>
      <c r="R409" s="132"/>
      <c r="T409" s="13"/>
    </row>
    <row r="410" spans="1:20" ht="12.75" customHeight="1" x14ac:dyDescent="0.2">
      <c r="A410" s="137"/>
      <c r="B410" s="148"/>
      <c r="C410" s="148"/>
      <c r="D410" s="148"/>
      <c r="E410" s="13"/>
      <c r="F410" s="13"/>
      <c r="G410" s="147"/>
      <c r="H410" s="13"/>
      <c r="I410" s="13"/>
      <c r="J410" s="13"/>
      <c r="K410" s="13"/>
      <c r="L410" s="13"/>
      <c r="M410" s="13"/>
      <c r="N410" s="149"/>
      <c r="O410" s="13"/>
      <c r="P410" s="149"/>
      <c r="R410" s="132"/>
      <c r="T410" s="13"/>
    </row>
    <row r="411" spans="1:20" ht="12.75" customHeight="1" x14ac:dyDescent="0.2">
      <c r="A411" s="137"/>
      <c r="B411" s="148"/>
      <c r="C411" s="148"/>
      <c r="D411" s="148"/>
      <c r="E411" s="13"/>
      <c r="F411" s="13"/>
      <c r="G411" s="147"/>
      <c r="H411" s="13"/>
      <c r="I411" s="13"/>
      <c r="J411" s="13"/>
      <c r="K411" s="13"/>
      <c r="L411" s="13"/>
      <c r="M411" s="13"/>
      <c r="N411" s="149"/>
      <c r="O411" s="13"/>
      <c r="P411" s="149"/>
      <c r="R411" s="132"/>
      <c r="T411" s="13"/>
    </row>
    <row r="412" spans="1:20" ht="12.75" customHeight="1" x14ac:dyDescent="0.2">
      <c r="A412" s="137"/>
      <c r="B412" s="148"/>
      <c r="C412" s="148"/>
      <c r="D412" s="148"/>
      <c r="E412" s="13"/>
      <c r="F412" s="13"/>
      <c r="G412" s="147"/>
      <c r="H412" s="13"/>
      <c r="I412" s="13"/>
      <c r="J412" s="13"/>
      <c r="K412" s="13"/>
      <c r="L412" s="13"/>
      <c r="M412" s="13"/>
      <c r="N412" s="149"/>
      <c r="O412" s="13"/>
      <c r="P412" s="149"/>
      <c r="R412" s="132"/>
      <c r="T412" s="13"/>
    </row>
    <row r="413" spans="1:20" ht="12.75" customHeight="1" x14ac:dyDescent="0.2">
      <c r="A413" s="137"/>
      <c r="B413" s="148"/>
      <c r="C413" s="148"/>
      <c r="D413" s="148"/>
      <c r="E413" s="13"/>
      <c r="F413" s="13"/>
      <c r="G413" s="147"/>
      <c r="H413" s="13"/>
      <c r="I413" s="13"/>
      <c r="J413" s="13"/>
      <c r="K413" s="13"/>
      <c r="L413" s="13"/>
      <c r="M413" s="13"/>
      <c r="N413" s="149"/>
      <c r="O413" s="13"/>
      <c r="P413" s="149"/>
      <c r="R413" s="132"/>
      <c r="T413" s="13"/>
    </row>
    <row r="414" spans="1:20" ht="12.75" customHeight="1" x14ac:dyDescent="0.2">
      <c r="A414" s="137"/>
      <c r="B414" s="148"/>
      <c r="C414" s="148"/>
      <c r="D414" s="148"/>
      <c r="E414" s="13"/>
      <c r="F414" s="13"/>
      <c r="G414" s="147"/>
      <c r="H414" s="13"/>
      <c r="I414" s="13"/>
      <c r="J414" s="13"/>
      <c r="K414" s="13"/>
      <c r="L414" s="13"/>
      <c r="M414" s="13"/>
      <c r="N414" s="149"/>
      <c r="O414" s="13"/>
      <c r="P414" s="149"/>
      <c r="R414" s="132"/>
      <c r="T414" s="13"/>
    </row>
    <row r="415" spans="1:20" ht="12.75" customHeight="1" x14ac:dyDescent="0.2">
      <c r="A415" s="137"/>
      <c r="B415" s="148"/>
      <c r="C415" s="148"/>
      <c r="D415" s="148"/>
      <c r="E415" s="13"/>
      <c r="F415" s="13"/>
      <c r="G415" s="147"/>
      <c r="H415" s="13"/>
      <c r="I415" s="13"/>
      <c r="J415" s="13"/>
      <c r="K415" s="13"/>
      <c r="L415" s="13"/>
      <c r="M415" s="13"/>
      <c r="N415" s="149"/>
      <c r="O415" s="13"/>
      <c r="P415" s="149"/>
      <c r="R415" s="132"/>
      <c r="T415" s="13"/>
    </row>
    <row r="416" spans="1:20" ht="12.75" customHeight="1" x14ac:dyDescent="0.2">
      <c r="A416" s="137"/>
      <c r="B416" s="148"/>
      <c r="C416" s="148"/>
      <c r="D416" s="148"/>
      <c r="E416" s="13"/>
      <c r="F416" s="13"/>
      <c r="G416" s="147"/>
      <c r="H416" s="13"/>
      <c r="I416" s="13"/>
      <c r="J416" s="13"/>
      <c r="K416" s="13"/>
      <c r="L416" s="13"/>
      <c r="M416" s="13"/>
      <c r="N416" s="149"/>
      <c r="O416" s="13"/>
      <c r="P416" s="149"/>
      <c r="R416" s="132"/>
      <c r="T416" s="13"/>
    </row>
    <row r="417" spans="1:20" ht="12.75" customHeight="1" x14ac:dyDescent="0.2">
      <c r="A417" s="137"/>
      <c r="B417" s="148"/>
      <c r="C417" s="148"/>
      <c r="D417" s="148"/>
      <c r="E417" s="13"/>
      <c r="F417" s="13"/>
      <c r="G417" s="147"/>
      <c r="H417" s="13"/>
      <c r="I417" s="13"/>
      <c r="J417" s="13"/>
      <c r="K417" s="13"/>
      <c r="L417" s="13"/>
      <c r="M417" s="13"/>
      <c r="N417" s="149"/>
      <c r="O417" s="13"/>
      <c r="P417" s="149"/>
      <c r="R417" s="132"/>
      <c r="T417" s="13"/>
    </row>
    <row r="418" spans="1:20" ht="12.75" customHeight="1" x14ac:dyDescent="0.2">
      <c r="A418" s="137"/>
      <c r="B418" s="148"/>
      <c r="C418" s="148"/>
      <c r="D418" s="148"/>
      <c r="E418" s="13"/>
      <c r="F418" s="13"/>
      <c r="G418" s="147"/>
      <c r="H418" s="13"/>
      <c r="I418" s="13"/>
      <c r="J418" s="13"/>
      <c r="K418" s="13"/>
      <c r="L418" s="13"/>
      <c r="M418" s="13"/>
      <c r="N418" s="149"/>
      <c r="O418" s="13"/>
      <c r="P418" s="149"/>
      <c r="R418" s="132"/>
      <c r="T418" s="13"/>
    </row>
    <row r="419" spans="1:20" ht="12.75" customHeight="1" x14ac:dyDescent="0.2">
      <c r="A419" s="137"/>
      <c r="B419" s="148"/>
      <c r="C419" s="148"/>
      <c r="D419" s="148"/>
      <c r="E419" s="13"/>
      <c r="F419" s="13"/>
      <c r="G419" s="147"/>
      <c r="H419" s="13"/>
      <c r="I419" s="13"/>
      <c r="J419" s="13"/>
      <c r="K419" s="13"/>
      <c r="L419" s="13"/>
      <c r="M419" s="13"/>
      <c r="N419" s="149"/>
      <c r="O419" s="13"/>
      <c r="P419" s="149"/>
      <c r="R419" s="132"/>
      <c r="T419" s="13"/>
    </row>
    <row r="420" spans="1:20" ht="12.75" customHeight="1" x14ac:dyDescent="0.2">
      <c r="A420" s="137"/>
      <c r="B420" s="148"/>
      <c r="C420" s="148"/>
      <c r="D420" s="148"/>
      <c r="E420" s="13"/>
      <c r="F420" s="13"/>
      <c r="G420" s="147"/>
      <c r="H420" s="13"/>
      <c r="I420" s="13"/>
      <c r="J420" s="13"/>
      <c r="K420" s="13"/>
      <c r="L420" s="13"/>
      <c r="M420" s="13"/>
      <c r="N420" s="149"/>
      <c r="O420" s="13"/>
      <c r="P420" s="149"/>
      <c r="R420" s="132"/>
      <c r="T420" s="13"/>
    </row>
    <row r="421" spans="1:20" ht="12.75" customHeight="1" x14ac:dyDescent="0.2">
      <c r="A421" s="137"/>
      <c r="B421" s="148"/>
      <c r="C421" s="148"/>
      <c r="D421" s="148"/>
      <c r="E421" s="13"/>
      <c r="F421" s="13"/>
      <c r="G421" s="147"/>
      <c r="H421" s="13"/>
      <c r="I421" s="13"/>
      <c r="J421" s="13"/>
      <c r="K421" s="13"/>
      <c r="L421" s="13"/>
      <c r="M421" s="13"/>
      <c r="N421" s="149"/>
      <c r="O421" s="13"/>
      <c r="P421" s="149"/>
      <c r="R421" s="132"/>
      <c r="T421" s="13"/>
    </row>
    <row r="422" spans="1:20" ht="12.75" customHeight="1" x14ac:dyDescent="0.2">
      <c r="A422" s="137"/>
      <c r="B422" s="148"/>
      <c r="C422" s="148"/>
      <c r="D422" s="148"/>
      <c r="E422" s="13"/>
      <c r="F422" s="13"/>
      <c r="G422" s="147"/>
      <c r="H422" s="13"/>
      <c r="I422" s="13"/>
      <c r="J422" s="13"/>
      <c r="K422" s="13"/>
      <c r="L422" s="13"/>
      <c r="M422" s="13"/>
      <c r="N422" s="149"/>
      <c r="O422" s="13"/>
      <c r="P422" s="149"/>
      <c r="R422" s="132"/>
      <c r="T422" s="13"/>
    </row>
    <row r="423" spans="1:20" ht="12.75" customHeight="1" x14ac:dyDescent="0.2">
      <c r="A423" s="137"/>
      <c r="B423" s="148"/>
      <c r="C423" s="148"/>
      <c r="D423" s="148"/>
      <c r="E423" s="13"/>
      <c r="F423" s="13"/>
      <c r="G423" s="147"/>
      <c r="H423" s="13"/>
      <c r="I423" s="13"/>
      <c r="J423" s="13"/>
      <c r="K423" s="13"/>
      <c r="L423" s="13"/>
      <c r="M423" s="13"/>
      <c r="N423" s="149"/>
      <c r="O423" s="13"/>
      <c r="P423" s="149"/>
      <c r="R423" s="132"/>
      <c r="T423" s="13"/>
    </row>
    <row r="424" spans="1:20" ht="12.75" customHeight="1" x14ac:dyDescent="0.2">
      <c r="A424" s="137"/>
      <c r="B424" s="148"/>
      <c r="C424" s="148"/>
      <c r="D424" s="148"/>
      <c r="E424" s="13"/>
      <c r="F424" s="13"/>
      <c r="G424" s="147"/>
      <c r="H424" s="13"/>
      <c r="I424" s="13"/>
      <c r="J424" s="13"/>
      <c r="K424" s="13"/>
      <c r="L424" s="13"/>
      <c r="M424" s="13"/>
      <c r="N424" s="149"/>
      <c r="O424" s="13"/>
      <c r="P424" s="149"/>
      <c r="R424" s="132"/>
      <c r="T424" s="13"/>
    </row>
    <row r="425" spans="1:20" ht="12.75" customHeight="1" x14ac:dyDescent="0.2">
      <c r="A425" s="137"/>
      <c r="B425" s="148"/>
      <c r="C425" s="148"/>
      <c r="D425" s="148"/>
      <c r="E425" s="13"/>
      <c r="F425" s="13"/>
      <c r="G425" s="147"/>
      <c r="H425" s="13"/>
      <c r="I425" s="13"/>
      <c r="J425" s="13"/>
      <c r="K425" s="13"/>
      <c r="L425" s="13"/>
      <c r="M425" s="13"/>
      <c r="N425" s="149"/>
      <c r="O425" s="13"/>
      <c r="P425" s="149"/>
      <c r="R425" s="132"/>
      <c r="T425" s="13"/>
    </row>
    <row r="426" spans="1:20" ht="12.75" customHeight="1" x14ac:dyDescent="0.2">
      <c r="A426" s="137"/>
      <c r="B426" s="148"/>
      <c r="C426" s="148"/>
      <c r="D426" s="148"/>
      <c r="E426" s="13"/>
      <c r="F426" s="13"/>
      <c r="G426" s="147"/>
      <c r="H426" s="13"/>
      <c r="I426" s="13"/>
      <c r="J426" s="13"/>
      <c r="K426" s="13"/>
      <c r="L426" s="13"/>
      <c r="M426" s="13"/>
      <c r="N426" s="149"/>
      <c r="O426" s="13"/>
      <c r="P426" s="149"/>
      <c r="R426" s="132"/>
      <c r="T426" s="13"/>
    </row>
    <row r="427" spans="1:20" ht="12.75" customHeight="1" x14ac:dyDescent="0.2">
      <c r="A427" s="137"/>
      <c r="B427" s="148"/>
      <c r="C427" s="148"/>
      <c r="D427" s="148"/>
      <c r="E427" s="13"/>
      <c r="F427" s="13"/>
      <c r="G427" s="147"/>
      <c r="H427" s="13"/>
      <c r="I427" s="13"/>
      <c r="J427" s="13"/>
      <c r="K427" s="13"/>
      <c r="L427" s="13"/>
      <c r="M427" s="13"/>
      <c r="N427" s="149"/>
      <c r="O427" s="13"/>
      <c r="P427" s="149"/>
      <c r="R427" s="132"/>
      <c r="T427" s="13"/>
    </row>
    <row r="428" spans="1:20" ht="12.75" customHeight="1" x14ac:dyDescent="0.2">
      <c r="A428" s="137"/>
      <c r="B428" s="148"/>
      <c r="C428" s="148"/>
      <c r="D428" s="148"/>
      <c r="E428" s="13"/>
      <c r="F428" s="13"/>
      <c r="G428" s="147"/>
      <c r="H428" s="13"/>
      <c r="I428" s="13"/>
      <c r="J428" s="13"/>
      <c r="K428" s="13"/>
      <c r="L428" s="13"/>
      <c r="M428" s="13"/>
      <c r="N428" s="149"/>
      <c r="O428" s="13"/>
      <c r="P428" s="149"/>
      <c r="R428" s="132"/>
      <c r="T428" s="13"/>
    </row>
    <row r="429" spans="1:20" ht="12.75" customHeight="1" x14ac:dyDescent="0.2">
      <c r="A429" s="137"/>
      <c r="B429" s="148"/>
      <c r="C429" s="148"/>
      <c r="D429" s="148"/>
      <c r="E429" s="13"/>
      <c r="F429" s="13"/>
      <c r="G429" s="147"/>
      <c r="H429" s="13"/>
      <c r="I429" s="13"/>
      <c r="J429" s="13"/>
      <c r="K429" s="13"/>
      <c r="L429" s="13"/>
      <c r="M429" s="13"/>
      <c r="N429" s="149"/>
      <c r="O429" s="13"/>
      <c r="P429" s="149"/>
      <c r="R429" s="132"/>
      <c r="T429" s="13"/>
    </row>
    <row r="430" spans="1:20" ht="12.75" customHeight="1" x14ac:dyDescent="0.2">
      <c r="A430" s="137"/>
      <c r="B430" s="148"/>
      <c r="C430" s="148"/>
      <c r="D430" s="148"/>
      <c r="E430" s="13"/>
      <c r="F430" s="13"/>
      <c r="G430" s="147"/>
      <c r="H430" s="13"/>
      <c r="I430" s="13"/>
      <c r="J430" s="13"/>
      <c r="K430" s="13"/>
      <c r="L430" s="13"/>
      <c r="M430" s="13"/>
      <c r="N430" s="149"/>
      <c r="O430" s="13"/>
      <c r="P430" s="149"/>
      <c r="R430" s="132"/>
      <c r="T430" s="13"/>
    </row>
    <row r="431" spans="1:20" ht="12.75" customHeight="1" x14ac:dyDescent="0.2">
      <c r="A431" s="137"/>
      <c r="B431" s="148"/>
      <c r="C431" s="148"/>
      <c r="D431" s="148"/>
      <c r="E431" s="13"/>
      <c r="F431" s="13"/>
      <c r="G431" s="147"/>
      <c r="H431" s="13"/>
      <c r="I431" s="13"/>
      <c r="J431" s="13"/>
      <c r="K431" s="13"/>
      <c r="L431" s="13"/>
      <c r="M431" s="13"/>
      <c r="N431" s="149"/>
      <c r="O431" s="13"/>
      <c r="P431" s="149"/>
      <c r="R431" s="132"/>
      <c r="T431" s="13"/>
    </row>
    <row r="432" spans="1:20" ht="12.75" customHeight="1" x14ac:dyDescent="0.2">
      <c r="A432" s="137"/>
      <c r="B432" s="148"/>
      <c r="C432" s="148"/>
      <c r="D432" s="148"/>
      <c r="E432" s="13"/>
      <c r="F432" s="13"/>
      <c r="G432" s="147"/>
      <c r="H432" s="13"/>
      <c r="I432" s="13"/>
      <c r="J432" s="13"/>
      <c r="K432" s="13"/>
      <c r="L432" s="13"/>
      <c r="M432" s="13"/>
      <c r="N432" s="149"/>
      <c r="O432" s="13"/>
      <c r="P432" s="149"/>
      <c r="R432" s="132"/>
      <c r="T432" s="13"/>
    </row>
    <row r="433" spans="1:20" ht="12.75" customHeight="1" x14ac:dyDescent="0.2">
      <c r="A433" s="137"/>
      <c r="B433" s="148"/>
      <c r="C433" s="148"/>
      <c r="D433" s="148"/>
      <c r="E433" s="13"/>
      <c r="F433" s="13"/>
      <c r="G433" s="147"/>
      <c r="H433" s="13"/>
      <c r="I433" s="13"/>
      <c r="J433" s="13"/>
      <c r="K433" s="13"/>
      <c r="L433" s="13"/>
      <c r="M433" s="13"/>
      <c r="N433" s="149"/>
      <c r="O433" s="13"/>
      <c r="P433" s="149"/>
      <c r="R433" s="132"/>
      <c r="T433" s="13"/>
    </row>
    <row r="434" spans="1:20" ht="12.75" customHeight="1" x14ac:dyDescent="0.2">
      <c r="A434" s="137"/>
      <c r="B434" s="148"/>
      <c r="C434" s="148"/>
      <c r="D434" s="148"/>
      <c r="E434" s="13"/>
      <c r="F434" s="13"/>
      <c r="G434" s="147"/>
      <c r="H434" s="13"/>
      <c r="I434" s="13"/>
      <c r="J434" s="13"/>
      <c r="K434" s="13"/>
      <c r="L434" s="13"/>
      <c r="M434" s="13"/>
      <c r="N434" s="149"/>
      <c r="O434" s="13"/>
      <c r="P434" s="149"/>
      <c r="R434" s="132"/>
      <c r="T434" s="13"/>
    </row>
    <row r="435" spans="1:20" ht="12.75" customHeight="1" x14ac:dyDescent="0.2">
      <c r="A435" s="137"/>
      <c r="B435" s="148"/>
      <c r="C435" s="148"/>
      <c r="D435" s="148"/>
      <c r="E435" s="13"/>
      <c r="F435" s="13"/>
      <c r="G435" s="147"/>
      <c r="H435" s="13"/>
      <c r="I435" s="13"/>
      <c r="J435" s="13"/>
      <c r="K435" s="13"/>
      <c r="L435" s="13"/>
      <c r="M435" s="13"/>
      <c r="N435" s="149"/>
      <c r="O435" s="13"/>
      <c r="P435" s="149"/>
      <c r="R435" s="132"/>
      <c r="T435" s="13"/>
    </row>
    <row r="436" spans="1:20" ht="12.75" customHeight="1" x14ac:dyDescent="0.2">
      <c r="A436" s="137"/>
      <c r="B436" s="148"/>
      <c r="C436" s="148"/>
      <c r="D436" s="148"/>
      <c r="E436" s="13"/>
      <c r="F436" s="13"/>
      <c r="G436" s="147"/>
      <c r="H436" s="13"/>
      <c r="I436" s="13"/>
      <c r="J436" s="13"/>
      <c r="K436" s="13"/>
      <c r="L436" s="13"/>
      <c r="M436" s="13"/>
      <c r="N436" s="149"/>
      <c r="O436" s="13"/>
      <c r="P436" s="149"/>
      <c r="R436" s="132"/>
      <c r="T436" s="13"/>
    </row>
    <row r="437" spans="1:20" ht="12.75" customHeight="1" x14ac:dyDescent="0.2">
      <c r="A437" s="137"/>
      <c r="B437" s="148"/>
      <c r="C437" s="148"/>
      <c r="D437" s="148"/>
      <c r="E437" s="13"/>
      <c r="F437" s="13"/>
      <c r="G437" s="147"/>
      <c r="H437" s="13"/>
      <c r="I437" s="13"/>
      <c r="J437" s="13"/>
      <c r="K437" s="13"/>
      <c r="L437" s="13"/>
      <c r="M437" s="13"/>
      <c r="N437" s="149"/>
      <c r="O437" s="13"/>
      <c r="P437" s="149"/>
      <c r="R437" s="132"/>
      <c r="T437" s="13"/>
    </row>
    <row r="438" spans="1:20" ht="12.75" customHeight="1" x14ac:dyDescent="0.2">
      <c r="A438" s="137"/>
      <c r="B438" s="148"/>
      <c r="C438" s="148"/>
      <c r="D438" s="148"/>
      <c r="E438" s="13"/>
      <c r="F438" s="13"/>
      <c r="G438" s="147"/>
      <c r="H438" s="13"/>
      <c r="I438" s="13"/>
      <c r="J438" s="13"/>
      <c r="K438" s="13"/>
      <c r="L438" s="13"/>
      <c r="M438" s="13"/>
      <c r="N438" s="149"/>
      <c r="O438" s="13"/>
      <c r="P438" s="149"/>
      <c r="R438" s="132"/>
      <c r="T438" s="13"/>
    </row>
    <row r="439" spans="1:20" ht="12.75" customHeight="1" x14ac:dyDescent="0.2">
      <c r="A439" s="137"/>
      <c r="B439" s="148"/>
      <c r="C439" s="148"/>
      <c r="D439" s="148"/>
      <c r="E439" s="13"/>
      <c r="F439" s="13"/>
      <c r="G439" s="147"/>
      <c r="H439" s="13"/>
      <c r="I439" s="13"/>
      <c r="J439" s="13"/>
      <c r="K439" s="13"/>
      <c r="L439" s="13"/>
      <c r="M439" s="13"/>
      <c r="N439" s="149"/>
      <c r="O439" s="13"/>
      <c r="P439" s="149"/>
      <c r="R439" s="132"/>
      <c r="T439" s="13"/>
    </row>
    <row r="440" spans="1:20" ht="12.75" customHeight="1" x14ac:dyDescent="0.2">
      <c r="A440" s="137"/>
      <c r="B440" s="148"/>
      <c r="C440" s="148"/>
      <c r="D440" s="148"/>
      <c r="E440" s="13"/>
      <c r="F440" s="13"/>
      <c r="G440" s="147"/>
      <c r="H440" s="13"/>
      <c r="I440" s="13"/>
      <c r="J440" s="13"/>
      <c r="K440" s="13"/>
      <c r="L440" s="13"/>
      <c r="M440" s="13"/>
      <c r="N440" s="149"/>
      <c r="O440" s="13"/>
      <c r="P440" s="149"/>
      <c r="R440" s="132"/>
      <c r="T440" s="13"/>
    </row>
    <row r="441" spans="1:20" ht="12.75" customHeight="1" x14ac:dyDescent="0.2">
      <c r="A441" s="137"/>
      <c r="B441" s="148"/>
      <c r="C441" s="148"/>
      <c r="D441" s="148"/>
      <c r="E441" s="13"/>
      <c r="F441" s="13"/>
      <c r="G441" s="147"/>
      <c r="H441" s="13"/>
      <c r="I441" s="13"/>
      <c r="J441" s="13"/>
      <c r="K441" s="13"/>
      <c r="L441" s="13"/>
      <c r="M441" s="13"/>
      <c r="N441" s="149"/>
      <c r="O441" s="13"/>
      <c r="P441" s="149"/>
      <c r="R441" s="132"/>
      <c r="T441" s="13"/>
    </row>
    <row r="442" spans="1:20" ht="12.75" customHeight="1" x14ac:dyDescent="0.2">
      <c r="A442" s="137"/>
      <c r="B442" s="148"/>
      <c r="C442" s="148"/>
      <c r="D442" s="148"/>
      <c r="E442" s="13"/>
      <c r="F442" s="13"/>
      <c r="G442" s="147"/>
      <c r="H442" s="13"/>
      <c r="I442" s="13"/>
      <c r="J442" s="13"/>
      <c r="K442" s="13"/>
      <c r="L442" s="13"/>
      <c r="M442" s="13"/>
      <c r="N442" s="149"/>
      <c r="O442" s="13"/>
      <c r="P442" s="149"/>
      <c r="R442" s="132"/>
      <c r="T442" s="13"/>
    </row>
    <row r="443" spans="1:20" ht="12.75" customHeight="1" x14ac:dyDescent="0.2">
      <c r="A443" s="137"/>
      <c r="B443" s="148"/>
      <c r="C443" s="148"/>
      <c r="D443" s="148"/>
      <c r="E443" s="13"/>
      <c r="F443" s="13"/>
      <c r="G443" s="147"/>
      <c r="H443" s="13"/>
      <c r="I443" s="13"/>
      <c r="J443" s="13"/>
      <c r="K443" s="13"/>
      <c r="L443" s="13"/>
      <c r="M443" s="13"/>
      <c r="N443" s="149"/>
      <c r="O443" s="13"/>
      <c r="P443" s="149"/>
      <c r="R443" s="132"/>
      <c r="T443" s="13"/>
    </row>
    <row r="444" spans="1:20" ht="12.75" customHeight="1" x14ac:dyDescent="0.2">
      <c r="A444" s="137"/>
      <c r="B444" s="148"/>
      <c r="C444" s="148"/>
      <c r="D444" s="148"/>
      <c r="E444" s="13"/>
      <c r="F444" s="13"/>
      <c r="G444" s="147"/>
      <c r="H444" s="13"/>
      <c r="I444" s="13"/>
      <c r="J444" s="13"/>
      <c r="K444" s="13"/>
      <c r="L444" s="13"/>
      <c r="M444" s="13"/>
      <c r="N444" s="149"/>
      <c r="O444" s="13"/>
      <c r="P444" s="149"/>
      <c r="R444" s="132"/>
      <c r="T444" s="13"/>
    </row>
    <row r="445" spans="1:20" ht="12.75" customHeight="1" x14ac:dyDescent="0.2">
      <c r="A445" s="137"/>
      <c r="B445" s="148"/>
      <c r="C445" s="148"/>
      <c r="D445" s="148"/>
      <c r="E445" s="13"/>
      <c r="F445" s="13"/>
      <c r="G445" s="147"/>
      <c r="H445" s="13"/>
      <c r="I445" s="13"/>
      <c r="J445" s="13"/>
      <c r="K445" s="13"/>
      <c r="L445" s="13"/>
      <c r="M445" s="13"/>
      <c r="N445" s="149"/>
      <c r="O445" s="13"/>
      <c r="P445" s="149"/>
      <c r="R445" s="132"/>
      <c r="T445" s="13"/>
    </row>
    <row r="446" spans="1:20" ht="12.75" customHeight="1" x14ac:dyDescent="0.2">
      <c r="A446" s="137"/>
      <c r="B446" s="148"/>
      <c r="C446" s="148"/>
      <c r="D446" s="148"/>
      <c r="E446" s="13"/>
      <c r="F446" s="13"/>
      <c r="G446" s="147"/>
      <c r="H446" s="13"/>
      <c r="I446" s="13"/>
      <c r="J446" s="13"/>
      <c r="K446" s="13"/>
      <c r="L446" s="13"/>
      <c r="M446" s="13"/>
      <c r="N446" s="149"/>
      <c r="O446" s="13"/>
      <c r="P446" s="149"/>
      <c r="R446" s="132"/>
      <c r="T446" s="13"/>
    </row>
    <row r="447" spans="1:20" ht="12.75" customHeight="1" x14ac:dyDescent="0.2">
      <c r="A447" s="137"/>
      <c r="B447" s="148"/>
      <c r="C447" s="148"/>
      <c r="D447" s="148"/>
      <c r="E447" s="13"/>
      <c r="F447" s="13"/>
      <c r="G447" s="147"/>
      <c r="H447" s="13"/>
      <c r="I447" s="13"/>
      <c r="J447" s="13"/>
      <c r="K447" s="13"/>
      <c r="L447" s="13"/>
      <c r="M447" s="13"/>
      <c r="N447" s="149"/>
      <c r="O447" s="13"/>
      <c r="P447" s="149"/>
      <c r="R447" s="132"/>
      <c r="T447" s="13"/>
    </row>
    <row r="448" spans="1:20" ht="12.75" customHeight="1" x14ac:dyDescent="0.2">
      <c r="A448" s="137"/>
      <c r="B448" s="148"/>
      <c r="C448" s="148"/>
      <c r="D448" s="148"/>
      <c r="E448" s="13"/>
      <c r="F448" s="13"/>
      <c r="G448" s="147"/>
      <c r="H448" s="13"/>
      <c r="I448" s="13"/>
      <c r="J448" s="13"/>
      <c r="K448" s="13"/>
      <c r="L448" s="13"/>
      <c r="M448" s="13"/>
      <c r="N448" s="149"/>
      <c r="O448" s="13"/>
      <c r="P448" s="149"/>
      <c r="R448" s="132"/>
      <c r="T448" s="13"/>
    </row>
    <row r="449" spans="1:20" ht="12.75" customHeight="1" x14ac:dyDescent="0.2">
      <c r="A449" s="137"/>
      <c r="B449" s="148"/>
      <c r="C449" s="148"/>
      <c r="D449" s="148"/>
      <c r="E449" s="13"/>
      <c r="F449" s="13"/>
      <c r="G449" s="147"/>
      <c r="H449" s="13"/>
      <c r="I449" s="13"/>
      <c r="J449" s="13"/>
      <c r="K449" s="13"/>
      <c r="L449" s="13"/>
      <c r="M449" s="13"/>
      <c r="N449" s="149"/>
      <c r="O449" s="13"/>
      <c r="P449" s="149"/>
      <c r="R449" s="132"/>
      <c r="T449" s="13"/>
    </row>
    <row r="450" spans="1:20" ht="12.75" customHeight="1" x14ac:dyDescent="0.2">
      <c r="A450" s="137"/>
      <c r="B450" s="148"/>
      <c r="C450" s="148"/>
      <c r="D450" s="148"/>
      <c r="E450" s="13"/>
      <c r="F450" s="13"/>
      <c r="G450" s="147"/>
      <c r="H450" s="13"/>
      <c r="I450" s="13"/>
      <c r="J450" s="13"/>
      <c r="K450" s="13"/>
      <c r="L450" s="13"/>
      <c r="M450" s="13"/>
      <c r="N450" s="149"/>
      <c r="O450" s="13"/>
      <c r="P450" s="149"/>
      <c r="R450" s="132"/>
      <c r="T450" s="13"/>
    </row>
    <row r="451" spans="1:20" ht="12.75" customHeight="1" x14ac:dyDescent="0.2">
      <c r="A451" s="137"/>
      <c r="B451" s="148"/>
      <c r="C451" s="148"/>
      <c r="D451" s="148"/>
      <c r="E451" s="13"/>
      <c r="F451" s="13"/>
      <c r="G451" s="147"/>
      <c r="H451" s="13"/>
      <c r="I451" s="13"/>
      <c r="J451" s="13"/>
      <c r="K451" s="13"/>
      <c r="L451" s="13"/>
      <c r="M451" s="13"/>
      <c r="N451" s="149"/>
      <c r="O451" s="13"/>
      <c r="P451" s="149"/>
      <c r="R451" s="132"/>
      <c r="T451" s="13"/>
    </row>
    <row r="452" spans="1:20" ht="12.75" customHeight="1" x14ac:dyDescent="0.2">
      <c r="A452" s="137"/>
      <c r="B452" s="148"/>
      <c r="C452" s="148"/>
      <c r="D452" s="148"/>
      <c r="E452" s="13"/>
      <c r="F452" s="13"/>
      <c r="G452" s="147"/>
      <c r="H452" s="13"/>
      <c r="I452" s="13"/>
      <c r="J452" s="13"/>
      <c r="K452" s="13"/>
      <c r="L452" s="13"/>
      <c r="M452" s="13"/>
      <c r="N452" s="149"/>
      <c r="O452" s="13"/>
      <c r="P452" s="149"/>
      <c r="R452" s="132"/>
      <c r="T452" s="13"/>
    </row>
    <row r="453" spans="1:20" ht="12.75" customHeight="1" x14ac:dyDescent="0.2">
      <c r="A453" s="137"/>
      <c r="B453" s="148"/>
      <c r="C453" s="148"/>
      <c r="D453" s="148"/>
      <c r="E453" s="13"/>
      <c r="F453" s="13"/>
      <c r="G453" s="147"/>
      <c r="H453" s="13"/>
      <c r="I453" s="13"/>
      <c r="J453" s="13"/>
      <c r="K453" s="13"/>
      <c r="L453" s="13"/>
      <c r="M453" s="13"/>
      <c r="N453" s="149"/>
      <c r="O453" s="13"/>
      <c r="P453" s="149"/>
      <c r="R453" s="132"/>
      <c r="T453" s="13"/>
    </row>
    <row r="454" spans="1:20" ht="12.75" customHeight="1" x14ac:dyDescent="0.2">
      <c r="A454" s="137"/>
      <c r="B454" s="148"/>
      <c r="C454" s="148"/>
      <c r="D454" s="148"/>
      <c r="E454" s="13"/>
      <c r="F454" s="13"/>
      <c r="G454" s="147"/>
      <c r="H454" s="13"/>
      <c r="I454" s="13"/>
      <c r="J454" s="13"/>
      <c r="K454" s="13"/>
      <c r="L454" s="13"/>
      <c r="M454" s="13"/>
      <c r="N454" s="149"/>
      <c r="O454" s="13"/>
      <c r="P454" s="149"/>
      <c r="R454" s="132"/>
      <c r="T454" s="13"/>
    </row>
    <row r="455" spans="1:20" ht="12.75" customHeight="1" x14ac:dyDescent="0.2">
      <c r="A455" s="137"/>
      <c r="B455" s="148"/>
      <c r="C455" s="148"/>
      <c r="D455" s="148"/>
      <c r="E455" s="13"/>
      <c r="F455" s="13"/>
      <c r="G455" s="147"/>
      <c r="H455" s="13"/>
      <c r="I455" s="13"/>
      <c r="J455" s="13"/>
      <c r="K455" s="13"/>
      <c r="L455" s="13"/>
      <c r="M455" s="13"/>
      <c r="N455" s="149"/>
      <c r="O455" s="13"/>
      <c r="P455" s="149"/>
      <c r="R455" s="132"/>
      <c r="T455" s="13"/>
    </row>
    <row r="456" spans="1:20" ht="12.75" customHeight="1" x14ac:dyDescent="0.2">
      <c r="A456" s="137"/>
      <c r="B456" s="148"/>
      <c r="C456" s="148"/>
      <c r="D456" s="148"/>
      <c r="E456" s="13"/>
      <c r="F456" s="13"/>
      <c r="G456" s="147"/>
      <c r="H456" s="13"/>
      <c r="I456" s="13"/>
      <c r="J456" s="13"/>
      <c r="K456" s="13"/>
      <c r="L456" s="13"/>
      <c r="M456" s="13"/>
      <c r="N456" s="149"/>
      <c r="O456" s="13"/>
      <c r="P456" s="149"/>
      <c r="R456" s="132"/>
      <c r="T456" s="13"/>
    </row>
    <row r="457" spans="1:20" ht="12.75" customHeight="1" x14ac:dyDescent="0.2">
      <c r="A457" s="137"/>
      <c r="B457" s="148"/>
      <c r="C457" s="148"/>
      <c r="D457" s="148"/>
      <c r="E457" s="13"/>
      <c r="F457" s="13"/>
      <c r="G457" s="147"/>
      <c r="H457" s="13"/>
      <c r="I457" s="13"/>
      <c r="J457" s="13"/>
      <c r="K457" s="13"/>
      <c r="L457" s="13"/>
      <c r="M457" s="13"/>
      <c r="N457" s="149"/>
      <c r="O457" s="13"/>
      <c r="P457" s="149"/>
      <c r="R457" s="132"/>
      <c r="T457" s="13"/>
    </row>
    <row r="458" spans="1:20" ht="12.75" customHeight="1" x14ac:dyDescent="0.2">
      <c r="A458" s="137"/>
      <c r="B458" s="148"/>
      <c r="C458" s="148"/>
      <c r="D458" s="148"/>
      <c r="E458" s="13"/>
      <c r="F458" s="13"/>
      <c r="G458" s="147"/>
      <c r="H458" s="13"/>
      <c r="I458" s="13"/>
      <c r="J458" s="13"/>
      <c r="K458" s="13"/>
      <c r="L458" s="13"/>
      <c r="M458" s="13"/>
      <c r="N458" s="149"/>
      <c r="O458" s="13"/>
      <c r="P458" s="149"/>
      <c r="R458" s="132"/>
      <c r="T458" s="13"/>
    </row>
    <row r="459" spans="1:20" ht="12.75" customHeight="1" x14ac:dyDescent="0.2">
      <c r="A459" s="137"/>
      <c r="B459" s="148"/>
      <c r="C459" s="148"/>
      <c r="D459" s="148"/>
      <c r="E459" s="13"/>
      <c r="F459" s="13"/>
      <c r="G459" s="147"/>
      <c r="H459" s="13"/>
      <c r="I459" s="13"/>
      <c r="J459" s="13"/>
      <c r="K459" s="13"/>
      <c r="L459" s="13"/>
      <c r="M459" s="13"/>
      <c r="N459" s="149"/>
      <c r="O459" s="13"/>
      <c r="P459" s="149"/>
      <c r="R459" s="132"/>
      <c r="T459" s="13"/>
    </row>
    <row r="460" spans="1:20" ht="12.75" customHeight="1" x14ac:dyDescent="0.2">
      <c r="A460" s="137"/>
      <c r="B460" s="148"/>
      <c r="C460" s="148"/>
      <c r="D460" s="148"/>
      <c r="E460" s="13"/>
      <c r="F460" s="13"/>
      <c r="G460" s="147"/>
      <c r="H460" s="13"/>
      <c r="I460" s="13"/>
      <c r="J460" s="13"/>
      <c r="K460" s="13"/>
      <c r="L460" s="13"/>
      <c r="M460" s="13"/>
      <c r="N460" s="149"/>
      <c r="O460" s="13"/>
      <c r="P460" s="149"/>
      <c r="R460" s="132"/>
      <c r="T460" s="13"/>
    </row>
    <row r="461" spans="1:20" ht="12.75" customHeight="1" x14ac:dyDescent="0.2">
      <c r="A461" s="137"/>
      <c r="B461" s="148"/>
      <c r="C461" s="148"/>
      <c r="D461" s="148"/>
      <c r="E461" s="13"/>
      <c r="F461" s="13"/>
      <c r="G461" s="147"/>
      <c r="H461" s="13"/>
      <c r="I461" s="13"/>
      <c r="J461" s="13"/>
      <c r="K461" s="13"/>
      <c r="L461" s="13"/>
      <c r="M461" s="13"/>
      <c r="N461" s="149"/>
      <c r="O461" s="13"/>
      <c r="P461" s="149"/>
      <c r="R461" s="132"/>
      <c r="T461" s="13"/>
    </row>
    <row r="462" spans="1:20" ht="12.75" customHeight="1" x14ac:dyDescent="0.2">
      <c r="A462" s="137"/>
      <c r="B462" s="148"/>
      <c r="C462" s="148"/>
      <c r="D462" s="148"/>
      <c r="E462" s="13"/>
      <c r="F462" s="13"/>
      <c r="G462" s="147"/>
      <c r="H462" s="13"/>
      <c r="I462" s="13"/>
      <c r="J462" s="13"/>
      <c r="K462" s="13"/>
      <c r="L462" s="13"/>
      <c r="M462" s="13"/>
      <c r="N462" s="149"/>
      <c r="O462" s="13"/>
      <c r="P462" s="149"/>
      <c r="R462" s="132"/>
      <c r="T462" s="13"/>
    </row>
    <row r="463" spans="1:20" ht="12.75" customHeight="1" x14ac:dyDescent="0.2">
      <c r="A463" s="137"/>
      <c r="B463" s="148"/>
      <c r="C463" s="148"/>
      <c r="D463" s="148"/>
      <c r="E463" s="13"/>
      <c r="F463" s="13"/>
      <c r="G463" s="147"/>
      <c r="H463" s="13"/>
      <c r="I463" s="13"/>
      <c r="J463" s="13"/>
      <c r="K463" s="13"/>
      <c r="L463" s="13"/>
      <c r="M463" s="13"/>
      <c r="N463" s="149"/>
      <c r="O463" s="13"/>
      <c r="P463" s="149"/>
      <c r="R463" s="132"/>
      <c r="T463" s="13"/>
    </row>
    <row r="464" spans="1:20" ht="12.75" customHeight="1" x14ac:dyDescent="0.2">
      <c r="A464" s="137"/>
      <c r="B464" s="148"/>
      <c r="C464" s="148"/>
      <c r="D464" s="148"/>
      <c r="E464" s="13"/>
      <c r="F464" s="13"/>
      <c r="G464" s="147"/>
      <c r="H464" s="13"/>
      <c r="I464" s="13"/>
      <c r="J464" s="13"/>
      <c r="K464" s="13"/>
      <c r="L464" s="13"/>
      <c r="M464" s="13"/>
      <c r="N464" s="149"/>
      <c r="O464" s="13"/>
      <c r="P464" s="149"/>
      <c r="R464" s="132"/>
      <c r="T464" s="13"/>
    </row>
    <row r="465" spans="1:20" ht="12.75" customHeight="1" x14ac:dyDescent="0.2">
      <c r="A465" s="137"/>
      <c r="B465" s="148"/>
      <c r="C465" s="148"/>
      <c r="D465" s="148"/>
      <c r="E465" s="13"/>
      <c r="F465" s="13"/>
      <c r="G465" s="147"/>
      <c r="H465" s="13"/>
      <c r="I465" s="13"/>
      <c r="J465" s="13"/>
      <c r="K465" s="13"/>
      <c r="L465" s="13"/>
      <c r="M465" s="13"/>
      <c r="N465" s="149"/>
      <c r="O465" s="13"/>
      <c r="P465" s="149"/>
      <c r="R465" s="132"/>
      <c r="T465" s="13"/>
    </row>
    <row r="466" spans="1:20" ht="12.75" customHeight="1" x14ac:dyDescent="0.2">
      <c r="A466" s="137"/>
      <c r="B466" s="148"/>
      <c r="C466" s="148"/>
      <c r="D466" s="148"/>
      <c r="E466" s="13"/>
      <c r="F466" s="13"/>
      <c r="G466" s="147"/>
      <c r="H466" s="13"/>
      <c r="I466" s="13"/>
      <c r="J466" s="13"/>
      <c r="K466" s="13"/>
      <c r="L466" s="13"/>
      <c r="M466" s="13"/>
      <c r="N466" s="149"/>
      <c r="O466" s="13"/>
      <c r="P466" s="149"/>
      <c r="R466" s="132"/>
      <c r="T466" s="13"/>
    </row>
    <row r="467" spans="1:20" ht="12.75" customHeight="1" x14ac:dyDescent="0.2">
      <c r="A467" s="137"/>
      <c r="B467" s="148"/>
      <c r="C467" s="148"/>
      <c r="D467" s="148"/>
      <c r="E467" s="13"/>
      <c r="F467" s="13"/>
      <c r="G467" s="147"/>
      <c r="H467" s="13"/>
      <c r="I467" s="13"/>
      <c r="J467" s="13"/>
      <c r="K467" s="13"/>
      <c r="L467" s="13"/>
      <c r="M467" s="13"/>
      <c r="N467" s="149"/>
      <c r="O467" s="13"/>
      <c r="P467" s="149"/>
      <c r="R467" s="132"/>
      <c r="T467" s="13"/>
    </row>
    <row r="468" spans="1:20" ht="12.75" customHeight="1" x14ac:dyDescent="0.2">
      <c r="A468" s="137"/>
      <c r="B468" s="148"/>
      <c r="C468" s="148"/>
      <c r="D468" s="148"/>
      <c r="E468" s="13"/>
      <c r="F468" s="13"/>
      <c r="G468" s="147"/>
      <c r="H468" s="13"/>
      <c r="I468" s="13"/>
      <c r="J468" s="13"/>
      <c r="K468" s="13"/>
      <c r="L468" s="13"/>
      <c r="M468" s="13"/>
      <c r="N468" s="149"/>
      <c r="O468" s="13"/>
      <c r="P468" s="149"/>
      <c r="R468" s="132"/>
      <c r="T468" s="13"/>
    </row>
    <row r="469" spans="1:20" ht="12.75" customHeight="1" x14ac:dyDescent="0.2">
      <c r="A469" s="137"/>
      <c r="B469" s="148"/>
      <c r="C469" s="148"/>
      <c r="D469" s="148"/>
      <c r="E469" s="13"/>
      <c r="F469" s="13"/>
      <c r="G469" s="147"/>
      <c r="H469" s="13"/>
      <c r="I469" s="13"/>
      <c r="J469" s="13"/>
      <c r="K469" s="13"/>
      <c r="L469" s="13"/>
      <c r="M469" s="13"/>
      <c r="N469" s="149"/>
      <c r="O469" s="13"/>
      <c r="P469" s="149"/>
      <c r="R469" s="132"/>
      <c r="T469" s="13"/>
    </row>
    <row r="470" spans="1:20" ht="12.75" customHeight="1" x14ac:dyDescent="0.2">
      <c r="A470" s="137"/>
      <c r="B470" s="148"/>
      <c r="C470" s="148"/>
      <c r="D470" s="148"/>
      <c r="E470" s="13"/>
      <c r="F470" s="13"/>
      <c r="G470" s="147"/>
      <c r="H470" s="13"/>
      <c r="I470" s="13"/>
      <c r="J470" s="13"/>
      <c r="K470" s="13"/>
      <c r="L470" s="13"/>
      <c r="M470" s="13"/>
      <c r="N470" s="149"/>
      <c r="O470" s="13"/>
      <c r="P470" s="149"/>
      <c r="R470" s="132"/>
      <c r="T470" s="13"/>
    </row>
    <row r="471" spans="1:20" ht="12.75" customHeight="1" x14ac:dyDescent="0.2">
      <c r="A471" s="137"/>
      <c r="B471" s="148"/>
      <c r="C471" s="148"/>
      <c r="D471" s="148"/>
      <c r="E471" s="13"/>
      <c r="F471" s="13"/>
      <c r="G471" s="147"/>
      <c r="H471" s="13"/>
      <c r="I471" s="13"/>
      <c r="J471" s="13"/>
      <c r="K471" s="13"/>
      <c r="L471" s="13"/>
      <c r="M471" s="13"/>
      <c r="N471" s="149"/>
      <c r="O471" s="13"/>
      <c r="P471" s="149"/>
      <c r="R471" s="132"/>
      <c r="T471" s="13"/>
    </row>
    <row r="472" spans="1:20" ht="12.75" customHeight="1" x14ac:dyDescent="0.2">
      <c r="A472" s="137"/>
      <c r="B472" s="148"/>
      <c r="C472" s="148"/>
      <c r="D472" s="148"/>
      <c r="E472" s="13"/>
      <c r="F472" s="13"/>
      <c r="G472" s="147"/>
      <c r="H472" s="13"/>
      <c r="I472" s="13"/>
      <c r="J472" s="13"/>
      <c r="K472" s="13"/>
      <c r="L472" s="13"/>
      <c r="M472" s="13"/>
      <c r="N472" s="149"/>
      <c r="O472" s="13"/>
      <c r="P472" s="149"/>
      <c r="R472" s="132"/>
      <c r="T472" s="13"/>
    </row>
    <row r="473" spans="1:20" ht="12.75" customHeight="1" x14ac:dyDescent="0.2">
      <c r="A473" s="137"/>
      <c r="B473" s="148"/>
      <c r="C473" s="148"/>
      <c r="D473" s="148"/>
      <c r="E473" s="13"/>
      <c r="F473" s="13"/>
      <c r="G473" s="147"/>
      <c r="H473" s="13"/>
      <c r="I473" s="13"/>
      <c r="J473" s="13"/>
      <c r="K473" s="13"/>
      <c r="L473" s="13"/>
      <c r="M473" s="13"/>
      <c r="N473" s="149"/>
      <c r="O473" s="13"/>
      <c r="P473" s="149"/>
      <c r="R473" s="132"/>
      <c r="T473" s="13"/>
    </row>
    <row r="474" spans="1:20" ht="12.75" customHeight="1" x14ac:dyDescent="0.2">
      <c r="A474" s="137"/>
      <c r="B474" s="148"/>
      <c r="C474" s="148"/>
      <c r="D474" s="148"/>
      <c r="E474" s="13"/>
      <c r="F474" s="13"/>
      <c r="G474" s="147"/>
      <c r="H474" s="13"/>
      <c r="I474" s="13"/>
      <c r="J474" s="13"/>
      <c r="K474" s="13"/>
      <c r="L474" s="13"/>
      <c r="M474" s="13"/>
      <c r="N474" s="149"/>
      <c r="O474" s="13"/>
      <c r="P474" s="149"/>
      <c r="R474" s="132"/>
      <c r="T474" s="13"/>
    </row>
    <row r="475" spans="1:20" ht="12.75" customHeight="1" x14ac:dyDescent="0.2">
      <c r="A475" s="137"/>
      <c r="B475" s="148"/>
      <c r="C475" s="148"/>
      <c r="D475" s="148"/>
      <c r="E475" s="13"/>
      <c r="F475" s="13"/>
      <c r="G475" s="147"/>
      <c r="H475" s="13"/>
      <c r="I475" s="13"/>
      <c r="J475" s="13"/>
      <c r="K475" s="13"/>
      <c r="L475" s="13"/>
      <c r="M475" s="13"/>
      <c r="N475" s="149"/>
      <c r="O475" s="13"/>
      <c r="P475" s="149"/>
      <c r="R475" s="132"/>
      <c r="T475" s="13"/>
    </row>
    <row r="476" spans="1:20" ht="12.75" customHeight="1" x14ac:dyDescent="0.2">
      <c r="A476" s="137"/>
      <c r="B476" s="148"/>
      <c r="C476" s="148"/>
      <c r="D476" s="148"/>
      <c r="E476" s="13"/>
      <c r="F476" s="13"/>
      <c r="G476" s="147"/>
      <c r="H476" s="13"/>
      <c r="I476" s="13"/>
      <c r="J476" s="13"/>
      <c r="K476" s="13"/>
      <c r="L476" s="13"/>
      <c r="M476" s="13"/>
      <c r="N476" s="149"/>
      <c r="O476" s="13"/>
      <c r="P476" s="149"/>
      <c r="R476" s="132"/>
      <c r="T476" s="13"/>
    </row>
    <row r="477" spans="1:20" ht="12.75" customHeight="1" x14ac:dyDescent="0.2">
      <c r="A477" s="137"/>
      <c r="B477" s="148"/>
      <c r="C477" s="148"/>
      <c r="D477" s="148"/>
      <c r="E477" s="13"/>
      <c r="F477" s="13"/>
      <c r="G477" s="147"/>
      <c r="H477" s="13"/>
      <c r="I477" s="13"/>
      <c r="J477" s="13"/>
      <c r="K477" s="13"/>
      <c r="L477" s="13"/>
      <c r="M477" s="13"/>
      <c r="N477" s="149"/>
      <c r="O477" s="13"/>
      <c r="P477" s="149"/>
      <c r="R477" s="132"/>
      <c r="T477" s="13"/>
    </row>
    <row r="478" spans="1:20" ht="12.75" customHeight="1" x14ac:dyDescent="0.2">
      <c r="A478" s="137"/>
      <c r="B478" s="148"/>
      <c r="C478" s="148"/>
      <c r="D478" s="148"/>
      <c r="E478" s="13"/>
      <c r="F478" s="13"/>
      <c r="G478" s="147"/>
      <c r="H478" s="13"/>
      <c r="I478" s="13"/>
      <c r="J478" s="13"/>
      <c r="K478" s="13"/>
      <c r="L478" s="13"/>
      <c r="M478" s="13"/>
      <c r="N478" s="149"/>
      <c r="O478" s="13"/>
      <c r="P478" s="149"/>
      <c r="R478" s="132"/>
      <c r="T478" s="13"/>
    </row>
    <row r="479" spans="1:20" ht="12.75" customHeight="1" x14ac:dyDescent="0.2">
      <c r="A479" s="137"/>
      <c r="B479" s="148"/>
      <c r="C479" s="148"/>
      <c r="D479" s="148"/>
      <c r="E479" s="13"/>
      <c r="F479" s="13"/>
      <c r="G479" s="147"/>
      <c r="H479" s="13"/>
      <c r="I479" s="13"/>
      <c r="J479" s="13"/>
      <c r="K479" s="13"/>
      <c r="L479" s="13"/>
      <c r="M479" s="13"/>
      <c r="N479" s="149"/>
      <c r="O479" s="13"/>
      <c r="P479" s="149"/>
      <c r="R479" s="132"/>
      <c r="T479" s="13"/>
    </row>
    <row r="480" spans="1:20" ht="12.75" customHeight="1" x14ac:dyDescent="0.2">
      <c r="A480" s="137"/>
      <c r="B480" s="148"/>
      <c r="C480" s="148"/>
      <c r="D480" s="148"/>
      <c r="E480" s="13"/>
      <c r="F480" s="13"/>
      <c r="G480" s="147"/>
      <c r="H480" s="13"/>
      <c r="I480" s="13"/>
      <c r="J480" s="13"/>
      <c r="K480" s="13"/>
      <c r="L480" s="13"/>
      <c r="M480" s="13"/>
      <c r="N480" s="149"/>
      <c r="O480" s="13"/>
      <c r="P480" s="149"/>
      <c r="R480" s="132"/>
      <c r="T480" s="13"/>
    </row>
    <row r="481" spans="1:20" ht="12.75" customHeight="1" x14ac:dyDescent="0.2">
      <c r="A481" s="137"/>
      <c r="B481" s="148"/>
      <c r="C481" s="148"/>
      <c r="D481" s="148"/>
      <c r="E481" s="13"/>
      <c r="F481" s="13"/>
      <c r="G481" s="147"/>
      <c r="H481" s="13"/>
      <c r="I481" s="13"/>
      <c r="J481" s="13"/>
      <c r="K481" s="13"/>
      <c r="L481" s="13"/>
      <c r="M481" s="13"/>
      <c r="N481" s="149"/>
      <c r="O481" s="13"/>
      <c r="P481" s="149"/>
      <c r="R481" s="132"/>
      <c r="T481" s="13"/>
    </row>
    <row r="482" spans="1:20" ht="12.75" customHeight="1" x14ac:dyDescent="0.2">
      <c r="A482" s="137"/>
      <c r="B482" s="148"/>
      <c r="C482" s="148"/>
      <c r="D482" s="148"/>
      <c r="E482" s="13"/>
      <c r="F482" s="13"/>
      <c r="G482" s="147"/>
      <c r="H482" s="13"/>
      <c r="I482" s="13"/>
      <c r="J482" s="13"/>
      <c r="K482" s="13"/>
      <c r="L482" s="13"/>
      <c r="M482" s="13"/>
      <c r="N482" s="149"/>
      <c r="O482" s="13"/>
      <c r="P482" s="149"/>
      <c r="R482" s="132"/>
      <c r="T482" s="13"/>
    </row>
    <row r="483" spans="1:20" ht="12.75" customHeight="1" x14ac:dyDescent="0.2">
      <c r="A483" s="137"/>
      <c r="B483" s="148"/>
      <c r="C483" s="148"/>
      <c r="D483" s="148"/>
      <c r="E483" s="13"/>
      <c r="F483" s="13"/>
      <c r="G483" s="147"/>
      <c r="H483" s="13"/>
      <c r="I483" s="13"/>
      <c r="J483" s="13"/>
      <c r="K483" s="13"/>
      <c r="L483" s="13"/>
      <c r="M483" s="13"/>
      <c r="N483" s="149"/>
      <c r="O483" s="13"/>
      <c r="P483" s="149"/>
      <c r="R483" s="132"/>
      <c r="T483" s="13"/>
    </row>
    <row r="484" spans="1:20" ht="12.75" customHeight="1" x14ac:dyDescent="0.2">
      <c r="A484" s="137"/>
      <c r="B484" s="148"/>
      <c r="C484" s="148"/>
      <c r="D484" s="148"/>
      <c r="E484" s="13"/>
      <c r="F484" s="13"/>
      <c r="G484" s="147"/>
      <c r="H484" s="13"/>
      <c r="I484" s="13"/>
      <c r="J484" s="13"/>
      <c r="K484" s="13"/>
      <c r="L484" s="13"/>
      <c r="M484" s="13"/>
      <c r="N484" s="149"/>
      <c r="O484" s="13"/>
      <c r="P484" s="149"/>
      <c r="R484" s="132"/>
      <c r="T484" s="13"/>
    </row>
    <row r="485" spans="1:20" ht="12.75" customHeight="1" x14ac:dyDescent="0.2">
      <c r="A485" s="137"/>
      <c r="B485" s="148"/>
      <c r="C485" s="148"/>
      <c r="D485" s="148"/>
      <c r="E485" s="13"/>
      <c r="F485" s="13"/>
      <c r="G485" s="147"/>
      <c r="H485" s="13"/>
      <c r="I485" s="13"/>
      <c r="J485" s="13"/>
      <c r="K485" s="13"/>
      <c r="L485" s="13"/>
      <c r="M485" s="13"/>
      <c r="N485" s="149"/>
      <c r="O485" s="13"/>
      <c r="P485" s="149"/>
      <c r="R485" s="132"/>
      <c r="T485" s="13"/>
    </row>
    <row r="486" spans="1:20" ht="12.75" customHeight="1" x14ac:dyDescent="0.2">
      <c r="A486" s="137"/>
      <c r="B486" s="148"/>
      <c r="C486" s="148"/>
      <c r="D486" s="148"/>
      <c r="E486" s="13"/>
      <c r="F486" s="13"/>
      <c r="G486" s="147"/>
      <c r="H486" s="13"/>
      <c r="I486" s="13"/>
      <c r="J486" s="13"/>
      <c r="K486" s="13"/>
      <c r="L486" s="13"/>
      <c r="M486" s="13"/>
      <c r="N486" s="149"/>
      <c r="O486" s="13"/>
      <c r="P486" s="149"/>
      <c r="R486" s="132"/>
      <c r="T486" s="13"/>
    </row>
    <row r="487" spans="1:20" ht="12.75" customHeight="1" x14ac:dyDescent="0.2">
      <c r="A487" s="137"/>
      <c r="B487" s="148"/>
      <c r="C487" s="148"/>
      <c r="D487" s="148"/>
      <c r="E487" s="13"/>
      <c r="F487" s="13"/>
      <c r="G487" s="147"/>
      <c r="H487" s="13"/>
      <c r="I487" s="13"/>
      <c r="J487" s="13"/>
      <c r="K487" s="13"/>
      <c r="L487" s="13"/>
      <c r="M487" s="13"/>
      <c r="N487" s="149"/>
      <c r="O487" s="13"/>
      <c r="P487" s="149"/>
      <c r="R487" s="132"/>
      <c r="T487" s="13"/>
    </row>
    <row r="488" spans="1:20" ht="12.75" customHeight="1" x14ac:dyDescent="0.2">
      <c r="A488" s="137"/>
      <c r="B488" s="148"/>
      <c r="C488" s="148"/>
      <c r="D488" s="148"/>
      <c r="E488" s="13"/>
      <c r="F488" s="13"/>
      <c r="G488" s="147"/>
      <c r="H488" s="13"/>
      <c r="I488" s="13"/>
      <c r="J488" s="13"/>
      <c r="K488" s="13"/>
      <c r="L488" s="13"/>
      <c r="M488" s="13"/>
      <c r="N488" s="149"/>
      <c r="O488" s="13"/>
      <c r="P488" s="149"/>
      <c r="R488" s="132"/>
      <c r="T488" s="13"/>
    </row>
    <row r="489" spans="1:20" ht="12.75" customHeight="1" x14ac:dyDescent="0.2">
      <c r="A489" s="137"/>
      <c r="B489" s="148"/>
      <c r="C489" s="148"/>
      <c r="D489" s="148"/>
      <c r="E489" s="13"/>
      <c r="F489" s="13"/>
      <c r="G489" s="147"/>
      <c r="H489" s="13"/>
      <c r="I489" s="13"/>
      <c r="J489" s="13"/>
      <c r="K489" s="13"/>
      <c r="L489" s="13"/>
      <c r="M489" s="13"/>
      <c r="N489" s="149"/>
      <c r="O489" s="13"/>
      <c r="P489" s="149"/>
      <c r="R489" s="132"/>
      <c r="T489" s="13"/>
    </row>
    <row r="490" spans="1:20" ht="12.75" customHeight="1" x14ac:dyDescent="0.2">
      <c r="A490" s="137"/>
      <c r="B490" s="148"/>
      <c r="C490" s="148"/>
      <c r="D490" s="148"/>
      <c r="E490" s="13"/>
      <c r="F490" s="13"/>
      <c r="G490" s="147"/>
      <c r="H490" s="13"/>
      <c r="I490" s="13"/>
      <c r="J490" s="13"/>
      <c r="K490" s="13"/>
      <c r="L490" s="13"/>
      <c r="M490" s="13"/>
      <c r="N490" s="149"/>
      <c r="O490" s="13"/>
      <c r="P490" s="149"/>
      <c r="R490" s="132"/>
      <c r="T490" s="13"/>
    </row>
    <row r="491" spans="1:20" ht="12.75" customHeight="1" x14ac:dyDescent="0.2">
      <c r="A491" s="137"/>
      <c r="B491" s="148"/>
      <c r="C491" s="148"/>
      <c r="D491" s="148"/>
      <c r="E491" s="13"/>
      <c r="F491" s="13"/>
      <c r="G491" s="147"/>
      <c r="H491" s="13"/>
      <c r="I491" s="13"/>
      <c r="J491" s="13"/>
      <c r="K491" s="13"/>
      <c r="L491" s="13"/>
      <c r="M491" s="13"/>
      <c r="N491" s="149"/>
      <c r="O491" s="13"/>
      <c r="P491" s="149"/>
      <c r="R491" s="132"/>
      <c r="T491" s="13"/>
    </row>
    <row r="492" spans="1:20" ht="12.75" customHeight="1" x14ac:dyDescent="0.2">
      <c r="A492" s="137"/>
      <c r="B492" s="148"/>
      <c r="C492" s="148"/>
      <c r="D492" s="148"/>
      <c r="E492" s="13"/>
      <c r="F492" s="13"/>
      <c r="G492" s="147"/>
      <c r="H492" s="13"/>
      <c r="I492" s="13"/>
      <c r="J492" s="13"/>
      <c r="K492" s="13"/>
      <c r="L492" s="13"/>
      <c r="M492" s="13"/>
      <c r="N492" s="149"/>
      <c r="O492" s="13"/>
      <c r="P492" s="149"/>
      <c r="R492" s="132"/>
      <c r="T492" s="13"/>
    </row>
    <row r="493" spans="1:20" ht="12.75" customHeight="1" x14ac:dyDescent="0.2">
      <c r="A493" s="137"/>
      <c r="B493" s="148"/>
      <c r="C493" s="148"/>
      <c r="D493" s="148"/>
      <c r="E493" s="13"/>
      <c r="F493" s="13"/>
      <c r="G493" s="147"/>
      <c r="H493" s="13"/>
      <c r="I493" s="13"/>
      <c r="J493" s="13"/>
      <c r="K493" s="13"/>
      <c r="L493" s="13"/>
      <c r="M493" s="13"/>
      <c r="N493" s="149"/>
      <c r="O493" s="13"/>
      <c r="P493" s="149"/>
      <c r="R493" s="132"/>
      <c r="T493" s="13"/>
    </row>
    <row r="494" spans="1:20" ht="12.75" customHeight="1" x14ac:dyDescent="0.2">
      <c r="A494" s="137"/>
      <c r="B494" s="148"/>
      <c r="C494" s="148"/>
      <c r="D494" s="148"/>
      <c r="E494" s="13"/>
      <c r="F494" s="13"/>
      <c r="G494" s="147"/>
      <c r="H494" s="13"/>
      <c r="I494" s="13"/>
      <c r="J494" s="13"/>
      <c r="K494" s="13"/>
      <c r="L494" s="13"/>
      <c r="M494" s="13"/>
      <c r="N494" s="149"/>
      <c r="O494" s="13"/>
      <c r="P494" s="149"/>
      <c r="R494" s="132"/>
      <c r="T494" s="13"/>
    </row>
    <row r="495" spans="1:20" ht="12.75" customHeight="1" x14ac:dyDescent="0.2">
      <c r="A495" s="137"/>
      <c r="B495" s="148"/>
      <c r="C495" s="148"/>
      <c r="D495" s="148"/>
      <c r="E495" s="13"/>
      <c r="F495" s="13"/>
      <c r="G495" s="147"/>
      <c r="H495" s="13"/>
      <c r="I495" s="13"/>
      <c r="J495" s="13"/>
      <c r="K495" s="13"/>
      <c r="L495" s="13"/>
      <c r="M495" s="13"/>
      <c r="N495" s="149"/>
      <c r="O495" s="13"/>
      <c r="P495" s="149"/>
      <c r="R495" s="132"/>
      <c r="T495" s="13"/>
    </row>
    <row r="496" spans="1:20" ht="12.75" customHeight="1" x14ac:dyDescent="0.2">
      <c r="A496" s="137"/>
      <c r="B496" s="148"/>
      <c r="C496" s="148"/>
      <c r="D496" s="148"/>
      <c r="E496" s="13"/>
      <c r="F496" s="13"/>
      <c r="G496" s="147"/>
      <c r="H496" s="13"/>
      <c r="I496" s="13"/>
      <c r="J496" s="13"/>
      <c r="K496" s="13"/>
      <c r="L496" s="13"/>
      <c r="M496" s="13"/>
      <c r="N496" s="149"/>
      <c r="O496" s="13"/>
      <c r="P496" s="149"/>
      <c r="R496" s="132"/>
      <c r="T496" s="13"/>
    </row>
    <row r="497" spans="1:20" ht="12.75" customHeight="1" x14ac:dyDescent="0.2">
      <c r="A497" s="137"/>
      <c r="B497" s="148"/>
      <c r="C497" s="148"/>
      <c r="D497" s="148"/>
      <c r="E497" s="13"/>
      <c r="F497" s="13"/>
      <c r="G497" s="147"/>
      <c r="H497" s="13"/>
      <c r="I497" s="13"/>
      <c r="J497" s="13"/>
      <c r="K497" s="13"/>
      <c r="L497" s="13"/>
      <c r="M497" s="13"/>
      <c r="N497" s="149"/>
      <c r="O497" s="13"/>
      <c r="P497" s="149"/>
      <c r="R497" s="132"/>
      <c r="T497" s="13"/>
    </row>
    <row r="498" spans="1:20" ht="12.75" customHeight="1" x14ac:dyDescent="0.2">
      <c r="A498" s="137"/>
      <c r="B498" s="148"/>
      <c r="C498" s="148"/>
      <c r="D498" s="148"/>
      <c r="E498" s="13"/>
      <c r="F498" s="13"/>
      <c r="G498" s="147"/>
      <c r="H498" s="13"/>
      <c r="I498" s="13"/>
      <c r="J498" s="13"/>
      <c r="K498" s="13"/>
      <c r="L498" s="13"/>
      <c r="M498" s="13"/>
      <c r="N498" s="149"/>
      <c r="O498" s="13"/>
      <c r="P498" s="149"/>
      <c r="R498" s="132"/>
      <c r="T498" s="13"/>
    </row>
    <row r="499" spans="1:20" ht="12.75" customHeight="1" x14ac:dyDescent="0.2">
      <c r="A499" s="137"/>
      <c r="B499" s="148"/>
      <c r="C499" s="148"/>
      <c r="D499" s="148"/>
      <c r="E499" s="13"/>
      <c r="F499" s="13"/>
      <c r="G499" s="147"/>
      <c r="H499" s="13"/>
      <c r="I499" s="13"/>
      <c r="J499" s="13"/>
      <c r="K499" s="13"/>
      <c r="L499" s="13"/>
      <c r="M499" s="13"/>
      <c r="N499" s="149"/>
      <c r="O499" s="13"/>
      <c r="P499" s="149"/>
      <c r="R499" s="132"/>
      <c r="T499" s="13"/>
    </row>
    <row r="500" spans="1:20" ht="12.75" customHeight="1" x14ac:dyDescent="0.2">
      <c r="A500" s="137"/>
      <c r="B500" s="148"/>
      <c r="C500" s="148"/>
      <c r="D500" s="148"/>
      <c r="E500" s="13"/>
      <c r="F500" s="13"/>
      <c r="G500" s="147"/>
      <c r="H500" s="13"/>
      <c r="I500" s="13"/>
      <c r="J500" s="13"/>
      <c r="K500" s="13"/>
      <c r="L500" s="13"/>
      <c r="M500" s="13"/>
      <c r="N500" s="149"/>
      <c r="O500" s="13"/>
      <c r="P500" s="149"/>
      <c r="R500" s="132"/>
      <c r="T500" s="13"/>
    </row>
    <row r="501" spans="1:20" ht="12.75" customHeight="1" x14ac:dyDescent="0.2">
      <c r="A501" s="137"/>
      <c r="B501" s="148"/>
      <c r="C501" s="148"/>
      <c r="D501" s="148"/>
      <c r="E501" s="13"/>
      <c r="F501" s="13"/>
      <c r="G501" s="147"/>
      <c r="H501" s="13"/>
      <c r="I501" s="13"/>
      <c r="J501" s="13"/>
      <c r="K501" s="13"/>
      <c r="L501" s="13"/>
      <c r="M501" s="13"/>
      <c r="N501" s="149"/>
      <c r="O501" s="13"/>
      <c r="P501" s="149"/>
      <c r="R501" s="132"/>
      <c r="T501" s="13"/>
    </row>
    <row r="502" spans="1:20" ht="12.75" customHeight="1" x14ac:dyDescent="0.2">
      <c r="A502" s="137"/>
      <c r="B502" s="148"/>
      <c r="C502" s="148"/>
      <c r="D502" s="148"/>
      <c r="E502" s="13"/>
      <c r="F502" s="13"/>
      <c r="G502" s="147"/>
      <c r="H502" s="13"/>
      <c r="I502" s="13"/>
      <c r="J502" s="13"/>
      <c r="K502" s="13"/>
      <c r="L502" s="13"/>
      <c r="M502" s="13"/>
      <c r="N502" s="149"/>
      <c r="O502" s="13"/>
      <c r="P502" s="149"/>
      <c r="R502" s="132"/>
      <c r="T502" s="13"/>
    </row>
    <row r="503" spans="1:20" ht="12.75" customHeight="1" x14ac:dyDescent="0.2">
      <c r="A503" s="137"/>
      <c r="B503" s="148"/>
      <c r="C503" s="148"/>
      <c r="D503" s="148"/>
      <c r="E503" s="13"/>
      <c r="F503" s="13"/>
      <c r="G503" s="147"/>
      <c r="H503" s="13"/>
      <c r="I503" s="13"/>
      <c r="J503" s="13"/>
      <c r="K503" s="13"/>
      <c r="L503" s="13"/>
      <c r="M503" s="13"/>
      <c r="N503" s="149"/>
      <c r="O503" s="13"/>
      <c r="P503" s="149"/>
      <c r="R503" s="132"/>
      <c r="T503" s="13"/>
    </row>
    <row r="504" spans="1:20" ht="12.75" customHeight="1" x14ac:dyDescent="0.2">
      <c r="A504" s="137"/>
      <c r="B504" s="148"/>
      <c r="C504" s="148"/>
      <c r="D504" s="148"/>
      <c r="E504" s="13"/>
      <c r="F504" s="13"/>
      <c r="G504" s="147"/>
      <c r="H504" s="13"/>
      <c r="I504" s="13"/>
      <c r="J504" s="13"/>
      <c r="K504" s="13"/>
      <c r="L504" s="13"/>
      <c r="M504" s="13"/>
      <c r="N504" s="149"/>
      <c r="O504" s="13"/>
      <c r="P504" s="149"/>
      <c r="R504" s="132"/>
      <c r="T504" s="13"/>
    </row>
    <row r="505" spans="1:20" ht="12.75" customHeight="1" x14ac:dyDescent="0.2">
      <c r="A505" s="137"/>
      <c r="B505" s="148"/>
      <c r="C505" s="148"/>
      <c r="D505" s="148"/>
      <c r="E505" s="13"/>
      <c r="F505" s="13"/>
      <c r="G505" s="147"/>
      <c r="H505" s="13"/>
      <c r="I505" s="13"/>
      <c r="J505" s="13"/>
      <c r="K505" s="13"/>
      <c r="L505" s="13"/>
      <c r="M505" s="13"/>
      <c r="N505" s="149"/>
      <c r="O505" s="13"/>
      <c r="P505" s="149"/>
      <c r="R505" s="132"/>
      <c r="T505" s="13"/>
    </row>
    <row r="506" spans="1:20" ht="12.75" customHeight="1" x14ac:dyDescent="0.2">
      <c r="A506" s="137"/>
      <c r="B506" s="148"/>
      <c r="C506" s="148"/>
      <c r="D506" s="148"/>
      <c r="E506" s="13"/>
      <c r="F506" s="13"/>
      <c r="G506" s="147"/>
      <c r="H506" s="13"/>
      <c r="I506" s="13"/>
      <c r="J506" s="13"/>
      <c r="K506" s="13"/>
      <c r="L506" s="13"/>
      <c r="M506" s="13"/>
      <c r="N506" s="149"/>
      <c r="O506" s="13"/>
      <c r="P506" s="149"/>
      <c r="R506" s="132"/>
      <c r="T506" s="13"/>
    </row>
    <row r="507" spans="1:20" ht="12.75" customHeight="1" x14ac:dyDescent="0.2">
      <c r="A507" s="137"/>
      <c r="B507" s="148"/>
      <c r="C507" s="148"/>
      <c r="D507" s="148"/>
      <c r="E507" s="13"/>
      <c r="F507" s="13"/>
      <c r="G507" s="147"/>
      <c r="H507" s="13"/>
      <c r="I507" s="13"/>
      <c r="J507" s="13"/>
      <c r="K507" s="13"/>
      <c r="L507" s="13"/>
      <c r="M507" s="13"/>
      <c r="N507" s="149"/>
      <c r="O507" s="13"/>
      <c r="P507" s="149"/>
      <c r="R507" s="132"/>
      <c r="T507" s="13"/>
    </row>
    <row r="508" spans="1:20" ht="12.75" customHeight="1" x14ac:dyDescent="0.2">
      <c r="A508" s="137"/>
      <c r="B508" s="148"/>
      <c r="C508" s="148"/>
      <c r="D508" s="148"/>
      <c r="E508" s="13"/>
      <c r="F508" s="13"/>
      <c r="G508" s="147"/>
      <c r="H508" s="13"/>
      <c r="I508" s="13"/>
      <c r="J508" s="13"/>
      <c r="K508" s="13"/>
      <c r="L508" s="13"/>
      <c r="M508" s="13"/>
      <c r="N508" s="149"/>
      <c r="O508" s="13"/>
      <c r="P508" s="149"/>
      <c r="R508" s="132"/>
      <c r="T508" s="13"/>
    </row>
    <row r="509" spans="1:20" ht="12.75" customHeight="1" x14ac:dyDescent="0.2">
      <c r="A509" s="137"/>
      <c r="B509" s="148"/>
      <c r="C509" s="148"/>
      <c r="D509" s="148"/>
      <c r="E509" s="13"/>
      <c r="F509" s="13"/>
      <c r="G509" s="147"/>
      <c r="H509" s="13"/>
      <c r="I509" s="13"/>
      <c r="J509" s="13"/>
      <c r="K509" s="13"/>
      <c r="L509" s="13"/>
      <c r="M509" s="13"/>
      <c r="N509" s="149"/>
      <c r="O509" s="13"/>
      <c r="P509" s="149"/>
      <c r="R509" s="132"/>
      <c r="T509" s="13"/>
    </row>
    <row r="510" spans="1:20" ht="12.75" customHeight="1" x14ac:dyDescent="0.2">
      <c r="A510" s="137"/>
      <c r="B510" s="148"/>
      <c r="C510" s="148"/>
      <c r="D510" s="148"/>
      <c r="E510" s="13"/>
      <c r="F510" s="13"/>
      <c r="G510" s="147"/>
      <c r="H510" s="13"/>
      <c r="I510" s="13"/>
      <c r="J510" s="13"/>
      <c r="K510" s="13"/>
      <c r="L510" s="13"/>
      <c r="M510" s="13"/>
      <c r="N510" s="149"/>
      <c r="O510" s="13"/>
      <c r="P510" s="149"/>
      <c r="R510" s="132"/>
      <c r="T510" s="13"/>
    </row>
    <row r="511" spans="1:20" ht="12.75" customHeight="1" x14ac:dyDescent="0.2">
      <c r="A511" s="137"/>
      <c r="B511" s="148"/>
      <c r="C511" s="148"/>
      <c r="D511" s="148"/>
      <c r="E511" s="13"/>
      <c r="F511" s="13"/>
      <c r="G511" s="147"/>
      <c r="H511" s="13"/>
      <c r="I511" s="13"/>
      <c r="J511" s="13"/>
      <c r="K511" s="13"/>
      <c r="L511" s="13"/>
      <c r="M511" s="13"/>
      <c r="N511" s="149"/>
      <c r="O511" s="13"/>
      <c r="P511" s="149"/>
      <c r="R511" s="132"/>
      <c r="T511" s="13"/>
    </row>
    <row r="512" spans="1:20" ht="12.75" customHeight="1" x14ac:dyDescent="0.2">
      <c r="A512" s="137"/>
      <c r="B512" s="148"/>
      <c r="C512" s="148"/>
      <c r="D512" s="148"/>
      <c r="E512" s="13"/>
      <c r="F512" s="13"/>
      <c r="G512" s="147"/>
      <c r="H512" s="13"/>
      <c r="I512" s="13"/>
      <c r="J512" s="13"/>
      <c r="K512" s="13"/>
      <c r="L512" s="13"/>
      <c r="M512" s="13"/>
      <c r="N512" s="149"/>
      <c r="O512" s="13"/>
      <c r="P512" s="149"/>
      <c r="R512" s="132"/>
      <c r="T512" s="13"/>
    </row>
    <row r="513" spans="1:20" ht="12.75" customHeight="1" x14ac:dyDescent="0.2">
      <c r="A513" s="137"/>
      <c r="B513" s="148"/>
      <c r="C513" s="148"/>
      <c r="D513" s="148"/>
      <c r="E513" s="13"/>
      <c r="F513" s="13"/>
      <c r="G513" s="147"/>
      <c r="H513" s="13"/>
      <c r="I513" s="13"/>
      <c r="J513" s="13"/>
      <c r="K513" s="13"/>
      <c r="L513" s="13"/>
      <c r="M513" s="13"/>
      <c r="N513" s="149"/>
      <c r="O513" s="13"/>
      <c r="P513" s="149"/>
      <c r="R513" s="132"/>
      <c r="T513" s="13"/>
    </row>
    <row r="514" spans="1:20" ht="12.75" customHeight="1" x14ac:dyDescent="0.2">
      <c r="A514" s="137"/>
      <c r="B514" s="148"/>
      <c r="C514" s="148"/>
      <c r="D514" s="148"/>
      <c r="E514" s="13"/>
      <c r="F514" s="13"/>
      <c r="G514" s="147"/>
      <c r="H514" s="13"/>
      <c r="I514" s="13"/>
      <c r="J514" s="13"/>
      <c r="K514" s="13"/>
      <c r="L514" s="13"/>
      <c r="M514" s="13"/>
      <c r="N514" s="149"/>
      <c r="O514" s="13"/>
      <c r="P514" s="149"/>
      <c r="R514" s="132"/>
      <c r="T514" s="13"/>
    </row>
    <row r="515" spans="1:20" ht="12.75" customHeight="1" x14ac:dyDescent="0.2">
      <c r="A515" s="137"/>
      <c r="B515" s="148"/>
      <c r="C515" s="148"/>
      <c r="D515" s="148"/>
      <c r="E515" s="13"/>
      <c r="F515" s="13"/>
      <c r="G515" s="147"/>
      <c r="H515" s="13"/>
      <c r="I515" s="13"/>
      <c r="J515" s="13"/>
      <c r="K515" s="13"/>
      <c r="L515" s="13"/>
      <c r="M515" s="13"/>
      <c r="N515" s="149"/>
      <c r="O515" s="13"/>
      <c r="P515" s="149"/>
      <c r="R515" s="132"/>
      <c r="T515" s="13"/>
    </row>
    <row r="516" spans="1:20" ht="12.75" customHeight="1" x14ac:dyDescent="0.2">
      <c r="A516" s="137"/>
      <c r="B516" s="148"/>
      <c r="C516" s="148"/>
      <c r="D516" s="148"/>
      <c r="E516" s="13"/>
      <c r="F516" s="13"/>
      <c r="G516" s="147"/>
      <c r="H516" s="13"/>
      <c r="I516" s="13"/>
      <c r="J516" s="13"/>
      <c r="K516" s="13"/>
      <c r="L516" s="13"/>
      <c r="M516" s="13"/>
      <c r="N516" s="149"/>
      <c r="O516" s="13"/>
      <c r="P516" s="149"/>
      <c r="R516" s="132"/>
      <c r="T516" s="13"/>
    </row>
    <row r="517" spans="1:20" ht="12.75" customHeight="1" x14ac:dyDescent="0.2">
      <c r="A517" s="137"/>
      <c r="B517" s="148"/>
      <c r="C517" s="148"/>
      <c r="D517" s="148"/>
      <c r="E517" s="13"/>
      <c r="F517" s="13"/>
      <c r="G517" s="147"/>
      <c r="H517" s="13"/>
      <c r="I517" s="13"/>
      <c r="J517" s="13"/>
      <c r="K517" s="13"/>
      <c r="L517" s="13"/>
      <c r="M517" s="13"/>
      <c r="N517" s="149"/>
      <c r="O517" s="13"/>
      <c r="P517" s="149"/>
      <c r="R517" s="132"/>
      <c r="T517" s="13"/>
    </row>
    <row r="518" spans="1:20" ht="12.75" customHeight="1" x14ac:dyDescent="0.2">
      <c r="A518" s="137"/>
      <c r="B518" s="148"/>
      <c r="C518" s="148"/>
      <c r="D518" s="148"/>
      <c r="E518" s="13"/>
      <c r="F518" s="13"/>
      <c r="G518" s="147"/>
      <c r="H518" s="13"/>
      <c r="I518" s="13"/>
      <c r="J518" s="13"/>
      <c r="K518" s="13"/>
      <c r="L518" s="13"/>
      <c r="M518" s="13"/>
      <c r="N518" s="149"/>
      <c r="O518" s="13"/>
      <c r="P518" s="149"/>
      <c r="R518" s="132"/>
      <c r="T518" s="13"/>
    </row>
    <row r="519" spans="1:20" ht="12.75" customHeight="1" x14ac:dyDescent="0.2">
      <c r="A519" s="137"/>
      <c r="B519" s="148"/>
      <c r="C519" s="148"/>
      <c r="D519" s="148"/>
      <c r="E519" s="13"/>
      <c r="F519" s="13"/>
      <c r="G519" s="147"/>
      <c r="H519" s="13"/>
      <c r="I519" s="13"/>
      <c r="J519" s="13"/>
      <c r="K519" s="13"/>
      <c r="L519" s="13"/>
      <c r="M519" s="13"/>
      <c r="N519" s="149"/>
      <c r="O519" s="13"/>
      <c r="P519" s="149"/>
      <c r="R519" s="132"/>
      <c r="T519" s="13"/>
    </row>
    <row r="520" spans="1:20" ht="12.75" customHeight="1" x14ac:dyDescent="0.2">
      <c r="A520" s="137"/>
      <c r="B520" s="148"/>
      <c r="C520" s="148"/>
      <c r="D520" s="148"/>
      <c r="E520" s="13"/>
      <c r="F520" s="13"/>
      <c r="G520" s="147"/>
      <c r="H520" s="13"/>
      <c r="I520" s="13"/>
      <c r="J520" s="13"/>
      <c r="K520" s="13"/>
      <c r="L520" s="13"/>
      <c r="M520" s="13"/>
      <c r="N520" s="149"/>
      <c r="O520" s="13"/>
      <c r="P520" s="149"/>
      <c r="R520" s="132"/>
      <c r="T520" s="13"/>
    </row>
    <row r="521" spans="1:20" ht="12.75" customHeight="1" x14ac:dyDescent="0.2">
      <c r="A521" s="137"/>
      <c r="B521" s="148"/>
      <c r="C521" s="148"/>
      <c r="D521" s="148"/>
      <c r="E521" s="13"/>
      <c r="F521" s="13"/>
      <c r="G521" s="147"/>
      <c r="H521" s="13"/>
      <c r="I521" s="13"/>
      <c r="J521" s="13"/>
      <c r="K521" s="13"/>
      <c r="L521" s="13"/>
      <c r="M521" s="13"/>
      <c r="N521" s="149"/>
      <c r="O521" s="13"/>
      <c r="P521" s="149"/>
      <c r="R521" s="132"/>
      <c r="T521" s="13"/>
    </row>
    <row r="522" spans="1:20" ht="12.75" customHeight="1" x14ac:dyDescent="0.2">
      <c r="A522" s="137"/>
      <c r="B522" s="148"/>
      <c r="C522" s="148"/>
      <c r="D522" s="148"/>
      <c r="E522" s="13"/>
      <c r="F522" s="13"/>
      <c r="G522" s="147"/>
      <c r="H522" s="13"/>
      <c r="I522" s="13"/>
      <c r="J522" s="13"/>
      <c r="K522" s="13"/>
      <c r="L522" s="13"/>
      <c r="M522" s="13"/>
      <c r="N522" s="149"/>
      <c r="O522" s="13"/>
      <c r="P522" s="149"/>
      <c r="R522" s="132"/>
      <c r="T522" s="13"/>
    </row>
    <row r="523" spans="1:20" ht="12.75" customHeight="1" x14ac:dyDescent="0.2">
      <c r="A523" s="137"/>
      <c r="B523" s="148"/>
      <c r="C523" s="148"/>
      <c r="D523" s="148"/>
      <c r="E523" s="13"/>
      <c r="F523" s="13"/>
      <c r="G523" s="147"/>
      <c r="H523" s="13"/>
      <c r="I523" s="13"/>
      <c r="J523" s="13"/>
      <c r="K523" s="13"/>
      <c r="L523" s="13"/>
      <c r="M523" s="13"/>
      <c r="N523" s="149"/>
      <c r="O523" s="13"/>
      <c r="P523" s="149"/>
      <c r="R523" s="132"/>
      <c r="T523" s="13"/>
    </row>
    <row r="524" spans="1:20" ht="12.75" customHeight="1" x14ac:dyDescent="0.2">
      <c r="A524" s="137"/>
      <c r="B524" s="148"/>
      <c r="C524" s="148"/>
      <c r="D524" s="148"/>
      <c r="E524" s="13"/>
      <c r="F524" s="13"/>
      <c r="G524" s="147"/>
      <c r="H524" s="13"/>
      <c r="I524" s="13"/>
      <c r="J524" s="13"/>
      <c r="K524" s="13"/>
      <c r="L524" s="13"/>
      <c r="M524" s="13"/>
      <c r="N524" s="149"/>
      <c r="O524" s="13"/>
      <c r="P524" s="149"/>
      <c r="R524" s="132"/>
      <c r="T524" s="13"/>
    </row>
    <row r="525" spans="1:20" ht="12.75" customHeight="1" x14ac:dyDescent="0.2">
      <c r="A525" s="137"/>
      <c r="B525" s="148"/>
      <c r="C525" s="148"/>
      <c r="D525" s="148"/>
      <c r="E525" s="13"/>
      <c r="F525" s="13"/>
      <c r="G525" s="147"/>
      <c r="H525" s="13"/>
      <c r="I525" s="13"/>
      <c r="J525" s="13"/>
      <c r="K525" s="13"/>
      <c r="L525" s="13"/>
      <c r="M525" s="13"/>
      <c r="N525" s="149"/>
      <c r="O525" s="13"/>
      <c r="P525" s="149"/>
      <c r="R525" s="132"/>
      <c r="T525" s="13"/>
    </row>
    <row r="526" spans="1:20" ht="12.75" customHeight="1" x14ac:dyDescent="0.2">
      <c r="A526" s="137"/>
      <c r="B526" s="148"/>
      <c r="C526" s="148"/>
      <c r="D526" s="148"/>
      <c r="E526" s="13"/>
      <c r="F526" s="13"/>
      <c r="G526" s="147"/>
      <c r="H526" s="13"/>
      <c r="I526" s="13"/>
      <c r="J526" s="13"/>
      <c r="K526" s="13"/>
      <c r="L526" s="13"/>
      <c r="M526" s="13"/>
      <c r="N526" s="149"/>
      <c r="O526" s="13"/>
      <c r="P526" s="149"/>
      <c r="R526" s="132"/>
      <c r="T526" s="13"/>
    </row>
    <row r="527" spans="1:20" ht="12.75" customHeight="1" x14ac:dyDescent="0.2">
      <c r="A527" s="137"/>
      <c r="B527" s="148"/>
      <c r="C527" s="148"/>
      <c r="D527" s="148"/>
      <c r="E527" s="13"/>
      <c r="F527" s="13"/>
      <c r="G527" s="147"/>
      <c r="H527" s="13"/>
      <c r="I527" s="13"/>
      <c r="J527" s="13"/>
      <c r="K527" s="13"/>
      <c r="L527" s="13"/>
      <c r="M527" s="13"/>
      <c r="N527" s="149"/>
      <c r="O527" s="13"/>
      <c r="P527" s="149"/>
      <c r="R527" s="132"/>
      <c r="T527" s="13"/>
    </row>
    <row r="528" spans="1:20" ht="12.75" customHeight="1" x14ac:dyDescent="0.2">
      <c r="A528" s="137"/>
      <c r="B528" s="148"/>
      <c r="C528" s="148"/>
      <c r="D528" s="148"/>
      <c r="E528" s="13"/>
      <c r="F528" s="13"/>
      <c r="G528" s="147"/>
      <c r="H528" s="13"/>
      <c r="I528" s="13"/>
      <c r="J528" s="13"/>
      <c r="K528" s="13"/>
      <c r="L528" s="13"/>
      <c r="M528" s="13"/>
      <c r="N528" s="149"/>
      <c r="O528" s="13"/>
      <c r="P528" s="149"/>
      <c r="R528" s="132"/>
      <c r="T528" s="13"/>
    </row>
    <row r="529" spans="1:20" ht="12.75" customHeight="1" x14ac:dyDescent="0.2">
      <c r="A529" s="137"/>
      <c r="B529" s="148"/>
      <c r="C529" s="148"/>
      <c r="D529" s="148"/>
      <c r="E529" s="13"/>
      <c r="F529" s="13"/>
      <c r="G529" s="147"/>
      <c r="H529" s="13"/>
      <c r="I529" s="13"/>
      <c r="J529" s="13"/>
      <c r="K529" s="13"/>
      <c r="L529" s="13"/>
      <c r="M529" s="13"/>
      <c r="N529" s="149"/>
      <c r="O529" s="13"/>
      <c r="P529" s="149"/>
      <c r="R529" s="132"/>
      <c r="T529" s="13"/>
    </row>
    <row r="530" spans="1:20" ht="12.75" customHeight="1" x14ac:dyDescent="0.2">
      <c r="A530" s="137"/>
      <c r="B530" s="148"/>
      <c r="C530" s="148"/>
      <c r="D530" s="148"/>
      <c r="E530" s="13"/>
      <c r="F530" s="13"/>
      <c r="G530" s="147"/>
      <c r="H530" s="13"/>
      <c r="I530" s="13"/>
      <c r="J530" s="13"/>
      <c r="K530" s="13"/>
      <c r="L530" s="13"/>
      <c r="M530" s="13"/>
      <c r="N530" s="149"/>
      <c r="O530" s="13"/>
      <c r="P530" s="149"/>
      <c r="R530" s="132"/>
      <c r="T530" s="13"/>
    </row>
    <row r="531" spans="1:20" ht="12.75" customHeight="1" x14ac:dyDescent="0.2">
      <c r="A531" s="137"/>
      <c r="B531" s="148"/>
      <c r="C531" s="148"/>
      <c r="D531" s="148"/>
      <c r="E531" s="13"/>
      <c r="F531" s="13"/>
      <c r="G531" s="147"/>
      <c r="H531" s="13"/>
      <c r="I531" s="13"/>
      <c r="J531" s="13"/>
      <c r="K531" s="13"/>
      <c r="L531" s="13"/>
      <c r="M531" s="13"/>
      <c r="N531" s="149"/>
      <c r="O531" s="13"/>
      <c r="P531" s="149"/>
      <c r="R531" s="132"/>
      <c r="T531" s="13"/>
    </row>
    <row r="532" spans="1:20" ht="12.75" customHeight="1" x14ac:dyDescent="0.2">
      <c r="A532" s="137"/>
      <c r="B532" s="148"/>
      <c r="C532" s="148"/>
      <c r="D532" s="148"/>
      <c r="E532" s="13"/>
      <c r="F532" s="13"/>
      <c r="G532" s="147"/>
      <c r="H532" s="13"/>
      <c r="I532" s="13"/>
      <c r="J532" s="13"/>
      <c r="K532" s="13"/>
      <c r="L532" s="13"/>
      <c r="M532" s="13"/>
      <c r="N532" s="149"/>
      <c r="O532" s="13"/>
      <c r="P532" s="149"/>
      <c r="R532" s="132"/>
      <c r="T532" s="13"/>
    </row>
    <row r="533" spans="1:20" ht="12.75" customHeight="1" x14ac:dyDescent="0.2">
      <c r="A533" s="137"/>
      <c r="B533" s="148"/>
      <c r="C533" s="148"/>
      <c r="D533" s="148"/>
      <c r="E533" s="13"/>
      <c r="F533" s="13"/>
      <c r="G533" s="147"/>
      <c r="H533" s="13"/>
      <c r="I533" s="13"/>
      <c r="J533" s="13"/>
      <c r="K533" s="13"/>
      <c r="L533" s="13"/>
      <c r="M533" s="13"/>
      <c r="N533" s="149"/>
      <c r="O533" s="13"/>
      <c r="P533" s="149"/>
      <c r="R533" s="132"/>
      <c r="T533" s="13"/>
    </row>
    <row r="534" spans="1:20" ht="12.75" customHeight="1" x14ac:dyDescent="0.2">
      <c r="A534" s="137"/>
      <c r="B534" s="148"/>
      <c r="C534" s="148"/>
      <c r="D534" s="148"/>
      <c r="E534" s="13"/>
      <c r="F534" s="13"/>
      <c r="G534" s="147"/>
      <c r="H534" s="13"/>
      <c r="I534" s="13"/>
      <c r="J534" s="13"/>
      <c r="K534" s="13"/>
      <c r="L534" s="13"/>
      <c r="M534" s="13"/>
      <c r="N534" s="149"/>
      <c r="O534" s="13"/>
      <c r="P534" s="149"/>
      <c r="R534" s="132"/>
      <c r="T534" s="13"/>
    </row>
    <row r="535" spans="1:20" ht="12.75" customHeight="1" x14ac:dyDescent="0.2">
      <c r="A535" s="137"/>
      <c r="B535" s="148"/>
      <c r="C535" s="148"/>
      <c r="D535" s="148"/>
      <c r="E535" s="13"/>
      <c r="F535" s="13"/>
      <c r="G535" s="147"/>
      <c r="H535" s="13"/>
      <c r="I535" s="13"/>
      <c r="J535" s="13"/>
      <c r="K535" s="13"/>
      <c r="L535" s="13"/>
      <c r="M535" s="13"/>
      <c r="N535" s="149"/>
      <c r="O535" s="13"/>
      <c r="P535" s="149"/>
      <c r="R535" s="132"/>
      <c r="T535" s="13"/>
    </row>
    <row r="536" spans="1:20" ht="12.75" customHeight="1" x14ac:dyDescent="0.2">
      <c r="A536" s="137"/>
      <c r="B536" s="148"/>
      <c r="C536" s="148"/>
      <c r="D536" s="148"/>
      <c r="E536" s="13"/>
      <c r="F536" s="13"/>
      <c r="G536" s="147"/>
      <c r="H536" s="13"/>
      <c r="I536" s="13"/>
      <c r="J536" s="13"/>
      <c r="K536" s="13"/>
      <c r="L536" s="13"/>
      <c r="M536" s="13"/>
      <c r="N536" s="149"/>
      <c r="O536" s="13"/>
      <c r="P536" s="149"/>
      <c r="R536" s="132"/>
      <c r="T536" s="13"/>
    </row>
    <row r="537" spans="1:20" ht="12.75" customHeight="1" x14ac:dyDescent="0.2">
      <c r="A537" s="137"/>
      <c r="B537" s="148"/>
      <c r="C537" s="148"/>
      <c r="D537" s="148"/>
      <c r="E537" s="13"/>
      <c r="F537" s="13"/>
      <c r="G537" s="147"/>
      <c r="H537" s="13"/>
      <c r="I537" s="13"/>
      <c r="J537" s="13"/>
      <c r="K537" s="13"/>
      <c r="L537" s="13"/>
      <c r="M537" s="13"/>
      <c r="N537" s="149"/>
      <c r="O537" s="13"/>
      <c r="P537" s="149"/>
      <c r="R537" s="132"/>
      <c r="T537" s="13"/>
    </row>
    <row r="538" spans="1:20" ht="12.75" customHeight="1" x14ac:dyDescent="0.2">
      <c r="A538" s="137"/>
      <c r="B538" s="148"/>
      <c r="C538" s="148"/>
      <c r="D538" s="148"/>
      <c r="E538" s="13"/>
      <c r="F538" s="13"/>
      <c r="G538" s="147"/>
      <c r="H538" s="13"/>
      <c r="I538" s="13"/>
      <c r="J538" s="13"/>
      <c r="K538" s="13"/>
      <c r="L538" s="13"/>
      <c r="M538" s="13"/>
      <c r="N538" s="149"/>
      <c r="O538" s="13"/>
      <c r="P538" s="149"/>
      <c r="R538" s="132"/>
      <c r="T538" s="13"/>
    </row>
    <row r="539" spans="1:20" ht="12.75" customHeight="1" x14ac:dyDescent="0.2">
      <c r="A539" s="137"/>
      <c r="B539" s="148"/>
      <c r="C539" s="148"/>
      <c r="D539" s="148"/>
      <c r="E539" s="13"/>
      <c r="F539" s="13"/>
      <c r="G539" s="147"/>
      <c r="H539" s="13"/>
      <c r="I539" s="13"/>
      <c r="J539" s="13"/>
      <c r="K539" s="13"/>
      <c r="L539" s="13"/>
      <c r="M539" s="13"/>
      <c r="N539" s="149"/>
      <c r="O539" s="13"/>
      <c r="P539" s="149"/>
      <c r="R539" s="132"/>
      <c r="T539" s="13"/>
    </row>
    <row r="540" spans="1:20" ht="12.75" customHeight="1" x14ac:dyDescent="0.2">
      <c r="A540" s="137"/>
      <c r="B540" s="148"/>
      <c r="C540" s="148"/>
      <c r="D540" s="148"/>
      <c r="E540" s="13"/>
      <c r="F540" s="13"/>
      <c r="G540" s="147"/>
      <c r="H540" s="13"/>
      <c r="I540" s="13"/>
      <c r="J540" s="13"/>
      <c r="K540" s="13"/>
      <c r="L540" s="13"/>
      <c r="M540" s="13"/>
      <c r="N540" s="149"/>
      <c r="O540" s="13"/>
      <c r="P540" s="149"/>
      <c r="R540" s="132"/>
      <c r="T540" s="13"/>
    </row>
    <row r="541" spans="1:20" ht="12.75" customHeight="1" x14ac:dyDescent="0.2">
      <c r="A541" s="137"/>
      <c r="B541" s="148"/>
      <c r="C541" s="148"/>
      <c r="D541" s="148"/>
      <c r="E541" s="13"/>
      <c r="F541" s="13"/>
      <c r="G541" s="147"/>
      <c r="H541" s="13"/>
      <c r="I541" s="13"/>
      <c r="J541" s="13"/>
      <c r="K541" s="13"/>
      <c r="L541" s="13"/>
      <c r="M541" s="13"/>
      <c r="N541" s="149"/>
      <c r="O541" s="13"/>
      <c r="P541" s="149"/>
      <c r="R541" s="132"/>
      <c r="T541" s="13"/>
    </row>
    <row r="542" spans="1:20" ht="12.75" customHeight="1" x14ac:dyDescent="0.2">
      <c r="A542" s="137"/>
      <c r="B542" s="148"/>
      <c r="C542" s="148"/>
      <c r="D542" s="148"/>
      <c r="E542" s="13"/>
      <c r="F542" s="13"/>
      <c r="G542" s="147"/>
      <c r="H542" s="13"/>
      <c r="I542" s="13"/>
      <c r="J542" s="13"/>
      <c r="K542" s="13"/>
      <c r="L542" s="13"/>
      <c r="M542" s="13"/>
      <c r="N542" s="149"/>
      <c r="O542" s="13"/>
      <c r="P542" s="149"/>
      <c r="R542" s="132"/>
      <c r="T542" s="13"/>
    </row>
    <row r="543" spans="1:20" ht="12.75" customHeight="1" x14ac:dyDescent="0.2">
      <c r="A543" s="137"/>
      <c r="B543" s="148"/>
      <c r="C543" s="148"/>
      <c r="D543" s="148"/>
      <c r="E543" s="13"/>
      <c r="F543" s="13"/>
      <c r="G543" s="147"/>
      <c r="H543" s="13"/>
      <c r="I543" s="13"/>
      <c r="J543" s="13"/>
      <c r="K543" s="13"/>
      <c r="L543" s="13"/>
      <c r="M543" s="13"/>
      <c r="N543" s="149"/>
      <c r="O543" s="13"/>
      <c r="P543" s="149"/>
      <c r="R543" s="132"/>
      <c r="T543" s="13"/>
    </row>
    <row r="544" spans="1:20" ht="12.75" customHeight="1" x14ac:dyDescent="0.2">
      <c r="A544" s="137"/>
      <c r="B544" s="148"/>
      <c r="C544" s="148"/>
      <c r="D544" s="148"/>
      <c r="E544" s="13"/>
      <c r="F544" s="13"/>
      <c r="G544" s="147"/>
      <c r="H544" s="13"/>
      <c r="I544" s="13"/>
      <c r="J544" s="13"/>
      <c r="K544" s="13"/>
      <c r="L544" s="13"/>
      <c r="M544" s="13"/>
      <c r="N544" s="149"/>
      <c r="O544" s="13"/>
      <c r="P544" s="149"/>
      <c r="R544" s="132"/>
      <c r="T544" s="13"/>
    </row>
    <row r="545" spans="1:20" ht="12.75" customHeight="1" x14ac:dyDescent="0.2">
      <c r="A545" s="137"/>
      <c r="B545" s="148"/>
      <c r="C545" s="148"/>
      <c r="D545" s="148"/>
      <c r="E545" s="13"/>
      <c r="F545" s="13"/>
      <c r="G545" s="147"/>
      <c r="H545" s="13"/>
      <c r="I545" s="13"/>
      <c r="J545" s="13"/>
      <c r="K545" s="13"/>
      <c r="L545" s="13"/>
      <c r="M545" s="13"/>
      <c r="N545" s="149"/>
      <c r="O545" s="13"/>
      <c r="P545" s="149"/>
      <c r="R545" s="132"/>
      <c r="T545" s="13"/>
    </row>
    <row r="546" spans="1:20" ht="12.75" customHeight="1" x14ac:dyDescent="0.2">
      <c r="A546" s="137"/>
      <c r="B546" s="148"/>
      <c r="C546" s="148"/>
      <c r="D546" s="148"/>
      <c r="E546" s="13"/>
      <c r="F546" s="13"/>
      <c r="G546" s="147"/>
      <c r="H546" s="13"/>
      <c r="I546" s="13"/>
      <c r="J546" s="13"/>
      <c r="K546" s="13"/>
      <c r="L546" s="13"/>
      <c r="M546" s="13"/>
      <c r="N546" s="149"/>
      <c r="O546" s="13"/>
      <c r="P546" s="149"/>
      <c r="R546" s="132"/>
      <c r="T546" s="13"/>
    </row>
    <row r="547" spans="1:20" ht="12.75" customHeight="1" x14ac:dyDescent="0.2">
      <c r="A547" s="137"/>
      <c r="B547" s="148"/>
      <c r="C547" s="148"/>
      <c r="D547" s="148"/>
      <c r="E547" s="13"/>
      <c r="F547" s="13"/>
      <c r="G547" s="147"/>
      <c r="H547" s="13"/>
      <c r="I547" s="13"/>
      <c r="J547" s="13"/>
      <c r="K547" s="13"/>
      <c r="L547" s="13"/>
      <c r="M547" s="13"/>
      <c r="N547" s="149"/>
      <c r="O547" s="13"/>
      <c r="P547" s="149"/>
      <c r="R547" s="132"/>
      <c r="T547" s="13"/>
    </row>
    <row r="548" spans="1:20" ht="12.75" customHeight="1" x14ac:dyDescent="0.2">
      <c r="A548" s="137"/>
      <c r="B548" s="148"/>
      <c r="C548" s="148"/>
      <c r="D548" s="148"/>
      <c r="E548" s="13"/>
      <c r="F548" s="13"/>
      <c r="G548" s="147"/>
      <c r="H548" s="13"/>
      <c r="I548" s="13"/>
      <c r="J548" s="13"/>
      <c r="K548" s="13"/>
      <c r="L548" s="13"/>
      <c r="M548" s="13"/>
      <c r="N548" s="149"/>
      <c r="O548" s="13"/>
      <c r="P548" s="149"/>
      <c r="R548" s="132"/>
      <c r="T548" s="13"/>
    </row>
    <row r="549" spans="1:20" ht="12.75" customHeight="1" x14ac:dyDescent="0.2">
      <c r="A549" s="137"/>
      <c r="B549" s="148"/>
      <c r="C549" s="148"/>
      <c r="D549" s="148"/>
      <c r="E549" s="13"/>
      <c r="F549" s="13"/>
      <c r="G549" s="147"/>
      <c r="H549" s="13"/>
      <c r="I549" s="13"/>
      <c r="J549" s="13"/>
      <c r="K549" s="13"/>
      <c r="L549" s="13"/>
      <c r="M549" s="13"/>
      <c r="N549" s="149"/>
      <c r="O549" s="13"/>
      <c r="P549" s="149"/>
      <c r="R549" s="132"/>
      <c r="T549" s="13"/>
    </row>
    <row r="550" spans="1:20" ht="12.75" customHeight="1" x14ac:dyDescent="0.2">
      <c r="A550" s="137"/>
      <c r="B550" s="148"/>
      <c r="C550" s="148"/>
      <c r="D550" s="148"/>
      <c r="E550" s="13"/>
      <c r="F550" s="13"/>
      <c r="G550" s="147"/>
      <c r="H550" s="13"/>
      <c r="I550" s="13"/>
      <c r="J550" s="13"/>
      <c r="K550" s="13"/>
      <c r="L550" s="13"/>
      <c r="M550" s="13"/>
      <c r="N550" s="149"/>
      <c r="O550" s="13"/>
      <c r="P550" s="149"/>
      <c r="R550" s="132"/>
      <c r="T550" s="13"/>
    </row>
    <row r="551" spans="1:20" ht="12.75" customHeight="1" x14ac:dyDescent="0.2">
      <c r="A551" s="137"/>
      <c r="B551" s="148"/>
      <c r="C551" s="148"/>
      <c r="D551" s="148"/>
      <c r="E551" s="13"/>
      <c r="F551" s="13"/>
      <c r="G551" s="147"/>
      <c r="H551" s="13"/>
      <c r="I551" s="13"/>
      <c r="J551" s="13"/>
      <c r="K551" s="13"/>
      <c r="L551" s="13"/>
      <c r="M551" s="13"/>
      <c r="N551" s="149"/>
      <c r="O551" s="13"/>
      <c r="P551" s="149"/>
      <c r="R551" s="132"/>
      <c r="T551" s="13"/>
    </row>
    <row r="552" spans="1:20" ht="12.75" customHeight="1" x14ac:dyDescent="0.2">
      <c r="A552" s="137"/>
      <c r="B552" s="148"/>
      <c r="C552" s="148"/>
      <c r="D552" s="148"/>
      <c r="E552" s="13"/>
      <c r="F552" s="13"/>
      <c r="G552" s="147"/>
      <c r="H552" s="13"/>
      <c r="I552" s="13"/>
      <c r="J552" s="13"/>
      <c r="K552" s="13"/>
      <c r="L552" s="13"/>
      <c r="M552" s="13"/>
      <c r="N552" s="149"/>
      <c r="O552" s="13"/>
      <c r="P552" s="149"/>
      <c r="R552" s="132"/>
      <c r="T552" s="13"/>
    </row>
    <row r="553" spans="1:20" ht="12.75" customHeight="1" x14ac:dyDescent="0.2">
      <c r="A553" s="137"/>
      <c r="B553" s="148"/>
      <c r="C553" s="148"/>
      <c r="D553" s="148"/>
      <c r="E553" s="13"/>
      <c r="F553" s="13"/>
      <c r="G553" s="147"/>
      <c r="H553" s="13"/>
      <c r="I553" s="13"/>
      <c r="J553" s="13"/>
      <c r="K553" s="13"/>
      <c r="L553" s="13"/>
      <c r="M553" s="13"/>
      <c r="N553" s="149"/>
      <c r="O553" s="13"/>
      <c r="P553" s="149"/>
      <c r="R553" s="132"/>
      <c r="T553" s="13"/>
    </row>
    <row r="554" spans="1:20" ht="12.75" customHeight="1" x14ac:dyDescent="0.2">
      <c r="A554" s="137"/>
      <c r="B554" s="148"/>
      <c r="C554" s="148"/>
      <c r="D554" s="148"/>
      <c r="E554" s="13"/>
      <c r="F554" s="13"/>
      <c r="G554" s="147"/>
      <c r="H554" s="13"/>
      <c r="I554" s="13"/>
      <c r="J554" s="13"/>
      <c r="K554" s="13"/>
      <c r="L554" s="13"/>
      <c r="M554" s="13"/>
      <c r="N554" s="149"/>
      <c r="O554" s="13"/>
      <c r="P554" s="149"/>
      <c r="R554" s="132"/>
      <c r="T554" s="13"/>
    </row>
    <row r="555" spans="1:20" ht="12.75" customHeight="1" x14ac:dyDescent="0.2">
      <c r="A555" s="137"/>
      <c r="B555" s="148"/>
      <c r="C555" s="148"/>
      <c r="D555" s="148"/>
      <c r="E555" s="13"/>
      <c r="F555" s="13"/>
      <c r="G555" s="147"/>
      <c r="H555" s="13"/>
      <c r="I555" s="13"/>
      <c r="J555" s="13"/>
      <c r="K555" s="13"/>
      <c r="L555" s="13"/>
      <c r="M555" s="13"/>
      <c r="N555" s="149"/>
      <c r="O555" s="13"/>
      <c r="P555" s="149"/>
      <c r="R555" s="132"/>
      <c r="T555" s="13"/>
    </row>
    <row r="556" spans="1:20" ht="12.75" customHeight="1" x14ac:dyDescent="0.2">
      <c r="A556" s="137"/>
      <c r="B556" s="148"/>
      <c r="C556" s="148"/>
      <c r="D556" s="148"/>
      <c r="E556" s="13"/>
      <c r="F556" s="13"/>
      <c r="G556" s="147"/>
      <c r="H556" s="13"/>
      <c r="I556" s="13"/>
      <c r="J556" s="13"/>
      <c r="K556" s="13"/>
      <c r="L556" s="13"/>
      <c r="M556" s="13"/>
      <c r="N556" s="149"/>
      <c r="O556" s="13"/>
      <c r="P556" s="149"/>
      <c r="R556" s="132"/>
      <c r="T556" s="13"/>
    </row>
    <row r="557" spans="1:20" ht="12.75" customHeight="1" x14ac:dyDescent="0.2">
      <c r="A557" s="137"/>
      <c r="B557" s="148"/>
      <c r="C557" s="148"/>
      <c r="D557" s="148"/>
      <c r="E557" s="13"/>
      <c r="F557" s="13"/>
      <c r="G557" s="147"/>
      <c r="H557" s="13"/>
      <c r="I557" s="13"/>
      <c r="J557" s="13"/>
      <c r="K557" s="13"/>
      <c r="L557" s="13"/>
      <c r="M557" s="13"/>
      <c r="N557" s="149"/>
      <c r="O557" s="13"/>
      <c r="P557" s="149"/>
      <c r="R557" s="132"/>
      <c r="T557" s="13"/>
    </row>
    <row r="558" spans="1:20" ht="12.75" customHeight="1" x14ac:dyDescent="0.2">
      <c r="A558" s="137"/>
      <c r="B558" s="148"/>
      <c r="C558" s="148"/>
      <c r="D558" s="148"/>
      <c r="E558" s="13"/>
      <c r="F558" s="13"/>
      <c r="G558" s="147"/>
      <c r="H558" s="13"/>
      <c r="I558" s="13"/>
      <c r="J558" s="13"/>
      <c r="K558" s="13"/>
      <c r="L558" s="13"/>
      <c r="M558" s="13"/>
      <c r="N558" s="149"/>
      <c r="O558" s="13"/>
      <c r="P558" s="149"/>
      <c r="R558" s="132"/>
      <c r="T558" s="13"/>
    </row>
    <row r="559" spans="1:20" ht="12.75" customHeight="1" x14ac:dyDescent="0.2">
      <c r="A559" s="137"/>
      <c r="B559" s="148"/>
      <c r="C559" s="148"/>
      <c r="D559" s="148"/>
      <c r="E559" s="13"/>
      <c r="F559" s="13"/>
      <c r="G559" s="147"/>
      <c r="H559" s="13"/>
      <c r="I559" s="13"/>
      <c r="J559" s="13"/>
      <c r="K559" s="13"/>
      <c r="L559" s="13"/>
      <c r="M559" s="13"/>
      <c r="N559" s="149"/>
      <c r="O559" s="13"/>
      <c r="P559" s="149"/>
      <c r="R559" s="132"/>
      <c r="T559" s="13"/>
    </row>
    <row r="560" spans="1:20" ht="12.75" customHeight="1" x14ac:dyDescent="0.2">
      <c r="A560" s="137"/>
      <c r="B560" s="148"/>
      <c r="C560" s="148"/>
      <c r="D560" s="148"/>
      <c r="E560" s="13"/>
      <c r="F560" s="13"/>
      <c r="G560" s="147"/>
      <c r="H560" s="13"/>
      <c r="I560" s="13"/>
      <c r="J560" s="13"/>
      <c r="K560" s="13"/>
      <c r="L560" s="13"/>
      <c r="M560" s="13"/>
      <c r="N560" s="149"/>
      <c r="O560" s="13"/>
      <c r="P560" s="149"/>
      <c r="R560" s="132"/>
      <c r="T560" s="13"/>
    </row>
    <row r="561" spans="1:20" ht="12.75" customHeight="1" x14ac:dyDescent="0.2">
      <c r="A561" s="137"/>
      <c r="B561" s="148"/>
      <c r="C561" s="148"/>
      <c r="D561" s="148"/>
      <c r="E561" s="13"/>
      <c r="F561" s="13"/>
      <c r="G561" s="147"/>
      <c r="H561" s="13"/>
      <c r="I561" s="13"/>
      <c r="J561" s="13"/>
      <c r="K561" s="13"/>
      <c r="L561" s="13"/>
      <c r="M561" s="13"/>
      <c r="N561" s="149"/>
      <c r="O561" s="13"/>
      <c r="P561" s="149"/>
      <c r="R561" s="132"/>
      <c r="T561" s="13"/>
    </row>
    <row r="562" spans="1:20" ht="12.75" customHeight="1" x14ac:dyDescent="0.2">
      <c r="A562" s="137"/>
      <c r="B562" s="148"/>
      <c r="C562" s="148"/>
      <c r="D562" s="148"/>
      <c r="E562" s="13"/>
      <c r="F562" s="13"/>
      <c r="G562" s="147"/>
      <c r="H562" s="13"/>
      <c r="I562" s="13"/>
      <c r="J562" s="13"/>
      <c r="K562" s="13"/>
      <c r="L562" s="13"/>
      <c r="M562" s="13"/>
      <c r="N562" s="149"/>
      <c r="O562" s="13"/>
      <c r="P562" s="149"/>
      <c r="R562" s="132"/>
      <c r="T562" s="13"/>
    </row>
    <row r="563" spans="1:20" ht="12.75" customHeight="1" x14ac:dyDescent="0.2">
      <c r="A563" s="137"/>
      <c r="B563" s="148"/>
      <c r="C563" s="148"/>
      <c r="D563" s="148"/>
      <c r="E563" s="13"/>
      <c r="F563" s="13"/>
      <c r="G563" s="147"/>
      <c r="H563" s="13"/>
      <c r="I563" s="13"/>
      <c r="J563" s="13"/>
      <c r="K563" s="13"/>
      <c r="L563" s="13"/>
      <c r="M563" s="13"/>
      <c r="N563" s="149"/>
      <c r="O563" s="13"/>
      <c r="P563" s="149"/>
      <c r="R563" s="132"/>
      <c r="T563" s="13"/>
    </row>
    <row r="564" spans="1:20" ht="12.75" customHeight="1" x14ac:dyDescent="0.2">
      <c r="A564" s="137"/>
      <c r="B564" s="148"/>
      <c r="C564" s="148"/>
      <c r="D564" s="148"/>
      <c r="E564" s="13"/>
      <c r="F564" s="13"/>
      <c r="G564" s="147"/>
      <c r="H564" s="13"/>
      <c r="I564" s="13"/>
      <c r="J564" s="13"/>
      <c r="K564" s="13"/>
      <c r="L564" s="13"/>
      <c r="M564" s="13"/>
      <c r="N564" s="149"/>
      <c r="O564" s="13"/>
      <c r="P564" s="149"/>
      <c r="R564" s="132"/>
      <c r="T564" s="13"/>
    </row>
    <row r="565" spans="1:20" ht="12.75" customHeight="1" x14ac:dyDescent="0.2">
      <c r="A565" s="137"/>
      <c r="B565" s="148"/>
      <c r="C565" s="148"/>
      <c r="D565" s="148"/>
      <c r="E565" s="13"/>
      <c r="F565" s="13"/>
      <c r="G565" s="147"/>
      <c r="H565" s="13"/>
      <c r="I565" s="13"/>
      <c r="J565" s="13"/>
      <c r="K565" s="13"/>
      <c r="L565" s="13"/>
      <c r="M565" s="13"/>
      <c r="N565" s="149"/>
      <c r="O565" s="13"/>
      <c r="P565" s="149"/>
      <c r="R565" s="132"/>
      <c r="T565" s="13"/>
    </row>
    <row r="566" spans="1:20" ht="12.75" customHeight="1" x14ac:dyDescent="0.2">
      <c r="A566" s="137"/>
      <c r="B566" s="148"/>
      <c r="C566" s="148"/>
      <c r="D566" s="148"/>
      <c r="E566" s="13"/>
      <c r="F566" s="13"/>
      <c r="G566" s="147"/>
      <c r="H566" s="13"/>
      <c r="I566" s="13"/>
      <c r="J566" s="13"/>
      <c r="K566" s="13"/>
      <c r="L566" s="13"/>
      <c r="M566" s="13"/>
      <c r="N566" s="149"/>
      <c r="O566" s="13"/>
      <c r="P566" s="149"/>
      <c r="R566" s="132"/>
      <c r="T566" s="13"/>
    </row>
    <row r="567" spans="1:20" ht="12.75" customHeight="1" x14ac:dyDescent="0.2">
      <c r="A567" s="137"/>
      <c r="B567" s="148"/>
      <c r="C567" s="148"/>
      <c r="D567" s="148"/>
      <c r="E567" s="13"/>
      <c r="F567" s="13"/>
      <c r="G567" s="147"/>
      <c r="H567" s="13"/>
      <c r="I567" s="13"/>
      <c r="J567" s="13"/>
      <c r="K567" s="13"/>
      <c r="L567" s="13"/>
      <c r="M567" s="13"/>
      <c r="N567" s="149"/>
      <c r="O567" s="13"/>
      <c r="P567" s="149"/>
      <c r="R567" s="132"/>
      <c r="T567" s="13"/>
    </row>
    <row r="568" spans="1:20" ht="12.75" customHeight="1" x14ac:dyDescent="0.2">
      <c r="A568" s="137"/>
      <c r="B568" s="148"/>
      <c r="C568" s="148"/>
      <c r="D568" s="148"/>
      <c r="E568" s="13"/>
      <c r="F568" s="13"/>
      <c r="G568" s="147"/>
      <c r="H568" s="13"/>
      <c r="I568" s="13"/>
      <c r="J568" s="13"/>
      <c r="K568" s="13"/>
      <c r="L568" s="13"/>
      <c r="M568" s="13"/>
      <c r="N568" s="149"/>
      <c r="O568" s="13"/>
      <c r="P568" s="149"/>
      <c r="R568" s="132"/>
      <c r="T568" s="13"/>
    </row>
    <row r="569" spans="1:20" ht="12.75" customHeight="1" x14ac:dyDescent="0.2">
      <c r="A569" s="137"/>
      <c r="B569" s="148"/>
      <c r="C569" s="148"/>
      <c r="D569" s="148"/>
      <c r="E569" s="13"/>
      <c r="F569" s="13"/>
      <c r="G569" s="147"/>
      <c r="H569" s="13"/>
      <c r="I569" s="13"/>
      <c r="J569" s="13"/>
      <c r="K569" s="13"/>
      <c r="L569" s="13"/>
      <c r="M569" s="13"/>
      <c r="N569" s="149"/>
      <c r="O569" s="13"/>
      <c r="P569" s="149"/>
      <c r="R569" s="132"/>
      <c r="T569" s="13"/>
    </row>
    <row r="570" spans="1:20" ht="12.75" customHeight="1" x14ac:dyDescent="0.2">
      <c r="A570" s="137"/>
      <c r="B570" s="148"/>
      <c r="C570" s="148"/>
      <c r="D570" s="148"/>
      <c r="E570" s="13"/>
      <c r="F570" s="13"/>
      <c r="G570" s="147"/>
      <c r="H570" s="13"/>
      <c r="I570" s="13"/>
      <c r="J570" s="13"/>
      <c r="K570" s="13"/>
      <c r="L570" s="13"/>
      <c r="M570" s="13"/>
      <c r="N570" s="149"/>
      <c r="O570" s="13"/>
      <c r="P570" s="149"/>
      <c r="R570" s="132"/>
      <c r="T570" s="13"/>
    </row>
    <row r="571" spans="1:20" ht="12.75" customHeight="1" x14ac:dyDescent="0.2">
      <c r="A571" s="137"/>
      <c r="B571" s="148"/>
      <c r="C571" s="148"/>
      <c r="D571" s="148"/>
      <c r="E571" s="13"/>
      <c r="F571" s="13"/>
      <c r="G571" s="147"/>
      <c r="H571" s="13"/>
      <c r="I571" s="13"/>
      <c r="J571" s="13"/>
      <c r="K571" s="13"/>
      <c r="L571" s="13"/>
      <c r="M571" s="13"/>
      <c r="N571" s="149"/>
      <c r="O571" s="13"/>
      <c r="P571" s="149"/>
      <c r="R571" s="132"/>
      <c r="T571" s="13"/>
    </row>
    <row r="572" spans="1:20" ht="12.75" customHeight="1" x14ac:dyDescent="0.2">
      <c r="A572" s="137"/>
      <c r="B572" s="148"/>
      <c r="C572" s="148"/>
      <c r="D572" s="148"/>
      <c r="E572" s="13"/>
      <c r="F572" s="13"/>
      <c r="G572" s="147"/>
      <c r="H572" s="13"/>
      <c r="I572" s="13"/>
      <c r="J572" s="13"/>
      <c r="K572" s="13"/>
      <c r="L572" s="13"/>
      <c r="M572" s="13"/>
      <c r="N572" s="149"/>
      <c r="O572" s="13"/>
      <c r="P572" s="149"/>
      <c r="R572" s="132"/>
      <c r="T572" s="13"/>
    </row>
    <row r="573" spans="1:20" ht="12.75" customHeight="1" x14ac:dyDescent="0.2">
      <c r="A573" s="137"/>
      <c r="B573" s="148"/>
      <c r="C573" s="148"/>
      <c r="D573" s="148"/>
      <c r="E573" s="13"/>
      <c r="F573" s="13"/>
      <c r="G573" s="147"/>
      <c r="H573" s="13"/>
      <c r="I573" s="13"/>
      <c r="J573" s="13"/>
      <c r="K573" s="13"/>
      <c r="L573" s="13"/>
      <c r="M573" s="13"/>
      <c r="N573" s="149"/>
      <c r="O573" s="13"/>
      <c r="P573" s="149"/>
      <c r="R573" s="132"/>
      <c r="T573" s="13"/>
    </row>
    <row r="574" spans="1:20" ht="12.75" customHeight="1" x14ac:dyDescent="0.2">
      <c r="A574" s="137"/>
      <c r="B574" s="148"/>
      <c r="C574" s="148"/>
      <c r="D574" s="148"/>
      <c r="E574" s="13"/>
      <c r="F574" s="13"/>
      <c r="G574" s="147"/>
      <c r="H574" s="13"/>
      <c r="I574" s="13"/>
      <c r="J574" s="13"/>
      <c r="K574" s="13"/>
      <c r="L574" s="13"/>
      <c r="M574" s="13"/>
      <c r="N574" s="149"/>
      <c r="O574" s="13"/>
      <c r="P574" s="149"/>
      <c r="R574" s="132"/>
      <c r="T574" s="13"/>
    </row>
    <row r="575" spans="1:20" ht="12.75" customHeight="1" x14ac:dyDescent="0.2">
      <c r="A575" s="137"/>
      <c r="B575" s="148"/>
      <c r="C575" s="148"/>
      <c r="D575" s="148"/>
      <c r="E575" s="13"/>
      <c r="F575" s="13"/>
      <c r="G575" s="147"/>
      <c r="H575" s="13"/>
      <c r="I575" s="13"/>
      <c r="J575" s="13"/>
      <c r="K575" s="13"/>
      <c r="L575" s="13"/>
      <c r="M575" s="13"/>
      <c r="N575" s="149"/>
      <c r="O575" s="13"/>
      <c r="P575" s="149"/>
      <c r="R575" s="132"/>
      <c r="T575" s="13"/>
    </row>
    <row r="576" spans="1:20" ht="12.75" customHeight="1" x14ac:dyDescent="0.2">
      <c r="A576" s="137"/>
      <c r="B576" s="148"/>
      <c r="C576" s="148"/>
      <c r="D576" s="148"/>
      <c r="E576" s="13"/>
      <c r="F576" s="13"/>
      <c r="G576" s="147"/>
      <c r="H576" s="13"/>
      <c r="I576" s="13"/>
      <c r="J576" s="13"/>
      <c r="K576" s="13"/>
      <c r="L576" s="13"/>
      <c r="M576" s="13"/>
      <c r="N576" s="149"/>
      <c r="O576" s="13"/>
      <c r="P576" s="149"/>
      <c r="R576" s="132"/>
      <c r="T576" s="13"/>
    </row>
    <row r="577" spans="1:20" ht="12.75" customHeight="1" x14ac:dyDescent="0.2">
      <c r="A577" s="137"/>
      <c r="B577" s="148"/>
      <c r="C577" s="148"/>
      <c r="D577" s="148"/>
      <c r="E577" s="13"/>
      <c r="F577" s="13"/>
      <c r="G577" s="147"/>
      <c r="H577" s="13"/>
      <c r="I577" s="13"/>
      <c r="J577" s="13"/>
      <c r="K577" s="13"/>
      <c r="L577" s="13"/>
      <c r="M577" s="13"/>
      <c r="N577" s="149"/>
      <c r="O577" s="13"/>
      <c r="P577" s="149"/>
      <c r="R577" s="132"/>
      <c r="T577" s="13"/>
    </row>
    <row r="578" spans="1:20" ht="12.75" customHeight="1" x14ac:dyDescent="0.2">
      <c r="A578" s="137"/>
      <c r="B578" s="148"/>
      <c r="C578" s="148"/>
      <c r="D578" s="148"/>
      <c r="E578" s="13"/>
      <c r="F578" s="13"/>
      <c r="G578" s="147"/>
      <c r="H578" s="13"/>
      <c r="I578" s="13"/>
      <c r="J578" s="13"/>
      <c r="K578" s="13"/>
      <c r="L578" s="13"/>
      <c r="M578" s="13"/>
      <c r="N578" s="149"/>
      <c r="O578" s="13"/>
      <c r="P578" s="149"/>
      <c r="R578" s="132"/>
      <c r="T578" s="13"/>
    </row>
    <row r="579" spans="1:20" ht="12.75" customHeight="1" x14ac:dyDescent="0.2">
      <c r="A579" s="137"/>
      <c r="B579" s="148"/>
      <c r="C579" s="148"/>
      <c r="D579" s="148"/>
      <c r="E579" s="13"/>
      <c r="F579" s="13"/>
      <c r="G579" s="147"/>
      <c r="H579" s="13"/>
      <c r="I579" s="13"/>
      <c r="J579" s="13"/>
      <c r="K579" s="13"/>
      <c r="L579" s="13"/>
      <c r="M579" s="13"/>
      <c r="N579" s="149"/>
      <c r="O579" s="13"/>
      <c r="P579" s="149"/>
      <c r="R579" s="132"/>
      <c r="T579" s="13"/>
    </row>
    <row r="580" spans="1:20" ht="12.75" customHeight="1" x14ac:dyDescent="0.2">
      <c r="A580" s="137"/>
      <c r="B580" s="148"/>
      <c r="C580" s="148"/>
      <c r="D580" s="148"/>
      <c r="E580" s="13"/>
      <c r="F580" s="13"/>
      <c r="G580" s="147"/>
      <c r="H580" s="13"/>
      <c r="I580" s="13"/>
      <c r="J580" s="13"/>
      <c r="K580" s="13"/>
      <c r="L580" s="13"/>
      <c r="M580" s="13"/>
      <c r="N580" s="149"/>
      <c r="O580" s="13"/>
      <c r="P580" s="149"/>
      <c r="R580" s="132"/>
      <c r="T580" s="13"/>
    </row>
    <row r="581" spans="1:20" ht="12.75" customHeight="1" x14ac:dyDescent="0.2">
      <c r="A581" s="137"/>
      <c r="B581" s="148"/>
      <c r="C581" s="148"/>
      <c r="D581" s="148"/>
      <c r="E581" s="13"/>
      <c r="F581" s="13"/>
      <c r="G581" s="147"/>
      <c r="H581" s="13"/>
      <c r="I581" s="13"/>
      <c r="J581" s="13"/>
      <c r="K581" s="13"/>
      <c r="L581" s="13"/>
      <c r="M581" s="13"/>
      <c r="N581" s="149"/>
      <c r="O581" s="13"/>
      <c r="P581" s="149"/>
      <c r="R581" s="132"/>
      <c r="T581" s="13"/>
    </row>
    <row r="582" spans="1:20" ht="12.75" customHeight="1" x14ac:dyDescent="0.2">
      <c r="A582" s="137"/>
      <c r="B582" s="148"/>
      <c r="C582" s="148"/>
      <c r="D582" s="148"/>
      <c r="E582" s="13"/>
      <c r="F582" s="13"/>
      <c r="G582" s="147"/>
      <c r="H582" s="13"/>
      <c r="I582" s="13"/>
      <c r="J582" s="13"/>
      <c r="K582" s="13"/>
      <c r="L582" s="13"/>
      <c r="M582" s="13"/>
      <c r="N582" s="149"/>
      <c r="O582" s="13"/>
      <c r="P582" s="149"/>
      <c r="R582" s="132"/>
      <c r="T582" s="13"/>
    </row>
    <row r="583" spans="1:20" ht="12.75" customHeight="1" x14ac:dyDescent="0.2">
      <c r="A583" s="137"/>
      <c r="B583" s="148"/>
      <c r="C583" s="148"/>
      <c r="D583" s="148"/>
      <c r="E583" s="13"/>
      <c r="F583" s="13"/>
      <c r="G583" s="147"/>
      <c r="H583" s="13"/>
      <c r="I583" s="13"/>
      <c r="J583" s="13"/>
      <c r="K583" s="13"/>
      <c r="L583" s="13"/>
      <c r="M583" s="13"/>
      <c r="N583" s="149"/>
      <c r="O583" s="13"/>
      <c r="P583" s="149"/>
      <c r="R583" s="132"/>
      <c r="T583" s="13"/>
    </row>
    <row r="584" spans="1:20" ht="12.75" customHeight="1" x14ac:dyDescent="0.2">
      <c r="A584" s="137"/>
      <c r="B584" s="148"/>
      <c r="C584" s="148"/>
      <c r="D584" s="148"/>
      <c r="E584" s="13"/>
      <c r="F584" s="13"/>
      <c r="G584" s="147"/>
      <c r="H584" s="13"/>
      <c r="I584" s="13"/>
      <c r="J584" s="13"/>
      <c r="K584" s="13"/>
      <c r="L584" s="13"/>
      <c r="M584" s="13"/>
      <c r="N584" s="149"/>
      <c r="O584" s="13"/>
      <c r="P584" s="149"/>
      <c r="R584" s="132"/>
      <c r="T584" s="13"/>
    </row>
    <row r="585" spans="1:20" ht="12.75" customHeight="1" x14ac:dyDescent="0.2">
      <c r="A585" s="137"/>
      <c r="B585" s="148"/>
      <c r="C585" s="148"/>
      <c r="D585" s="148"/>
      <c r="E585" s="13"/>
      <c r="F585" s="13"/>
      <c r="G585" s="147"/>
      <c r="H585" s="13"/>
      <c r="I585" s="13"/>
      <c r="J585" s="13"/>
      <c r="K585" s="13"/>
      <c r="L585" s="13"/>
      <c r="M585" s="13"/>
      <c r="N585" s="149"/>
      <c r="O585" s="13"/>
      <c r="P585" s="149"/>
      <c r="R585" s="132"/>
      <c r="T585" s="13"/>
    </row>
    <row r="586" spans="1:20" ht="12.75" customHeight="1" x14ac:dyDescent="0.2">
      <c r="A586" s="137"/>
      <c r="B586" s="148"/>
      <c r="C586" s="148"/>
      <c r="D586" s="148"/>
      <c r="E586" s="13"/>
      <c r="F586" s="13"/>
      <c r="G586" s="147"/>
      <c r="H586" s="13"/>
      <c r="I586" s="13"/>
      <c r="J586" s="13"/>
      <c r="K586" s="13"/>
      <c r="L586" s="13"/>
      <c r="M586" s="13"/>
      <c r="N586" s="149"/>
      <c r="O586" s="13"/>
      <c r="P586" s="149"/>
      <c r="R586" s="132"/>
      <c r="T586" s="13"/>
    </row>
    <row r="587" spans="1:20" ht="12.75" customHeight="1" x14ac:dyDescent="0.2">
      <c r="A587" s="137"/>
      <c r="B587" s="148"/>
      <c r="C587" s="148"/>
      <c r="D587" s="148"/>
      <c r="E587" s="13"/>
      <c r="F587" s="13"/>
      <c r="G587" s="147"/>
      <c r="H587" s="13"/>
      <c r="I587" s="13"/>
      <c r="J587" s="13"/>
      <c r="K587" s="13"/>
      <c r="L587" s="13"/>
      <c r="M587" s="13"/>
      <c r="N587" s="149"/>
      <c r="O587" s="13"/>
      <c r="P587" s="149"/>
      <c r="R587" s="132"/>
      <c r="T587" s="13"/>
    </row>
    <row r="588" spans="1:20" ht="12.75" customHeight="1" x14ac:dyDescent="0.2">
      <c r="A588" s="137"/>
      <c r="B588" s="148"/>
      <c r="C588" s="148"/>
      <c r="D588" s="148"/>
      <c r="E588" s="13"/>
      <c r="F588" s="13"/>
      <c r="G588" s="147"/>
      <c r="H588" s="13"/>
      <c r="I588" s="13"/>
      <c r="J588" s="13"/>
      <c r="K588" s="13"/>
      <c r="L588" s="13"/>
      <c r="M588" s="13"/>
      <c r="N588" s="149"/>
      <c r="O588" s="13"/>
      <c r="P588" s="149"/>
      <c r="R588" s="132"/>
      <c r="T588" s="13"/>
    </row>
    <row r="589" spans="1:20" ht="12.75" customHeight="1" x14ac:dyDescent="0.2">
      <c r="A589" s="137"/>
      <c r="B589" s="148"/>
      <c r="C589" s="148"/>
      <c r="D589" s="148"/>
      <c r="E589" s="13"/>
      <c r="F589" s="13"/>
      <c r="G589" s="147"/>
      <c r="H589" s="13"/>
      <c r="I589" s="13"/>
      <c r="J589" s="13"/>
      <c r="K589" s="13"/>
      <c r="L589" s="13"/>
      <c r="M589" s="13"/>
      <c r="N589" s="149"/>
      <c r="O589" s="13"/>
      <c r="P589" s="149"/>
      <c r="R589" s="132"/>
      <c r="T589" s="13"/>
    </row>
    <row r="590" spans="1:20" ht="12.75" customHeight="1" x14ac:dyDescent="0.2">
      <c r="A590" s="137"/>
      <c r="B590" s="148"/>
      <c r="C590" s="148"/>
      <c r="D590" s="148"/>
      <c r="E590" s="13"/>
      <c r="F590" s="13"/>
      <c r="G590" s="147"/>
      <c r="H590" s="13"/>
      <c r="I590" s="13"/>
      <c r="J590" s="13"/>
      <c r="K590" s="13"/>
      <c r="L590" s="13"/>
      <c r="M590" s="13"/>
      <c r="N590" s="149"/>
      <c r="O590" s="13"/>
      <c r="P590" s="149"/>
      <c r="R590" s="132"/>
      <c r="T590" s="13"/>
    </row>
    <row r="591" spans="1:20" ht="12.75" customHeight="1" x14ac:dyDescent="0.2">
      <c r="A591" s="137"/>
      <c r="B591" s="148"/>
      <c r="C591" s="148"/>
      <c r="D591" s="148"/>
      <c r="E591" s="13"/>
      <c r="F591" s="13"/>
      <c r="G591" s="147"/>
      <c r="H591" s="13"/>
      <c r="I591" s="13"/>
      <c r="J591" s="13"/>
      <c r="K591" s="13"/>
      <c r="L591" s="13"/>
      <c r="M591" s="13"/>
      <c r="N591" s="149"/>
      <c r="O591" s="13"/>
      <c r="P591" s="149"/>
      <c r="R591" s="132"/>
      <c r="T591" s="13"/>
    </row>
    <row r="592" spans="1:20" ht="12.75" customHeight="1" x14ac:dyDescent="0.2">
      <c r="A592" s="137"/>
      <c r="B592" s="148"/>
      <c r="C592" s="148"/>
      <c r="D592" s="148"/>
      <c r="E592" s="13"/>
      <c r="F592" s="13"/>
      <c r="G592" s="147"/>
      <c r="H592" s="13"/>
      <c r="I592" s="13"/>
      <c r="J592" s="13"/>
      <c r="K592" s="13"/>
      <c r="L592" s="13"/>
      <c r="M592" s="13"/>
      <c r="N592" s="149"/>
      <c r="O592" s="13"/>
      <c r="P592" s="149"/>
      <c r="R592" s="132"/>
      <c r="T592" s="13"/>
    </row>
    <row r="593" spans="1:20" ht="12.75" customHeight="1" x14ac:dyDescent="0.2">
      <c r="A593" s="137"/>
      <c r="B593" s="148"/>
      <c r="C593" s="148"/>
      <c r="D593" s="148"/>
      <c r="E593" s="13"/>
      <c r="F593" s="13"/>
      <c r="G593" s="147"/>
      <c r="H593" s="13"/>
      <c r="I593" s="13"/>
      <c r="J593" s="13"/>
      <c r="K593" s="13"/>
      <c r="L593" s="13"/>
      <c r="M593" s="13"/>
      <c r="N593" s="149"/>
      <c r="O593" s="13"/>
      <c r="P593" s="149"/>
      <c r="R593" s="132"/>
      <c r="T593" s="13"/>
    </row>
    <row r="594" spans="1:20" ht="12.75" customHeight="1" x14ac:dyDescent="0.2">
      <c r="A594" s="137"/>
      <c r="B594" s="148"/>
      <c r="C594" s="148"/>
      <c r="D594" s="148"/>
      <c r="E594" s="13"/>
      <c r="F594" s="13"/>
      <c r="G594" s="147"/>
      <c r="H594" s="13"/>
      <c r="I594" s="13"/>
      <c r="J594" s="13"/>
      <c r="K594" s="13"/>
      <c r="L594" s="13"/>
      <c r="M594" s="13"/>
      <c r="N594" s="149"/>
      <c r="O594" s="13"/>
      <c r="P594" s="149"/>
      <c r="R594" s="132"/>
      <c r="T594" s="13"/>
    </row>
    <row r="595" spans="1:20" ht="12.75" customHeight="1" x14ac:dyDescent="0.2">
      <c r="A595" s="137"/>
      <c r="B595" s="148"/>
      <c r="C595" s="148"/>
      <c r="D595" s="148"/>
      <c r="E595" s="13"/>
      <c r="F595" s="13"/>
      <c r="G595" s="147"/>
      <c r="H595" s="13"/>
      <c r="I595" s="13"/>
      <c r="J595" s="13"/>
      <c r="K595" s="13"/>
      <c r="L595" s="13"/>
      <c r="M595" s="13"/>
      <c r="N595" s="149"/>
      <c r="O595" s="13"/>
      <c r="P595" s="149"/>
      <c r="R595" s="132"/>
      <c r="T595" s="13"/>
    </row>
    <row r="596" spans="1:20" ht="12.75" customHeight="1" x14ac:dyDescent="0.2">
      <c r="A596" s="137"/>
      <c r="B596" s="148"/>
      <c r="C596" s="148"/>
      <c r="D596" s="148"/>
      <c r="E596" s="13"/>
      <c r="F596" s="13"/>
      <c r="G596" s="147"/>
      <c r="H596" s="13"/>
      <c r="I596" s="13"/>
      <c r="J596" s="13"/>
      <c r="K596" s="13"/>
      <c r="L596" s="13"/>
      <c r="M596" s="13"/>
      <c r="N596" s="149"/>
      <c r="O596" s="13"/>
      <c r="P596" s="149"/>
      <c r="R596" s="132"/>
      <c r="T596" s="13"/>
    </row>
    <row r="597" spans="1:20" ht="12.75" customHeight="1" x14ac:dyDescent="0.2">
      <c r="A597" s="137"/>
      <c r="B597" s="148"/>
      <c r="C597" s="148"/>
      <c r="D597" s="148"/>
      <c r="E597" s="13"/>
      <c r="F597" s="13"/>
      <c r="G597" s="147"/>
      <c r="H597" s="13"/>
      <c r="I597" s="13"/>
      <c r="J597" s="13"/>
      <c r="K597" s="13"/>
      <c r="L597" s="13"/>
      <c r="M597" s="13"/>
      <c r="N597" s="149"/>
      <c r="O597" s="13"/>
      <c r="P597" s="149"/>
      <c r="R597" s="132"/>
      <c r="T597" s="13"/>
    </row>
    <row r="598" spans="1:20" ht="12.75" customHeight="1" x14ac:dyDescent="0.2">
      <c r="A598" s="137"/>
      <c r="B598" s="148"/>
      <c r="C598" s="148"/>
      <c r="D598" s="148"/>
      <c r="E598" s="13"/>
      <c r="F598" s="13"/>
      <c r="G598" s="147"/>
      <c r="H598" s="13"/>
      <c r="I598" s="13"/>
      <c r="J598" s="13"/>
      <c r="K598" s="13"/>
      <c r="L598" s="13"/>
      <c r="M598" s="13"/>
      <c r="N598" s="149"/>
      <c r="O598" s="13"/>
      <c r="P598" s="149"/>
      <c r="R598" s="132"/>
      <c r="T598" s="13"/>
    </row>
    <row r="599" spans="1:20" ht="12.75" customHeight="1" x14ac:dyDescent="0.2">
      <c r="A599" s="137"/>
      <c r="B599" s="148"/>
      <c r="C599" s="148"/>
      <c r="D599" s="148"/>
      <c r="E599" s="13"/>
      <c r="F599" s="13"/>
      <c r="G599" s="147"/>
      <c r="H599" s="13"/>
      <c r="I599" s="13"/>
      <c r="J599" s="13"/>
      <c r="K599" s="13"/>
      <c r="L599" s="13"/>
      <c r="M599" s="13"/>
      <c r="N599" s="149"/>
      <c r="O599" s="13"/>
      <c r="P599" s="149"/>
      <c r="R599" s="132"/>
      <c r="T599" s="13"/>
    </row>
    <row r="600" spans="1:20" ht="12.75" customHeight="1" x14ac:dyDescent="0.2">
      <c r="A600" s="137"/>
      <c r="B600" s="148"/>
      <c r="C600" s="148"/>
      <c r="D600" s="148"/>
      <c r="E600" s="13"/>
      <c r="F600" s="13"/>
      <c r="G600" s="147"/>
      <c r="H600" s="13"/>
      <c r="I600" s="13"/>
      <c r="J600" s="13"/>
      <c r="K600" s="13"/>
      <c r="L600" s="13"/>
      <c r="M600" s="13"/>
      <c r="N600" s="149"/>
      <c r="O600" s="13"/>
      <c r="P600" s="149"/>
      <c r="R600" s="132"/>
      <c r="T600" s="13"/>
    </row>
    <row r="601" spans="1:20" ht="12.75" customHeight="1" x14ac:dyDescent="0.2">
      <c r="A601" s="137"/>
      <c r="B601" s="148"/>
      <c r="C601" s="148"/>
      <c r="D601" s="148"/>
      <c r="E601" s="13"/>
      <c r="F601" s="13"/>
      <c r="G601" s="147"/>
      <c r="H601" s="13"/>
      <c r="I601" s="13"/>
      <c r="J601" s="13"/>
      <c r="K601" s="13"/>
      <c r="L601" s="13"/>
      <c r="M601" s="13"/>
      <c r="N601" s="149"/>
      <c r="O601" s="13"/>
      <c r="P601" s="149"/>
      <c r="R601" s="132"/>
      <c r="T601" s="13"/>
    </row>
    <row r="602" spans="1:20" ht="12.75" customHeight="1" x14ac:dyDescent="0.2">
      <c r="A602" s="137"/>
      <c r="B602" s="148"/>
      <c r="C602" s="148"/>
      <c r="D602" s="148"/>
      <c r="E602" s="13"/>
      <c r="F602" s="13"/>
      <c r="G602" s="147"/>
      <c r="H602" s="13"/>
      <c r="I602" s="13"/>
      <c r="J602" s="13"/>
      <c r="K602" s="13"/>
      <c r="L602" s="13"/>
      <c r="M602" s="13"/>
      <c r="N602" s="149"/>
      <c r="O602" s="13"/>
      <c r="P602" s="149"/>
      <c r="R602" s="132"/>
      <c r="T602" s="13"/>
    </row>
    <row r="603" spans="1:20" ht="12.75" customHeight="1" x14ac:dyDescent="0.2">
      <c r="A603" s="137"/>
      <c r="B603" s="148"/>
      <c r="C603" s="148"/>
      <c r="D603" s="148"/>
      <c r="E603" s="13"/>
      <c r="F603" s="13"/>
      <c r="G603" s="147"/>
      <c r="H603" s="13"/>
      <c r="I603" s="13"/>
      <c r="J603" s="13"/>
      <c r="K603" s="13"/>
      <c r="L603" s="13"/>
      <c r="M603" s="13"/>
      <c r="N603" s="149"/>
      <c r="O603" s="13"/>
      <c r="P603" s="149"/>
      <c r="R603" s="132"/>
      <c r="T603" s="13"/>
    </row>
    <row r="604" spans="1:20" ht="12.75" customHeight="1" x14ac:dyDescent="0.2">
      <c r="A604" s="137"/>
      <c r="B604" s="148"/>
      <c r="C604" s="148"/>
      <c r="D604" s="148"/>
      <c r="E604" s="13"/>
      <c r="F604" s="13"/>
      <c r="G604" s="147"/>
      <c r="H604" s="13"/>
      <c r="I604" s="13"/>
      <c r="J604" s="13"/>
      <c r="K604" s="13"/>
      <c r="L604" s="13"/>
      <c r="M604" s="13"/>
      <c r="N604" s="149"/>
      <c r="O604" s="13"/>
      <c r="P604" s="149"/>
      <c r="R604" s="132"/>
      <c r="T604" s="13"/>
    </row>
    <row r="605" spans="1:20" ht="12.75" customHeight="1" x14ac:dyDescent="0.2">
      <c r="A605" s="137"/>
      <c r="B605" s="148"/>
      <c r="C605" s="148"/>
      <c r="D605" s="148"/>
      <c r="E605" s="13"/>
      <c r="F605" s="13"/>
      <c r="G605" s="147"/>
      <c r="H605" s="13"/>
      <c r="I605" s="13"/>
      <c r="J605" s="13"/>
      <c r="K605" s="13"/>
      <c r="L605" s="13"/>
      <c r="M605" s="13"/>
      <c r="N605" s="149"/>
      <c r="O605" s="13"/>
      <c r="P605" s="149"/>
      <c r="R605" s="132"/>
      <c r="T605" s="13"/>
    </row>
    <row r="606" spans="1:20" ht="12.75" customHeight="1" x14ac:dyDescent="0.2">
      <c r="A606" s="137"/>
      <c r="B606" s="148"/>
      <c r="C606" s="148"/>
      <c r="D606" s="148"/>
      <c r="E606" s="13"/>
      <c r="F606" s="13"/>
      <c r="G606" s="147"/>
      <c r="H606" s="13"/>
      <c r="I606" s="13"/>
      <c r="J606" s="13"/>
      <c r="K606" s="13"/>
      <c r="L606" s="13"/>
      <c r="M606" s="13"/>
      <c r="N606" s="149"/>
      <c r="O606" s="13"/>
      <c r="P606" s="149"/>
      <c r="R606" s="132"/>
      <c r="T606" s="13"/>
    </row>
    <row r="607" spans="1:20" ht="12.75" customHeight="1" x14ac:dyDescent="0.2">
      <c r="A607" s="137"/>
      <c r="B607" s="148"/>
      <c r="C607" s="148"/>
      <c r="D607" s="148"/>
      <c r="E607" s="13"/>
      <c r="F607" s="13"/>
      <c r="G607" s="147"/>
      <c r="H607" s="13"/>
      <c r="I607" s="13"/>
      <c r="J607" s="13"/>
      <c r="K607" s="13"/>
      <c r="L607" s="13"/>
      <c r="M607" s="13"/>
      <c r="N607" s="149"/>
      <c r="O607" s="13"/>
      <c r="P607" s="149"/>
      <c r="R607" s="132"/>
      <c r="T607" s="13"/>
    </row>
    <row r="608" spans="1:20" ht="12.75" customHeight="1" x14ac:dyDescent="0.2">
      <c r="A608" s="137"/>
      <c r="B608" s="148"/>
      <c r="C608" s="148"/>
      <c r="D608" s="148"/>
      <c r="E608" s="13"/>
      <c r="F608" s="13"/>
      <c r="G608" s="147"/>
      <c r="H608" s="13"/>
      <c r="I608" s="13"/>
      <c r="J608" s="13"/>
      <c r="K608" s="13"/>
      <c r="L608" s="13"/>
      <c r="M608" s="13"/>
      <c r="N608" s="149"/>
      <c r="O608" s="13"/>
      <c r="P608" s="149"/>
      <c r="R608" s="132"/>
      <c r="T608" s="13"/>
    </row>
    <row r="609" spans="1:20" ht="12.75" customHeight="1" x14ac:dyDescent="0.2">
      <c r="A609" s="137"/>
      <c r="B609" s="148"/>
      <c r="C609" s="148"/>
      <c r="D609" s="148"/>
      <c r="E609" s="13"/>
      <c r="F609" s="13"/>
      <c r="G609" s="147"/>
      <c r="H609" s="13"/>
      <c r="I609" s="13"/>
      <c r="J609" s="13"/>
      <c r="K609" s="13"/>
      <c r="L609" s="13"/>
      <c r="M609" s="13"/>
      <c r="N609" s="149"/>
      <c r="O609" s="13"/>
      <c r="P609" s="149"/>
      <c r="R609" s="132"/>
      <c r="T609" s="13"/>
    </row>
    <row r="610" spans="1:20" ht="12.75" customHeight="1" x14ac:dyDescent="0.2">
      <c r="A610" s="137"/>
      <c r="B610" s="148"/>
      <c r="C610" s="148"/>
      <c r="D610" s="148"/>
      <c r="E610" s="13"/>
      <c r="F610" s="13"/>
      <c r="G610" s="147"/>
      <c r="H610" s="13"/>
      <c r="I610" s="13"/>
      <c r="J610" s="13"/>
      <c r="K610" s="13"/>
      <c r="L610" s="13"/>
      <c r="M610" s="13"/>
      <c r="N610" s="149"/>
      <c r="O610" s="13"/>
      <c r="P610" s="149"/>
      <c r="R610" s="132"/>
      <c r="T610" s="13"/>
    </row>
    <row r="611" spans="1:20" ht="12.75" customHeight="1" x14ac:dyDescent="0.2">
      <c r="A611" s="137"/>
      <c r="B611" s="148"/>
      <c r="C611" s="148"/>
      <c r="D611" s="148"/>
      <c r="E611" s="13"/>
      <c r="F611" s="13"/>
      <c r="G611" s="147"/>
      <c r="H611" s="13"/>
      <c r="I611" s="13"/>
      <c r="J611" s="13"/>
      <c r="K611" s="13"/>
      <c r="L611" s="13"/>
      <c r="M611" s="13"/>
      <c r="N611" s="149"/>
      <c r="O611" s="13"/>
      <c r="P611" s="149"/>
      <c r="R611" s="132"/>
      <c r="T611" s="13"/>
    </row>
    <row r="612" spans="1:20" ht="12.75" customHeight="1" x14ac:dyDescent="0.2">
      <c r="A612" s="137"/>
      <c r="B612" s="148"/>
      <c r="C612" s="148"/>
      <c r="D612" s="148"/>
      <c r="E612" s="13"/>
      <c r="F612" s="13"/>
      <c r="G612" s="147"/>
      <c r="H612" s="13"/>
      <c r="I612" s="13"/>
      <c r="J612" s="13"/>
      <c r="K612" s="13"/>
      <c r="L612" s="13"/>
      <c r="M612" s="13"/>
      <c r="N612" s="149"/>
      <c r="O612" s="13"/>
      <c r="P612" s="149"/>
      <c r="R612" s="132"/>
      <c r="T612" s="13"/>
    </row>
    <row r="613" spans="1:20" ht="12.75" customHeight="1" x14ac:dyDescent="0.2">
      <c r="A613" s="137"/>
      <c r="B613" s="148"/>
      <c r="C613" s="148"/>
      <c r="D613" s="148"/>
      <c r="E613" s="13"/>
      <c r="F613" s="13"/>
      <c r="G613" s="147"/>
      <c r="H613" s="13"/>
      <c r="I613" s="13"/>
      <c r="J613" s="13"/>
      <c r="K613" s="13"/>
      <c r="L613" s="13"/>
      <c r="M613" s="13"/>
      <c r="N613" s="149"/>
      <c r="O613" s="13"/>
      <c r="P613" s="149"/>
      <c r="R613" s="132"/>
      <c r="T613" s="13"/>
    </row>
    <row r="614" spans="1:20" ht="12.75" customHeight="1" x14ac:dyDescent="0.2">
      <c r="A614" s="137"/>
      <c r="B614" s="148"/>
      <c r="C614" s="148"/>
      <c r="D614" s="148"/>
      <c r="E614" s="13"/>
      <c r="F614" s="13"/>
      <c r="G614" s="147"/>
      <c r="H614" s="13"/>
      <c r="I614" s="13"/>
      <c r="J614" s="13"/>
      <c r="K614" s="13"/>
      <c r="L614" s="13"/>
      <c r="M614" s="13"/>
      <c r="N614" s="149"/>
      <c r="O614" s="13"/>
      <c r="P614" s="149"/>
      <c r="R614" s="132"/>
      <c r="T614" s="13"/>
    </row>
    <row r="615" spans="1:20" ht="12.75" customHeight="1" x14ac:dyDescent="0.2">
      <c r="A615" s="137"/>
      <c r="B615" s="148"/>
      <c r="C615" s="148"/>
      <c r="D615" s="148"/>
      <c r="E615" s="13"/>
      <c r="F615" s="13"/>
      <c r="G615" s="147"/>
      <c r="H615" s="13"/>
      <c r="I615" s="13"/>
      <c r="J615" s="13"/>
      <c r="K615" s="13"/>
      <c r="L615" s="13"/>
      <c r="M615" s="13"/>
      <c r="N615" s="149"/>
      <c r="O615" s="13"/>
      <c r="P615" s="149"/>
      <c r="R615" s="132"/>
      <c r="T615" s="13"/>
    </row>
    <row r="616" spans="1:20" ht="12.75" customHeight="1" x14ac:dyDescent="0.2">
      <c r="A616" s="137"/>
      <c r="B616" s="148"/>
      <c r="C616" s="148"/>
      <c r="D616" s="148"/>
      <c r="E616" s="13"/>
      <c r="F616" s="13"/>
      <c r="G616" s="147"/>
      <c r="H616" s="13"/>
      <c r="I616" s="13"/>
      <c r="J616" s="13"/>
      <c r="K616" s="13"/>
      <c r="L616" s="13"/>
      <c r="M616" s="13"/>
      <c r="N616" s="149"/>
      <c r="O616" s="13"/>
      <c r="P616" s="149"/>
      <c r="R616" s="132"/>
      <c r="T616" s="13"/>
    </row>
    <row r="617" spans="1:20" ht="12.75" customHeight="1" x14ac:dyDescent="0.2">
      <c r="A617" s="137"/>
      <c r="B617" s="148"/>
      <c r="C617" s="148"/>
      <c r="D617" s="148"/>
      <c r="E617" s="13"/>
      <c r="F617" s="13"/>
      <c r="G617" s="147"/>
      <c r="H617" s="13"/>
      <c r="I617" s="13"/>
      <c r="J617" s="13"/>
      <c r="K617" s="13"/>
      <c r="L617" s="13"/>
      <c r="M617" s="13"/>
      <c r="N617" s="149"/>
      <c r="O617" s="13"/>
      <c r="P617" s="149"/>
      <c r="R617" s="132"/>
      <c r="T617" s="13"/>
    </row>
    <row r="618" spans="1:20" ht="12.75" customHeight="1" x14ac:dyDescent="0.2">
      <c r="A618" s="137"/>
      <c r="B618" s="148"/>
      <c r="C618" s="148"/>
      <c r="D618" s="148"/>
      <c r="E618" s="13"/>
      <c r="F618" s="13"/>
      <c r="G618" s="147"/>
      <c r="H618" s="13"/>
      <c r="I618" s="13"/>
      <c r="J618" s="13"/>
      <c r="K618" s="13"/>
      <c r="L618" s="13"/>
      <c r="M618" s="13"/>
      <c r="N618" s="149"/>
      <c r="O618" s="13"/>
      <c r="P618" s="149"/>
      <c r="R618" s="132"/>
      <c r="T618" s="13"/>
    </row>
    <row r="619" spans="1:20" ht="12.75" customHeight="1" x14ac:dyDescent="0.2">
      <c r="A619" s="137"/>
      <c r="B619" s="148"/>
      <c r="C619" s="148"/>
      <c r="D619" s="148"/>
      <c r="E619" s="13"/>
      <c r="F619" s="13"/>
      <c r="G619" s="147"/>
      <c r="H619" s="13"/>
      <c r="I619" s="13"/>
      <c r="J619" s="13"/>
      <c r="K619" s="13"/>
      <c r="L619" s="13"/>
      <c r="M619" s="13"/>
      <c r="N619" s="149"/>
      <c r="O619" s="13"/>
      <c r="P619" s="149"/>
      <c r="R619" s="132"/>
      <c r="T619" s="13"/>
    </row>
    <row r="620" spans="1:20" ht="12.75" customHeight="1" x14ac:dyDescent="0.2">
      <c r="A620" s="137"/>
      <c r="B620" s="148"/>
      <c r="C620" s="148"/>
      <c r="D620" s="148"/>
      <c r="E620" s="13"/>
      <c r="F620" s="13"/>
      <c r="G620" s="147"/>
      <c r="H620" s="13"/>
      <c r="I620" s="13"/>
      <c r="J620" s="13"/>
      <c r="K620" s="13"/>
      <c r="L620" s="13"/>
      <c r="M620" s="13"/>
      <c r="N620" s="149"/>
      <c r="O620" s="13"/>
      <c r="P620" s="149"/>
      <c r="R620" s="132"/>
      <c r="T620" s="13"/>
    </row>
    <row r="621" spans="1:20" ht="12.75" customHeight="1" x14ac:dyDescent="0.2">
      <c r="A621" s="137"/>
      <c r="B621" s="148"/>
      <c r="C621" s="148"/>
      <c r="D621" s="148"/>
      <c r="E621" s="13"/>
      <c r="F621" s="13"/>
      <c r="G621" s="147"/>
      <c r="H621" s="13"/>
      <c r="I621" s="13"/>
      <c r="J621" s="13"/>
      <c r="K621" s="13"/>
      <c r="L621" s="13"/>
      <c r="M621" s="13"/>
      <c r="N621" s="149"/>
      <c r="O621" s="13"/>
      <c r="P621" s="149"/>
      <c r="R621" s="132"/>
      <c r="T621" s="13"/>
    </row>
    <row r="622" spans="1:20" ht="12.75" customHeight="1" x14ac:dyDescent="0.2">
      <c r="A622" s="137"/>
      <c r="B622" s="148"/>
      <c r="C622" s="148"/>
      <c r="D622" s="148"/>
      <c r="E622" s="13"/>
      <c r="F622" s="13"/>
      <c r="G622" s="147"/>
      <c r="H622" s="13"/>
      <c r="I622" s="13"/>
      <c r="J622" s="13"/>
      <c r="K622" s="13"/>
      <c r="L622" s="13"/>
      <c r="M622" s="13"/>
      <c r="N622" s="149"/>
      <c r="O622" s="13"/>
      <c r="P622" s="149"/>
      <c r="R622" s="132"/>
      <c r="T622" s="13"/>
    </row>
    <row r="623" spans="1:20" ht="12.75" customHeight="1" x14ac:dyDescent="0.2">
      <c r="A623" s="137"/>
      <c r="B623" s="148"/>
      <c r="C623" s="148"/>
      <c r="D623" s="148"/>
      <c r="E623" s="13"/>
      <c r="F623" s="13"/>
      <c r="G623" s="147"/>
      <c r="H623" s="13"/>
      <c r="I623" s="13"/>
      <c r="J623" s="13"/>
      <c r="K623" s="13"/>
      <c r="L623" s="13"/>
      <c r="M623" s="13"/>
      <c r="N623" s="149"/>
      <c r="O623" s="13"/>
      <c r="P623" s="149"/>
      <c r="R623" s="132"/>
      <c r="T623" s="13"/>
    </row>
    <row r="624" spans="1:20" ht="12.75" customHeight="1" x14ac:dyDescent="0.2">
      <c r="A624" s="137"/>
      <c r="B624" s="148"/>
      <c r="C624" s="148"/>
      <c r="D624" s="148"/>
      <c r="E624" s="13"/>
      <c r="F624" s="13"/>
      <c r="G624" s="147"/>
      <c r="H624" s="13"/>
      <c r="I624" s="13"/>
      <c r="J624" s="13"/>
      <c r="K624" s="13"/>
      <c r="L624" s="13"/>
      <c r="M624" s="13"/>
      <c r="N624" s="149"/>
      <c r="O624" s="13"/>
      <c r="P624" s="149"/>
      <c r="R624" s="132"/>
      <c r="T624" s="13"/>
    </row>
    <row r="625" spans="1:20" ht="12.75" customHeight="1" x14ac:dyDescent="0.2">
      <c r="A625" s="137"/>
      <c r="B625" s="148"/>
      <c r="C625" s="148"/>
      <c r="D625" s="148"/>
      <c r="E625" s="13"/>
      <c r="F625" s="13"/>
      <c r="G625" s="147"/>
      <c r="H625" s="13"/>
      <c r="I625" s="13"/>
      <c r="J625" s="13"/>
      <c r="K625" s="13"/>
      <c r="L625" s="13"/>
      <c r="M625" s="13"/>
      <c r="N625" s="149"/>
      <c r="O625" s="13"/>
      <c r="P625" s="149"/>
      <c r="R625" s="132"/>
      <c r="T625" s="13"/>
    </row>
    <row r="626" spans="1:20" ht="12.75" customHeight="1" x14ac:dyDescent="0.2">
      <c r="A626" s="137"/>
      <c r="B626" s="148"/>
      <c r="C626" s="148"/>
      <c r="D626" s="148"/>
      <c r="E626" s="13"/>
      <c r="F626" s="13"/>
      <c r="G626" s="147"/>
      <c r="H626" s="13"/>
      <c r="I626" s="13"/>
      <c r="J626" s="13"/>
      <c r="K626" s="13"/>
      <c r="L626" s="13"/>
      <c r="M626" s="13"/>
      <c r="N626" s="149"/>
      <c r="O626" s="13"/>
      <c r="P626" s="149"/>
      <c r="R626" s="132"/>
      <c r="T626" s="13"/>
    </row>
    <row r="627" spans="1:20" ht="12.75" customHeight="1" x14ac:dyDescent="0.2">
      <c r="A627" s="137"/>
      <c r="B627" s="148"/>
      <c r="C627" s="148"/>
      <c r="D627" s="148"/>
      <c r="E627" s="13"/>
      <c r="F627" s="13"/>
      <c r="G627" s="147"/>
      <c r="H627" s="13"/>
      <c r="I627" s="13"/>
      <c r="J627" s="13"/>
      <c r="K627" s="13"/>
      <c r="L627" s="13"/>
      <c r="M627" s="13"/>
      <c r="N627" s="149"/>
      <c r="O627" s="13"/>
      <c r="P627" s="149"/>
      <c r="R627" s="132"/>
      <c r="T627" s="13"/>
    </row>
    <row r="628" spans="1:20" ht="12.75" customHeight="1" x14ac:dyDescent="0.2">
      <c r="A628" s="137"/>
      <c r="B628" s="148"/>
      <c r="C628" s="148"/>
      <c r="D628" s="148"/>
      <c r="E628" s="13"/>
      <c r="F628" s="13"/>
      <c r="G628" s="147"/>
      <c r="H628" s="13"/>
      <c r="I628" s="13"/>
      <c r="J628" s="13"/>
      <c r="K628" s="13"/>
      <c r="L628" s="13"/>
      <c r="M628" s="13"/>
      <c r="N628" s="149"/>
      <c r="O628" s="13"/>
      <c r="P628" s="149"/>
      <c r="R628" s="132"/>
      <c r="T628" s="13"/>
    </row>
    <row r="629" spans="1:20" ht="12.75" customHeight="1" x14ac:dyDescent="0.2">
      <c r="A629" s="137"/>
      <c r="B629" s="148"/>
      <c r="C629" s="148"/>
      <c r="D629" s="148"/>
      <c r="E629" s="13"/>
      <c r="F629" s="13"/>
      <c r="G629" s="147"/>
      <c r="H629" s="13"/>
      <c r="I629" s="13"/>
      <c r="J629" s="13"/>
      <c r="K629" s="13"/>
      <c r="L629" s="13"/>
      <c r="M629" s="13"/>
      <c r="N629" s="149"/>
      <c r="O629" s="13"/>
      <c r="P629" s="149"/>
      <c r="R629" s="132"/>
      <c r="T629" s="13"/>
    </row>
    <row r="630" spans="1:20" ht="12.75" customHeight="1" x14ac:dyDescent="0.2">
      <c r="A630" s="137"/>
      <c r="B630" s="148"/>
      <c r="C630" s="148"/>
      <c r="D630" s="148"/>
      <c r="E630" s="13"/>
      <c r="F630" s="13"/>
      <c r="G630" s="147"/>
      <c r="H630" s="13"/>
      <c r="I630" s="13"/>
      <c r="J630" s="13"/>
      <c r="K630" s="13"/>
      <c r="L630" s="13"/>
      <c r="M630" s="13"/>
      <c r="N630" s="149"/>
      <c r="O630" s="13"/>
      <c r="P630" s="149"/>
      <c r="R630" s="132"/>
      <c r="T630" s="13"/>
    </row>
    <row r="631" spans="1:20" ht="12.75" customHeight="1" x14ac:dyDescent="0.2">
      <c r="A631" s="137"/>
      <c r="B631" s="148"/>
      <c r="C631" s="148"/>
      <c r="D631" s="148"/>
      <c r="E631" s="13"/>
      <c r="F631" s="13"/>
      <c r="G631" s="147"/>
      <c r="H631" s="13"/>
      <c r="I631" s="13"/>
      <c r="J631" s="13"/>
      <c r="K631" s="13"/>
      <c r="L631" s="13"/>
      <c r="M631" s="13"/>
      <c r="N631" s="149"/>
      <c r="O631" s="13"/>
      <c r="P631" s="149"/>
      <c r="R631" s="132"/>
      <c r="T631" s="13"/>
    </row>
    <row r="632" spans="1:20" ht="12.75" customHeight="1" x14ac:dyDescent="0.2">
      <c r="A632" s="137"/>
      <c r="B632" s="148"/>
      <c r="C632" s="148"/>
      <c r="D632" s="148"/>
      <c r="E632" s="13"/>
      <c r="F632" s="13"/>
      <c r="G632" s="147"/>
      <c r="H632" s="13"/>
      <c r="I632" s="13"/>
      <c r="J632" s="13"/>
      <c r="K632" s="13"/>
      <c r="L632" s="13"/>
      <c r="M632" s="13"/>
      <c r="N632" s="149"/>
      <c r="O632" s="13"/>
      <c r="P632" s="149"/>
      <c r="R632" s="132"/>
      <c r="T632" s="13"/>
    </row>
    <row r="633" spans="1:20" ht="12.75" customHeight="1" x14ac:dyDescent="0.2">
      <c r="A633" s="137"/>
      <c r="B633" s="148"/>
      <c r="C633" s="148"/>
      <c r="D633" s="148"/>
      <c r="E633" s="13"/>
      <c r="F633" s="13"/>
      <c r="G633" s="147"/>
      <c r="H633" s="13"/>
      <c r="I633" s="13"/>
      <c r="J633" s="13"/>
      <c r="K633" s="13"/>
      <c r="L633" s="13"/>
      <c r="M633" s="13"/>
      <c r="N633" s="149"/>
      <c r="O633" s="13"/>
      <c r="P633" s="149"/>
      <c r="R633" s="132"/>
      <c r="T633" s="13"/>
    </row>
    <row r="634" spans="1:20" ht="12.75" customHeight="1" x14ac:dyDescent="0.2">
      <c r="A634" s="137"/>
      <c r="B634" s="148"/>
      <c r="C634" s="148"/>
      <c r="D634" s="148"/>
      <c r="E634" s="13"/>
      <c r="F634" s="13"/>
      <c r="G634" s="147"/>
      <c r="H634" s="13"/>
      <c r="I634" s="13"/>
      <c r="J634" s="13"/>
      <c r="K634" s="13"/>
      <c r="L634" s="13"/>
      <c r="M634" s="13"/>
      <c r="N634" s="149"/>
      <c r="O634" s="13"/>
      <c r="P634" s="149"/>
      <c r="R634" s="132"/>
      <c r="T634" s="13"/>
    </row>
    <row r="635" spans="1:20" ht="12.75" customHeight="1" x14ac:dyDescent="0.2">
      <c r="A635" s="137"/>
      <c r="B635" s="148"/>
      <c r="C635" s="148"/>
      <c r="D635" s="148"/>
      <c r="E635" s="13"/>
      <c r="F635" s="13"/>
      <c r="G635" s="147"/>
      <c r="H635" s="13"/>
      <c r="I635" s="13"/>
      <c r="J635" s="13"/>
      <c r="K635" s="13"/>
      <c r="L635" s="13"/>
      <c r="M635" s="13"/>
      <c r="N635" s="149"/>
      <c r="O635" s="13"/>
      <c r="P635" s="149"/>
      <c r="R635" s="132"/>
      <c r="T635" s="13"/>
    </row>
    <row r="636" spans="1:20" ht="12.75" customHeight="1" x14ac:dyDescent="0.2">
      <c r="A636" s="137"/>
      <c r="B636" s="148"/>
      <c r="C636" s="148"/>
      <c r="D636" s="148"/>
      <c r="E636" s="13"/>
      <c r="F636" s="13"/>
      <c r="G636" s="147"/>
      <c r="H636" s="13"/>
      <c r="I636" s="13"/>
      <c r="J636" s="13"/>
      <c r="K636" s="13"/>
      <c r="L636" s="13"/>
      <c r="M636" s="13"/>
      <c r="N636" s="149"/>
      <c r="O636" s="13"/>
      <c r="P636" s="149"/>
      <c r="R636" s="132"/>
      <c r="T636" s="13"/>
    </row>
    <row r="637" spans="1:20" ht="12.75" customHeight="1" x14ac:dyDescent="0.2">
      <c r="A637" s="137"/>
      <c r="B637" s="148"/>
      <c r="C637" s="148"/>
      <c r="D637" s="148"/>
      <c r="E637" s="13"/>
      <c r="F637" s="13"/>
      <c r="G637" s="147"/>
      <c r="H637" s="13"/>
      <c r="I637" s="13"/>
      <c r="J637" s="13"/>
      <c r="K637" s="13"/>
      <c r="L637" s="13"/>
      <c r="M637" s="13"/>
      <c r="N637" s="149"/>
      <c r="O637" s="13"/>
      <c r="P637" s="149"/>
      <c r="R637" s="132"/>
      <c r="T637" s="13"/>
    </row>
    <row r="638" spans="1:20" ht="12.75" customHeight="1" x14ac:dyDescent="0.2">
      <c r="A638" s="137"/>
      <c r="B638" s="148"/>
      <c r="C638" s="148"/>
      <c r="D638" s="148"/>
      <c r="E638" s="13"/>
      <c r="F638" s="13"/>
      <c r="G638" s="147"/>
      <c r="H638" s="13"/>
      <c r="I638" s="13"/>
      <c r="J638" s="13"/>
      <c r="K638" s="13"/>
      <c r="L638" s="13"/>
      <c r="M638" s="13"/>
      <c r="N638" s="149"/>
      <c r="O638" s="13"/>
      <c r="P638" s="149"/>
      <c r="R638" s="132"/>
      <c r="T638" s="13"/>
    </row>
    <row r="639" spans="1:20" ht="12.75" customHeight="1" x14ac:dyDescent="0.2">
      <c r="A639" s="137"/>
      <c r="B639" s="148"/>
      <c r="C639" s="148"/>
      <c r="D639" s="148"/>
      <c r="E639" s="13"/>
      <c r="F639" s="13"/>
      <c r="G639" s="147"/>
      <c r="H639" s="13"/>
      <c r="I639" s="13"/>
      <c r="J639" s="13"/>
      <c r="K639" s="13"/>
      <c r="L639" s="13"/>
      <c r="M639" s="13"/>
      <c r="N639" s="149"/>
      <c r="O639" s="13"/>
      <c r="P639" s="149"/>
      <c r="R639" s="132"/>
      <c r="T639" s="13"/>
    </row>
    <row r="640" spans="1:20" ht="12.75" customHeight="1" x14ac:dyDescent="0.2">
      <c r="A640" s="137"/>
      <c r="B640" s="148"/>
      <c r="C640" s="148"/>
      <c r="D640" s="148"/>
      <c r="E640" s="13"/>
      <c r="F640" s="13"/>
      <c r="G640" s="147"/>
      <c r="H640" s="13"/>
      <c r="I640" s="13"/>
      <c r="J640" s="13"/>
      <c r="K640" s="13"/>
      <c r="L640" s="13"/>
      <c r="M640" s="13"/>
      <c r="N640" s="149"/>
      <c r="O640" s="13"/>
      <c r="P640" s="149"/>
      <c r="R640" s="132"/>
      <c r="T640" s="13"/>
    </row>
    <row r="641" spans="1:20" ht="12.75" customHeight="1" x14ac:dyDescent="0.2">
      <c r="A641" s="137"/>
      <c r="B641" s="148"/>
      <c r="C641" s="148"/>
      <c r="D641" s="148"/>
      <c r="E641" s="13"/>
      <c r="F641" s="13"/>
      <c r="G641" s="147"/>
      <c r="H641" s="13"/>
      <c r="I641" s="13"/>
      <c r="J641" s="13"/>
      <c r="K641" s="13"/>
      <c r="L641" s="13"/>
      <c r="M641" s="13"/>
      <c r="N641" s="149"/>
      <c r="O641" s="13"/>
      <c r="P641" s="149"/>
      <c r="R641" s="132"/>
      <c r="T641" s="13"/>
    </row>
    <row r="642" spans="1:20" ht="12.75" customHeight="1" x14ac:dyDescent="0.2">
      <c r="A642" s="137"/>
      <c r="B642" s="148"/>
      <c r="C642" s="148"/>
      <c r="D642" s="148"/>
      <c r="E642" s="13"/>
      <c r="F642" s="13"/>
      <c r="G642" s="147"/>
      <c r="H642" s="13"/>
      <c r="I642" s="13"/>
      <c r="J642" s="13"/>
      <c r="K642" s="13"/>
      <c r="L642" s="13"/>
      <c r="M642" s="13"/>
      <c r="N642" s="149"/>
      <c r="O642" s="13"/>
      <c r="P642" s="149"/>
      <c r="R642" s="132"/>
      <c r="T642" s="13"/>
    </row>
    <row r="643" spans="1:20" ht="12.75" customHeight="1" x14ac:dyDescent="0.2">
      <c r="A643" s="137"/>
      <c r="B643" s="148"/>
      <c r="C643" s="148"/>
      <c r="D643" s="148"/>
      <c r="E643" s="13"/>
      <c r="F643" s="13"/>
      <c r="G643" s="147"/>
      <c r="H643" s="13"/>
      <c r="I643" s="13"/>
      <c r="J643" s="13"/>
      <c r="K643" s="13"/>
      <c r="L643" s="13"/>
      <c r="M643" s="13"/>
      <c r="N643" s="149"/>
      <c r="O643" s="13"/>
      <c r="P643" s="149"/>
      <c r="R643" s="132"/>
      <c r="T643" s="13"/>
    </row>
    <row r="644" spans="1:20" ht="12.75" customHeight="1" x14ac:dyDescent="0.2">
      <c r="A644" s="137"/>
      <c r="B644" s="148"/>
      <c r="C644" s="148"/>
      <c r="D644" s="148"/>
      <c r="E644" s="13"/>
      <c r="F644" s="13"/>
      <c r="G644" s="147"/>
      <c r="H644" s="13"/>
      <c r="I644" s="13"/>
      <c r="J644" s="13"/>
      <c r="K644" s="13"/>
      <c r="L644" s="13"/>
      <c r="M644" s="13"/>
      <c r="N644" s="149"/>
      <c r="O644" s="13"/>
      <c r="P644" s="149"/>
      <c r="R644" s="132"/>
      <c r="T644" s="13"/>
    </row>
    <row r="645" spans="1:20" ht="12.75" customHeight="1" x14ac:dyDescent="0.2">
      <c r="A645" s="137"/>
      <c r="B645" s="148"/>
      <c r="C645" s="148"/>
      <c r="D645" s="148"/>
      <c r="E645" s="13"/>
      <c r="F645" s="13"/>
      <c r="G645" s="147"/>
      <c r="H645" s="13"/>
      <c r="I645" s="13"/>
      <c r="J645" s="13"/>
      <c r="K645" s="13"/>
      <c r="L645" s="13"/>
      <c r="M645" s="13"/>
      <c r="N645" s="149"/>
      <c r="O645" s="13"/>
      <c r="P645" s="149"/>
      <c r="R645" s="132"/>
      <c r="T645" s="13"/>
    </row>
    <row r="646" spans="1:20" ht="12.75" customHeight="1" x14ac:dyDescent="0.2">
      <c r="A646" s="137"/>
      <c r="B646" s="148"/>
      <c r="C646" s="148"/>
      <c r="D646" s="148"/>
      <c r="E646" s="13"/>
      <c r="F646" s="13"/>
      <c r="G646" s="147"/>
      <c r="H646" s="13"/>
      <c r="I646" s="13"/>
      <c r="J646" s="13"/>
      <c r="K646" s="13"/>
      <c r="L646" s="13"/>
      <c r="M646" s="13"/>
      <c r="N646" s="149"/>
      <c r="O646" s="13"/>
      <c r="P646" s="149"/>
      <c r="R646" s="132"/>
      <c r="T646" s="13"/>
    </row>
    <row r="647" spans="1:20" ht="12.75" customHeight="1" x14ac:dyDescent="0.2">
      <c r="A647" s="137"/>
      <c r="B647" s="148"/>
      <c r="C647" s="148"/>
      <c r="D647" s="148"/>
      <c r="E647" s="13"/>
      <c r="F647" s="13"/>
      <c r="G647" s="147"/>
      <c r="H647" s="13"/>
      <c r="I647" s="13"/>
      <c r="J647" s="13"/>
      <c r="K647" s="13"/>
      <c r="L647" s="13"/>
      <c r="M647" s="13"/>
      <c r="N647" s="149"/>
      <c r="O647" s="13"/>
      <c r="P647" s="149"/>
      <c r="R647" s="132"/>
      <c r="T647" s="13"/>
    </row>
    <row r="648" spans="1:20" ht="12.75" customHeight="1" x14ac:dyDescent="0.2">
      <c r="A648" s="137"/>
      <c r="B648" s="148"/>
      <c r="C648" s="148"/>
      <c r="D648" s="148"/>
      <c r="E648" s="13"/>
      <c r="F648" s="13"/>
      <c r="G648" s="147"/>
      <c r="H648" s="13"/>
      <c r="I648" s="13"/>
      <c r="J648" s="13"/>
      <c r="K648" s="13"/>
      <c r="L648" s="13"/>
      <c r="M648" s="13"/>
      <c r="N648" s="149"/>
      <c r="O648" s="13"/>
      <c r="P648" s="149"/>
      <c r="R648" s="132"/>
      <c r="T648" s="13"/>
    </row>
    <row r="649" spans="1:20" ht="12.75" customHeight="1" x14ac:dyDescent="0.2">
      <c r="A649" s="137"/>
      <c r="B649" s="148"/>
      <c r="C649" s="148"/>
      <c r="D649" s="148"/>
      <c r="E649" s="13"/>
      <c r="F649" s="13"/>
      <c r="G649" s="147"/>
      <c r="H649" s="13"/>
      <c r="I649" s="13"/>
      <c r="J649" s="13"/>
      <c r="K649" s="13"/>
      <c r="L649" s="13"/>
      <c r="M649" s="13"/>
      <c r="N649" s="149"/>
      <c r="O649" s="13"/>
      <c r="P649" s="149"/>
      <c r="R649" s="132"/>
      <c r="T649" s="13"/>
    </row>
    <row r="650" spans="1:20" ht="12.75" customHeight="1" x14ac:dyDescent="0.2">
      <c r="A650" s="137"/>
      <c r="B650" s="148"/>
      <c r="C650" s="148"/>
      <c r="D650" s="148"/>
      <c r="E650" s="13"/>
      <c r="F650" s="13"/>
      <c r="G650" s="147"/>
      <c r="H650" s="13"/>
      <c r="I650" s="13"/>
      <c r="J650" s="13"/>
      <c r="K650" s="13"/>
      <c r="L650" s="13"/>
      <c r="M650" s="13"/>
      <c r="N650" s="149"/>
      <c r="O650" s="13"/>
      <c r="P650" s="149"/>
      <c r="R650" s="132"/>
      <c r="T650" s="13"/>
    </row>
    <row r="651" spans="1:20" ht="12.75" customHeight="1" x14ac:dyDescent="0.2">
      <c r="A651" s="137"/>
      <c r="B651" s="148"/>
      <c r="C651" s="148"/>
      <c r="D651" s="148"/>
      <c r="E651" s="13"/>
      <c r="F651" s="13"/>
      <c r="G651" s="147"/>
      <c r="H651" s="13"/>
      <c r="I651" s="13"/>
      <c r="J651" s="13"/>
      <c r="K651" s="13"/>
      <c r="L651" s="13"/>
      <c r="M651" s="13"/>
      <c r="N651" s="149"/>
      <c r="O651" s="13"/>
      <c r="P651" s="149"/>
      <c r="R651" s="132"/>
      <c r="T651" s="13"/>
    </row>
    <row r="652" spans="1:20" ht="12.75" customHeight="1" x14ac:dyDescent="0.2">
      <c r="A652" s="137"/>
      <c r="B652" s="148"/>
      <c r="C652" s="148"/>
      <c r="D652" s="148"/>
      <c r="E652" s="13"/>
      <c r="F652" s="13"/>
      <c r="G652" s="147"/>
      <c r="H652" s="13"/>
      <c r="I652" s="13"/>
      <c r="J652" s="13"/>
      <c r="K652" s="13"/>
      <c r="L652" s="13"/>
      <c r="M652" s="13"/>
      <c r="N652" s="149"/>
      <c r="O652" s="13"/>
      <c r="P652" s="149"/>
      <c r="R652" s="132"/>
      <c r="T652" s="13"/>
    </row>
    <row r="653" spans="1:20" ht="12.75" customHeight="1" x14ac:dyDescent="0.2">
      <c r="A653" s="137"/>
      <c r="B653" s="148"/>
      <c r="C653" s="148"/>
      <c r="D653" s="148"/>
      <c r="E653" s="13"/>
      <c r="F653" s="13"/>
      <c r="G653" s="147"/>
      <c r="H653" s="13"/>
      <c r="I653" s="13"/>
      <c r="J653" s="13"/>
      <c r="K653" s="13"/>
      <c r="L653" s="13"/>
      <c r="M653" s="13"/>
      <c r="N653" s="149"/>
      <c r="O653" s="13"/>
      <c r="P653" s="149"/>
      <c r="R653" s="132"/>
      <c r="T653" s="13"/>
    </row>
    <row r="654" spans="1:20" ht="12.75" customHeight="1" x14ac:dyDescent="0.2">
      <c r="A654" s="137"/>
      <c r="B654" s="148"/>
      <c r="C654" s="148"/>
      <c r="D654" s="148"/>
      <c r="E654" s="13"/>
      <c r="F654" s="13"/>
      <c r="G654" s="147"/>
      <c r="H654" s="13"/>
      <c r="I654" s="13"/>
      <c r="J654" s="13"/>
      <c r="K654" s="13"/>
      <c r="L654" s="13"/>
      <c r="M654" s="13"/>
      <c r="N654" s="149"/>
      <c r="O654" s="13"/>
      <c r="P654" s="149"/>
      <c r="R654" s="132"/>
      <c r="T654" s="13"/>
    </row>
    <row r="655" spans="1:20" ht="12.75" customHeight="1" x14ac:dyDescent="0.2">
      <c r="A655" s="137"/>
      <c r="B655" s="148"/>
      <c r="C655" s="148"/>
      <c r="D655" s="148"/>
      <c r="E655" s="13"/>
      <c r="F655" s="13"/>
      <c r="G655" s="147"/>
      <c r="H655" s="13"/>
      <c r="I655" s="13"/>
      <c r="J655" s="13"/>
      <c r="K655" s="13"/>
      <c r="L655" s="13"/>
      <c r="M655" s="13"/>
      <c r="N655" s="149"/>
      <c r="O655" s="13"/>
      <c r="P655" s="149"/>
      <c r="R655" s="132"/>
      <c r="T655" s="13"/>
    </row>
    <row r="656" spans="1:20" ht="12.75" customHeight="1" x14ac:dyDescent="0.2">
      <c r="A656" s="137"/>
      <c r="B656" s="148"/>
      <c r="C656" s="148"/>
      <c r="D656" s="148"/>
      <c r="E656" s="13"/>
      <c r="F656" s="13"/>
      <c r="G656" s="147"/>
      <c r="H656" s="13"/>
      <c r="I656" s="13"/>
      <c r="J656" s="13"/>
      <c r="K656" s="13"/>
      <c r="L656" s="13"/>
      <c r="M656" s="13"/>
      <c r="N656" s="149"/>
      <c r="O656" s="13"/>
      <c r="P656" s="149"/>
      <c r="R656" s="132"/>
      <c r="T656" s="13"/>
    </row>
    <row r="657" spans="1:20" ht="12.75" customHeight="1" x14ac:dyDescent="0.2">
      <c r="A657" s="137"/>
      <c r="B657" s="148"/>
      <c r="C657" s="148"/>
      <c r="D657" s="148"/>
      <c r="E657" s="13"/>
      <c r="F657" s="13"/>
      <c r="G657" s="147"/>
      <c r="H657" s="13"/>
      <c r="I657" s="13"/>
      <c r="J657" s="13"/>
      <c r="K657" s="13"/>
      <c r="L657" s="13"/>
      <c r="M657" s="13"/>
      <c r="N657" s="149"/>
      <c r="O657" s="13"/>
      <c r="P657" s="149"/>
      <c r="R657" s="132"/>
      <c r="T657" s="13"/>
    </row>
    <row r="658" spans="1:20" ht="12.75" customHeight="1" x14ac:dyDescent="0.2">
      <c r="A658" s="137"/>
      <c r="B658" s="148"/>
      <c r="C658" s="148"/>
      <c r="D658" s="148"/>
      <c r="E658" s="13"/>
      <c r="F658" s="13"/>
      <c r="G658" s="147"/>
      <c r="H658" s="13"/>
      <c r="I658" s="13"/>
      <c r="J658" s="13"/>
      <c r="K658" s="13"/>
      <c r="L658" s="13"/>
      <c r="M658" s="13"/>
      <c r="N658" s="149"/>
      <c r="O658" s="13"/>
      <c r="P658" s="149"/>
      <c r="R658" s="132"/>
      <c r="T658" s="13"/>
    </row>
    <row r="659" spans="1:20" ht="12.75" customHeight="1" x14ac:dyDescent="0.2">
      <c r="A659" s="137"/>
      <c r="B659" s="148"/>
      <c r="C659" s="148"/>
      <c r="D659" s="148"/>
      <c r="E659" s="13"/>
      <c r="F659" s="13"/>
      <c r="G659" s="147"/>
      <c r="H659" s="13"/>
      <c r="I659" s="13"/>
      <c r="J659" s="13"/>
      <c r="K659" s="13"/>
      <c r="L659" s="13"/>
      <c r="M659" s="13"/>
      <c r="N659" s="149"/>
      <c r="O659" s="13"/>
      <c r="P659" s="149"/>
      <c r="R659" s="132"/>
      <c r="T659" s="13"/>
    </row>
    <row r="660" spans="1:20" ht="12.75" customHeight="1" x14ac:dyDescent="0.2">
      <c r="A660" s="137"/>
      <c r="B660" s="148"/>
      <c r="C660" s="148"/>
      <c r="D660" s="148"/>
      <c r="E660" s="13"/>
      <c r="F660" s="13"/>
      <c r="G660" s="147"/>
      <c r="H660" s="13"/>
      <c r="I660" s="13"/>
      <c r="J660" s="13"/>
      <c r="K660" s="13"/>
      <c r="L660" s="13"/>
      <c r="M660" s="13"/>
      <c r="N660" s="149"/>
      <c r="O660" s="13"/>
      <c r="P660" s="149"/>
      <c r="R660" s="132"/>
      <c r="T660" s="13"/>
    </row>
    <row r="661" spans="1:20" ht="12.75" customHeight="1" x14ac:dyDescent="0.2">
      <c r="A661" s="137"/>
      <c r="B661" s="148"/>
      <c r="C661" s="148"/>
      <c r="D661" s="148"/>
      <c r="E661" s="13"/>
      <c r="F661" s="13"/>
      <c r="G661" s="147"/>
      <c r="H661" s="13"/>
      <c r="I661" s="13"/>
      <c r="J661" s="13"/>
      <c r="K661" s="13"/>
      <c r="L661" s="13"/>
      <c r="M661" s="13"/>
      <c r="N661" s="149"/>
      <c r="O661" s="13"/>
      <c r="P661" s="149"/>
      <c r="R661" s="132"/>
      <c r="T661" s="13"/>
    </row>
    <row r="662" spans="1:20" ht="12.75" customHeight="1" x14ac:dyDescent="0.2">
      <c r="A662" s="137"/>
      <c r="B662" s="148"/>
      <c r="C662" s="148"/>
      <c r="D662" s="148"/>
      <c r="E662" s="13"/>
      <c r="F662" s="13"/>
      <c r="G662" s="147"/>
      <c r="H662" s="13"/>
      <c r="I662" s="13"/>
      <c r="J662" s="13"/>
      <c r="K662" s="13"/>
      <c r="L662" s="13"/>
      <c r="M662" s="13"/>
      <c r="N662" s="149"/>
      <c r="O662" s="13"/>
      <c r="P662" s="149"/>
      <c r="R662" s="132"/>
      <c r="T662" s="13"/>
    </row>
    <row r="663" spans="1:20" ht="12.75" customHeight="1" x14ac:dyDescent="0.2">
      <c r="A663" s="137"/>
      <c r="B663" s="148"/>
      <c r="C663" s="148"/>
      <c r="D663" s="148"/>
      <c r="E663" s="13"/>
      <c r="F663" s="13"/>
      <c r="G663" s="147"/>
      <c r="H663" s="13"/>
      <c r="I663" s="13"/>
      <c r="J663" s="13"/>
      <c r="K663" s="13"/>
      <c r="L663" s="13"/>
      <c r="M663" s="13"/>
      <c r="N663" s="149"/>
      <c r="O663" s="13"/>
      <c r="P663" s="149"/>
      <c r="R663" s="132"/>
      <c r="T663" s="13"/>
    </row>
    <row r="664" spans="1:20" ht="12.75" customHeight="1" x14ac:dyDescent="0.2">
      <c r="A664" s="137"/>
      <c r="B664" s="148"/>
      <c r="C664" s="148"/>
      <c r="D664" s="148"/>
      <c r="E664" s="13"/>
      <c r="F664" s="13"/>
      <c r="G664" s="147"/>
      <c r="H664" s="13"/>
      <c r="I664" s="13"/>
      <c r="J664" s="13"/>
      <c r="K664" s="13"/>
      <c r="L664" s="13"/>
      <c r="M664" s="13"/>
      <c r="N664" s="149"/>
      <c r="O664" s="13"/>
      <c r="P664" s="149"/>
      <c r="R664" s="132"/>
      <c r="T664" s="13"/>
    </row>
    <row r="665" spans="1:20" ht="12.75" customHeight="1" x14ac:dyDescent="0.2">
      <c r="A665" s="137"/>
      <c r="B665" s="148"/>
      <c r="C665" s="148"/>
      <c r="D665" s="148"/>
      <c r="E665" s="13"/>
      <c r="F665" s="13"/>
      <c r="G665" s="147"/>
      <c r="H665" s="13"/>
      <c r="I665" s="13"/>
      <c r="J665" s="13"/>
      <c r="K665" s="13"/>
      <c r="L665" s="13"/>
      <c r="M665" s="13"/>
      <c r="N665" s="149"/>
      <c r="O665" s="13"/>
      <c r="P665" s="149"/>
      <c r="R665" s="132"/>
      <c r="T665" s="13"/>
    </row>
    <row r="666" spans="1:20" ht="12.75" customHeight="1" x14ac:dyDescent="0.2">
      <c r="A666" s="137"/>
      <c r="B666" s="148"/>
      <c r="C666" s="148"/>
      <c r="D666" s="148"/>
      <c r="E666" s="13"/>
      <c r="F666" s="13"/>
      <c r="G666" s="147"/>
      <c r="H666" s="13"/>
      <c r="I666" s="13"/>
      <c r="J666" s="13"/>
      <c r="K666" s="13"/>
      <c r="L666" s="13"/>
      <c r="M666" s="13"/>
      <c r="N666" s="149"/>
      <c r="O666" s="13"/>
      <c r="P666" s="149"/>
      <c r="R666" s="132"/>
      <c r="T666" s="13"/>
    </row>
    <row r="667" spans="1:20" ht="12.75" customHeight="1" x14ac:dyDescent="0.2">
      <c r="A667" s="137"/>
      <c r="B667" s="148"/>
      <c r="C667" s="148"/>
      <c r="D667" s="148"/>
      <c r="E667" s="13"/>
      <c r="F667" s="13"/>
      <c r="G667" s="147"/>
      <c r="H667" s="13"/>
      <c r="I667" s="13"/>
      <c r="J667" s="13"/>
      <c r="K667" s="13"/>
      <c r="L667" s="13"/>
      <c r="M667" s="13"/>
      <c r="N667" s="149"/>
      <c r="O667" s="13"/>
      <c r="P667" s="149"/>
      <c r="R667" s="132"/>
      <c r="T667" s="13"/>
    </row>
    <row r="668" spans="1:20" ht="12.75" customHeight="1" x14ac:dyDescent="0.2">
      <c r="A668" s="137"/>
      <c r="B668" s="148"/>
      <c r="C668" s="148"/>
      <c r="D668" s="148"/>
      <c r="E668" s="13"/>
      <c r="F668" s="13"/>
      <c r="G668" s="147"/>
      <c r="H668" s="13"/>
      <c r="I668" s="13"/>
      <c r="J668" s="13"/>
      <c r="K668" s="13"/>
      <c r="L668" s="13"/>
      <c r="M668" s="13"/>
      <c r="N668" s="149"/>
      <c r="O668" s="13"/>
      <c r="P668" s="149"/>
      <c r="R668" s="132"/>
      <c r="T668" s="13"/>
    </row>
    <row r="669" spans="1:20" ht="12.75" customHeight="1" x14ac:dyDescent="0.2">
      <c r="A669" s="137"/>
      <c r="B669" s="148"/>
      <c r="C669" s="148"/>
      <c r="D669" s="148"/>
      <c r="E669" s="13"/>
      <c r="F669" s="13"/>
      <c r="G669" s="147"/>
      <c r="H669" s="13"/>
      <c r="I669" s="13"/>
      <c r="J669" s="13"/>
      <c r="K669" s="13"/>
      <c r="L669" s="13"/>
      <c r="M669" s="13"/>
      <c r="N669" s="149"/>
      <c r="O669" s="13"/>
      <c r="P669" s="149"/>
      <c r="R669" s="132"/>
      <c r="T669" s="13"/>
    </row>
    <row r="670" spans="1:20" ht="12.75" customHeight="1" x14ac:dyDescent="0.2">
      <c r="A670" s="137"/>
      <c r="B670" s="148"/>
      <c r="C670" s="148"/>
      <c r="D670" s="148"/>
      <c r="E670" s="13"/>
      <c r="F670" s="13"/>
      <c r="G670" s="147"/>
      <c r="H670" s="13"/>
      <c r="I670" s="13"/>
      <c r="J670" s="13"/>
      <c r="K670" s="13"/>
      <c r="L670" s="13"/>
      <c r="M670" s="13"/>
      <c r="N670" s="149"/>
      <c r="O670" s="13"/>
      <c r="P670" s="149"/>
      <c r="R670" s="132"/>
      <c r="T670" s="13"/>
    </row>
    <row r="671" spans="1:20" ht="12.75" customHeight="1" x14ac:dyDescent="0.2">
      <c r="A671" s="137"/>
      <c r="B671" s="148"/>
      <c r="C671" s="148"/>
      <c r="D671" s="148"/>
      <c r="E671" s="13"/>
      <c r="F671" s="13"/>
      <c r="G671" s="147"/>
      <c r="H671" s="13"/>
      <c r="I671" s="13"/>
      <c r="J671" s="13"/>
      <c r="K671" s="13"/>
      <c r="L671" s="13"/>
      <c r="M671" s="13"/>
      <c r="N671" s="149"/>
      <c r="O671" s="13"/>
      <c r="P671" s="149"/>
      <c r="R671" s="132"/>
      <c r="T671" s="13"/>
    </row>
    <row r="672" spans="1:20" ht="12.75" customHeight="1" x14ac:dyDescent="0.2">
      <c r="A672" s="137"/>
      <c r="B672" s="148"/>
      <c r="C672" s="148"/>
      <c r="D672" s="148"/>
      <c r="E672" s="13"/>
      <c r="F672" s="13"/>
      <c r="G672" s="147"/>
      <c r="H672" s="13"/>
      <c r="I672" s="13"/>
      <c r="J672" s="13"/>
      <c r="K672" s="13"/>
      <c r="L672" s="13"/>
      <c r="M672" s="13"/>
      <c r="N672" s="149"/>
      <c r="O672" s="13"/>
      <c r="P672" s="149"/>
      <c r="R672" s="132"/>
      <c r="T672" s="13"/>
    </row>
    <row r="673" spans="1:20" ht="12.75" customHeight="1" x14ac:dyDescent="0.2">
      <c r="A673" s="137"/>
      <c r="B673" s="148"/>
      <c r="C673" s="148"/>
      <c r="D673" s="148"/>
      <c r="E673" s="13"/>
      <c r="F673" s="13"/>
      <c r="G673" s="147"/>
      <c r="H673" s="13"/>
      <c r="I673" s="13"/>
      <c r="J673" s="13"/>
      <c r="K673" s="13"/>
      <c r="L673" s="13"/>
      <c r="M673" s="13"/>
      <c r="N673" s="149"/>
      <c r="O673" s="13"/>
      <c r="P673" s="149"/>
      <c r="R673" s="132"/>
      <c r="T673" s="13"/>
    </row>
    <row r="674" spans="1:20" ht="12.75" customHeight="1" x14ac:dyDescent="0.2">
      <c r="A674" s="137"/>
      <c r="B674" s="148"/>
      <c r="C674" s="148"/>
      <c r="D674" s="148"/>
      <c r="E674" s="13"/>
      <c r="F674" s="13"/>
      <c r="G674" s="147"/>
      <c r="H674" s="13"/>
      <c r="I674" s="13"/>
      <c r="J674" s="13"/>
      <c r="K674" s="13"/>
      <c r="L674" s="13"/>
      <c r="M674" s="13"/>
      <c r="N674" s="149"/>
      <c r="O674" s="13"/>
      <c r="P674" s="149"/>
      <c r="R674" s="132"/>
      <c r="T674" s="13"/>
    </row>
    <row r="675" spans="1:20" ht="12.75" customHeight="1" x14ac:dyDescent="0.2">
      <c r="A675" s="137"/>
      <c r="B675" s="148"/>
      <c r="C675" s="148"/>
      <c r="D675" s="148"/>
      <c r="E675" s="13"/>
      <c r="F675" s="13"/>
      <c r="G675" s="147"/>
      <c r="H675" s="13"/>
      <c r="I675" s="13"/>
      <c r="J675" s="13"/>
      <c r="K675" s="13"/>
      <c r="L675" s="13"/>
      <c r="M675" s="13"/>
      <c r="N675" s="149"/>
      <c r="O675" s="13"/>
      <c r="P675" s="149"/>
      <c r="R675" s="132"/>
      <c r="T675" s="13"/>
    </row>
    <row r="676" spans="1:20" ht="12.75" customHeight="1" x14ac:dyDescent="0.2">
      <c r="A676" s="137"/>
      <c r="B676" s="148"/>
      <c r="C676" s="148"/>
      <c r="D676" s="148"/>
      <c r="E676" s="13"/>
      <c r="F676" s="13"/>
      <c r="G676" s="147"/>
      <c r="H676" s="13"/>
      <c r="I676" s="13"/>
      <c r="J676" s="13"/>
      <c r="K676" s="13"/>
      <c r="L676" s="13"/>
      <c r="M676" s="13"/>
      <c r="N676" s="149"/>
      <c r="O676" s="13"/>
      <c r="P676" s="149"/>
      <c r="R676" s="132"/>
      <c r="T676" s="13"/>
    </row>
    <row r="677" spans="1:20" ht="12.75" customHeight="1" x14ac:dyDescent="0.2">
      <c r="A677" s="137"/>
      <c r="B677" s="148"/>
      <c r="C677" s="148"/>
      <c r="D677" s="148"/>
      <c r="E677" s="13"/>
      <c r="F677" s="13"/>
      <c r="G677" s="147"/>
      <c r="H677" s="13"/>
      <c r="I677" s="13"/>
      <c r="J677" s="13"/>
      <c r="K677" s="13"/>
      <c r="L677" s="13"/>
      <c r="M677" s="13"/>
      <c r="N677" s="149"/>
      <c r="O677" s="13"/>
      <c r="P677" s="149"/>
      <c r="R677" s="132"/>
      <c r="T677" s="13"/>
    </row>
    <row r="678" spans="1:20" ht="12.75" customHeight="1" x14ac:dyDescent="0.2">
      <c r="A678" s="137"/>
      <c r="B678" s="148"/>
      <c r="C678" s="148"/>
      <c r="D678" s="148"/>
      <c r="E678" s="13"/>
      <c r="F678" s="13"/>
      <c r="G678" s="147"/>
      <c r="H678" s="13"/>
      <c r="I678" s="13"/>
      <c r="J678" s="13"/>
      <c r="K678" s="13"/>
      <c r="L678" s="13"/>
      <c r="M678" s="13"/>
      <c r="N678" s="149"/>
      <c r="O678" s="13"/>
      <c r="P678" s="149"/>
      <c r="R678" s="132"/>
      <c r="T678" s="13"/>
    </row>
    <row r="679" spans="1:20" ht="12.75" customHeight="1" x14ac:dyDescent="0.2">
      <c r="A679" s="137"/>
      <c r="B679" s="148"/>
      <c r="C679" s="148"/>
      <c r="D679" s="148"/>
      <c r="E679" s="13"/>
      <c r="F679" s="13"/>
      <c r="G679" s="147"/>
      <c r="H679" s="13"/>
      <c r="I679" s="13"/>
      <c r="J679" s="13"/>
      <c r="K679" s="13"/>
      <c r="L679" s="13"/>
      <c r="M679" s="13"/>
      <c r="N679" s="149"/>
      <c r="O679" s="13"/>
      <c r="P679" s="149"/>
      <c r="R679" s="132"/>
      <c r="T679" s="13"/>
    </row>
    <row r="680" spans="1:20" ht="12.75" customHeight="1" x14ac:dyDescent="0.2">
      <c r="A680" s="137"/>
      <c r="B680" s="148"/>
      <c r="C680" s="148"/>
      <c r="D680" s="148"/>
      <c r="E680" s="13"/>
      <c r="F680" s="13"/>
      <c r="G680" s="147"/>
      <c r="H680" s="13"/>
      <c r="I680" s="13"/>
      <c r="J680" s="13"/>
      <c r="K680" s="13"/>
      <c r="L680" s="13"/>
      <c r="M680" s="13"/>
      <c r="N680" s="149"/>
      <c r="O680" s="13"/>
      <c r="P680" s="149"/>
      <c r="R680" s="132"/>
      <c r="T680" s="13"/>
    </row>
    <row r="681" spans="1:20" ht="12.75" customHeight="1" x14ac:dyDescent="0.2">
      <c r="A681" s="137"/>
      <c r="B681" s="148"/>
      <c r="C681" s="148"/>
      <c r="D681" s="148"/>
      <c r="E681" s="13"/>
      <c r="F681" s="13"/>
      <c r="G681" s="147"/>
      <c r="H681" s="13"/>
      <c r="I681" s="13"/>
      <c r="J681" s="13"/>
      <c r="K681" s="13"/>
      <c r="L681" s="13"/>
      <c r="M681" s="13"/>
      <c r="N681" s="149"/>
      <c r="O681" s="13"/>
      <c r="P681" s="149"/>
      <c r="R681" s="132"/>
      <c r="T681" s="13"/>
    </row>
    <row r="682" spans="1:20" ht="12.75" customHeight="1" x14ac:dyDescent="0.2">
      <c r="A682" s="137"/>
      <c r="B682" s="148"/>
      <c r="C682" s="148"/>
      <c r="D682" s="148"/>
      <c r="E682" s="13"/>
      <c r="F682" s="13"/>
      <c r="G682" s="147"/>
      <c r="H682" s="13"/>
      <c r="I682" s="13"/>
      <c r="J682" s="13"/>
      <c r="K682" s="13"/>
      <c r="L682" s="13"/>
      <c r="M682" s="13"/>
      <c r="N682" s="149"/>
      <c r="O682" s="13"/>
      <c r="P682" s="149"/>
      <c r="R682" s="132"/>
      <c r="T682" s="13"/>
    </row>
    <row r="683" spans="1:20" ht="12.75" customHeight="1" x14ac:dyDescent="0.2">
      <c r="A683" s="137"/>
      <c r="B683" s="148"/>
      <c r="C683" s="148"/>
      <c r="D683" s="148"/>
      <c r="E683" s="13"/>
      <c r="F683" s="13"/>
      <c r="G683" s="147"/>
      <c r="H683" s="13"/>
      <c r="I683" s="13"/>
      <c r="J683" s="13"/>
      <c r="K683" s="13"/>
      <c r="L683" s="13"/>
      <c r="M683" s="13"/>
      <c r="N683" s="149"/>
      <c r="O683" s="13"/>
      <c r="P683" s="149"/>
      <c r="R683" s="132"/>
      <c r="T683" s="13"/>
    </row>
    <row r="684" spans="1:20" ht="12.75" customHeight="1" x14ac:dyDescent="0.2">
      <c r="A684" s="137"/>
      <c r="B684" s="148"/>
      <c r="C684" s="148"/>
      <c r="D684" s="148"/>
      <c r="E684" s="13"/>
      <c r="F684" s="13"/>
      <c r="G684" s="147"/>
      <c r="H684" s="13"/>
      <c r="I684" s="13"/>
      <c r="J684" s="13"/>
      <c r="K684" s="13"/>
      <c r="L684" s="13"/>
      <c r="M684" s="13"/>
      <c r="N684" s="149"/>
      <c r="O684" s="13"/>
      <c r="P684" s="149"/>
      <c r="R684" s="132"/>
      <c r="T684" s="13"/>
    </row>
    <row r="685" spans="1:20" ht="12.75" customHeight="1" x14ac:dyDescent="0.2">
      <c r="A685" s="137"/>
      <c r="B685" s="148"/>
      <c r="C685" s="148"/>
      <c r="D685" s="148"/>
      <c r="E685" s="13"/>
      <c r="F685" s="13"/>
      <c r="G685" s="147"/>
      <c r="H685" s="13"/>
      <c r="I685" s="13"/>
      <c r="J685" s="13"/>
      <c r="K685" s="13"/>
      <c r="L685" s="13"/>
      <c r="M685" s="13"/>
      <c r="N685" s="149"/>
      <c r="O685" s="13"/>
      <c r="P685" s="149"/>
      <c r="R685" s="132"/>
      <c r="T685" s="13"/>
    </row>
    <row r="686" spans="1:20" ht="12.75" customHeight="1" x14ac:dyDescent="0.2">
      <c r="A686" s="137"/>
      <c r="B686" s="148"/>
      <c r="C686" s="148"/>
      <c r="D686" s="148"/>
      <c r="E686" s="13"/>
      <c r="F686" s="13"/>
      <c r="G686" s="147"/>
      <c r="H686" s="13"/>
      <c r="I686" s="13"/>
      <c r="J686" s="13"/>
      <c r="K686" s="13"/>
      <c r="L686" s="13"/>
      <c r="M686" s="13"/>
      <c r="N686" s="149"/>
      <c r="O686" s="13"/>
      <c r="P686" s="149"/>
      <c r="R686" s="132"/>
      <c r="T686" s="13"/>
    </row>
    <row r="687" spans="1:20" ht="12.75" customHeight="1" x14ac:dyDescent="0.2">
      <c r="A687" s="137"/>
      <c r="B687" s="148"/>
      <c r="C687" s="148"/>
      <c r="D687" s="148"/>
      <c r="E687" s="13"/>
      <c r="F687" s="13"/>
      <c r="G687" s="147"/>
      <c r="H687" s="13"/>
      <c r="I687" s="13"/>
      <c r="J687" s="13"/>
      <c r="K687" s="13"/>
      <c r="L687" s="13"/>
      <c r="M687" s="13"/>
      <c r="N687" s="149"/>
      <c r="O687" s="13"/>
      <c r="P687" s="149"/>
      <c r="R687" s="132"/>
      <c r="T687" s="13"/>
    </row>
    <row r="688" spans="1:20" ht="12.75" customHeight="1" x14ac:dyDescent="0.2">
      <c r="A688" s="137"/>
      <c r="B688" s="148"/>
      <c r="C688" s="148"/>
      <c r="D688" s="148"/>
      <c r="E688" s="13"/>
      <c r="F688" s="13"/>
      <c r="G688" s="147"/>
      <c r="H688" s="13"/>
      <c r="I688" s="13"/>
      <c r="J688" s="13"/>
      <c r="K688" s="13"/>
      <c r="L688" s="13"/>
      <c r="M688" s="13"/>
      <c r="N688" s="149"/>
      <c r="O688" s="13"/>
      <c r="P688" s="149"/>
      <c r="R688" s="132"/>
      <c r="T688" s="13"/>
    </row>
    <row r="689" spans="1:20" ht="12.75" customHeight="1" x14ac:dyDescent="0.2">
      <c r="A689" s="137"/>
      <c r="B689" s="148"/>
      <c r="C689" s="148"/>
      <c r="D689" s="148"/>
      <c r="E689" s="13"/>
      <c r="F689" s="13"/>
      <c r="G689" s="147"/>
      <c r="H689" s="13"/>
      <c r="I689" s="13"/>
      <c r="J689" s="13"/>
      <c r="K689" s="13"/>
      <c r="L689" s="13"/>
      <c r="M689" s="13"/>
      <c r="N689" s="149"/>
      <c r="O689" s="13"/>
      <c r="P689" s="149"/>
      <c r="R689" s="132"/>
      <c r="T689" s="13"/>
    </row>
    <row r="690" spans="1:20" ht="12.75" customHeight="1" x14ac:dyDescent="0.2">
      <c r="A690" s="137"/>
      <c r="B690" s="148"/>
      <c r="C690" s="148"/>
      <c r="D690" s="148"/>
      <c r="E690" s="13"/>
      <c r="F690" s="13"/>
      <c r="G690" s="147"/>
      <c r="H690" s="13"/>
      <c r="I690" s="13"/>
      <c r="J690" s="13"/>
      <c r="K690" s="13"/>
      <c r="L690" s="13"/>
      <c r="M690" s="13"/>
      <c r="N690" s="149"/>
      <c r="O690" s="13"/>
      <c r="P690" s="149"/>
      <c r="R690" s="132"/>
      <c r="T690" s="13"/>
    </row>
    <row r="691" spans="1:20" ht="12.75" customHeight="1" x14ac:dyDescent="0.2">
      <c r="A691" s="137"/>
      <c r="B691" s="148"/>
      <c r="C691" s="148"/>
      <c r="D691" s="148"/>
      <c r="E691" s="13"/>
      <c r="F691" s="13"/>
      <c r="G691" s="147"/>
      <c r="H691" s="13"/>
      <c r="I691" s="13"/>
      <c r="J691" s="13"/>
      <c r="K691" s="13"/>
      <c r="L691" s="13"/>
      <c r="M691" s="13"/>
      <c r="N691" s="149"/>
      <c r="O691" s="13"/>
      <c r="P691" s="149"/>
      <c r="R691" s="132"/>
      <c r="T691" s="13"/>
    </row>
    <row r="692" spans="1:20" ht="12.75" customHeight="1" x14ac:dyDescent="0.2">
      <c r="A692" s="137"/>
      <c r="B692" s="148"/>
      <c r="C692" s="148"/>
      <c r="D692" s="148"/>
      <c r="E692" s="13"/>
      <c r="F692" s="13"/>
      <c r="G692" s="147"/>
      <c r="H692" s="13"/>
      <c r="I692" s="13"/>
      <c r="J692" s="13"/>
      <c r="K692" s="13"/>
      <c r="L692" s="13"/>
      <c r="M692" s="13"/>
      <c r="N692" s="149"/>
      <c r="O692" s="13"/>
      <c r="P692" s="149"/>
      <c r="R692" s="132"/>
      <c r="T692" s="13"/>
    </row>
    <row r="693" spans="1:20" ht="12.75" customHeight="1" x14ac:dyDescent="0.2">
      <c r="A693" s="137"/>
      <c r="B693" s="148"/>
      <c r="C693" s="148"/>
      <c r="D693" s="148"/>
      <c r="E693" s="13"/>
      <c r="F693" s="13"/>
      <c r="G693" s="147"/>
      <c r="H693" s="13"/>
      <c r="I693" s="13"/>
      <c r="J693" s="13"/>
      <c r="K693" s="13"/>
      <c r="L693" s="13"/>
      <c r="M693" s="13"/>
      <c r="N693" s="149"/>
      <c r="O693" s="13"/>
      <c r="P693" s="149"/>
      <c r="R693" s="132"/>
      <c r="T693" s="13"/>
    </row>
    <row r="694" spans="1:20" ht="12.75" customHeight="1" x14ac:dyDescent="0.2">
      <c r="A694" s="137"/>
      <c r="B694" s="148"/>
      <c r="C694" s="148"/>
      <c r="D694" s="148"/>
      <c r="E694" s="13"/>
      <c r="F694" s="13"/>
      <c r="G694" s="147"/>
      <c r="H694" s="13"/>
      <c r="I694" s="13"/>
      <c r="J694" s="13"/>
      <c r="K694" s="13"/>
      <c r="L694" s="13"/>
      <c r="M694" s="13"/>
      <c r="N694" s="149"/>
      <c r="O694" s="13"/>
      <c r="P694" s="149"/>
      <c r="R694" s="132"/>
      <c r="T694" s="13"/>
    </row>
    <row r="695" spans="1:20" ht="12.75" customHeight="1" x14ac:dyDescent="0.2">
      <c r="A695" s="137"/>
      <c r="B695" s="148"/>
      <c r="C695" s="148"/>
      <c r="D695" s="148"/>
      <c r="E695" s="13"/>
      <c r="F695" s="13"/>
      <c r="G695" s="147"/>
      <c r="H695" s="13"/>
      <c r="I695" s="13"/>
      <c r="J695" s="13"/>
      <c r="K695" s="13"/>
      <c r="L695" s="13"/>
      <c r="M695" s="13"/>
      <c r="N695" s="149"/>
      <c r="O695" s="13"/>
      <c r="P695" s="149"/>
      <c r="R695" s="132"/>
      <c r="T695" s="13"/>
    </row>
    <row r="696" spans="1:20" ht="12.75" customHeight="1" x14ac:dyDescent="0.2">
      <c r="A696" s="137"/>
      <c r="B696" s="148"/>
      <c r="C696" s="148"/>
      <c r="D696" s="148"/>
      <c r="E696" s="13"/>
      <c r="F696" s="13"/>
      <c r="G696" s="147"/>
      <c r="H696" s="13"/>
      <c r="I696" s="13"/>
      <c r="J696" s="13"/>
      <c r="K696" s="13"/>
      <c r="L696" s="13"/>
      <c r="M696" s="13"/>
      <c r="N696" s="149"/>
      <c r="O696" s="13"/>
      <c r="P696" s="149"/>
      <c r="R696" s="132"/>
      <c r="T696" s="13"/>
    </row>
    <row r="697" spans="1:20" ht="12.75" customHeight="1" x14ac:dyDescent="0.2">
      <c r="A697" s="137"/>
      <c r="B697" s="148"/>
      <c r="C697" s="148"/>
      <c r="D697" s="148"/>
      <c r="E697" s="13"/>
      <c r="F697" s="13"/>
      <c r="G697" s="147"/>
      <c r="H697" s="13"/>
      <c r="I697" s="13"/>
      <c r="J697" s="13"/>
      <c r="K697" s="13"/>
      <c r="L697" s="13"/>
      <c r="M697" s="13"/>
      <c r="N697" s="149"/>
      <c r="O697" s="13"/>
      <c r="P697" s="149"/>
      <c r="R697" s="132"/>
      <c r="T697" s="13"/>
    </row>
    <row r="698" spans="1:20" ht="12.75" customHeight="1" x14ac:dyDescent="0.2">
      <c r="A698" s="137"/>
      <c r="B698" s="148"/>
      <c r="C698" s="148"/>
      <c r="D698" s="148"/>
      <c r="E698" s="13"/>
      <c r="F698" s="13"/>
      <c r="G698" s="147"/>
      <c r="H698" s="13"/>
      <c r="I698" s="13"/>
      <c r="J698" s="13"/>
      <c r="K698" s="13"/>
      <c r="L698" s="13"/>
      <c r="M698" s="13"/>
      <c r="N698" s="149"/>
      <c r="O698" s="13"/>
      <c r="P698" s="149"/>
      <c r="R698" s="132"/>
      <c r="T698" s="13"/>
    </row>
    <row r="699" spans="1:20" ht="12.75" customHeight="1" x14ac:dyDescent="0.2">
      <c r="A699" s="137"/>
      <c r="B699" s="148"/>
      <c r="C699" s="148"/>
      <c r="D699" s="148"/>
      <c r="E699" s="13"/>
      <c r="F699" s="13"/>
      <c r="G699" s="147"/>
      <c r="H699" s="13"/>
      <c r="I699" s="13"/>
      <c r="J699" s="13"/>
      <c r="K699" s="13"/>
      <c r="L699" s="13"/>
      <c r="M699" s="13"/>
      <c r="N699" s="149"/>
      <c r="O699" s="13"/>
      <c r="P699" s="149"/>
      <c r="R699" s="132"/>
      <c r="T699" s="13"/>
    </row>
    <row r="700" spans="1:20" ht="12.75" customHeight="1" x14ac:dyDescent="0.2">
      <c r="A700" s="137"/>
      <c r="B700" s="148"/>
      <c r="C700" s="148"/>
      <c r="D700" s="148"/>
      <c r="E700" s="13"/>
      <c r="F700" s="13"/>
      <c r="G700" s="147"/>
      <c r="H700" s="13"/>
      <c r="I700" s="13"/>
      <c r="J700" s="13"/>
      <c r="K700" s="13"/>
      <c r="L700" s="13"/>
      <c r="M700" s="13"/>
      <c r="N700" s="149"/>
      <c r="O700" s="13"/>
      <c r="P700" s="149"/>
      <c r="R700" s="132"/>
      <c r="T700" s="13"/>
    </row>
    <row r="701" spans="1:20" ht="12.75" customHeight="1" x14ac:dyDescent="0.2">
      <c r="A701" s="137"/>
      <c r="B701" s="148"/>
      <c r="C701" s="148"/>
      <c r="D701" s="148"/>
      <c r="E701" s="13"/>
      <c r="F701" s="13"/>
      <c r="G701" s="147"/>
      <c r="H701" s="13"/>
      <c r="I701" s="13"/>
      <c r="J701" s="13"/>
      <c r="K701" s="13"/>
      <c r="L701" s="13"/>
      <c r="M701" s="13"/>
      <c r="N701" s="149"/>
      <c r="O701" s="13"/>
      <c r="P701" s="149"/>
      <c r="R701" s="132"/>
      <c r="T701" s="13"/>
    </row>
    <row r="702" spans="1:20" ht="12.75" customHeight="1" x14ac:dyDescent="0.2">
      <c r="A702" s="137"/>
      <c r="B702" s="148"/>
      <c r="C702" s="148"/>
      <c r="D702" s="148"/>
      <c r="E702" s="13"/>
      <c r="F702" s="13"/>
      <c r="G702" s="147"/>
      <c r="H702" s="13"/>
      <c r="I702" s="13"/>
      <c r="J702" s="13"/>
      <c r="K702" s="13"/>
      <c r="L702" s="13"/>
      <c r="M702" s="13"/>
      <c r="N702" s="149"/>
      <c r="O702" s="13"/>
      <c r="P702" s="149"/>
      <c r="R702" s="132"/>
      <c r="T702" s="13"/>
    </row>
    <row r="703" spans="1:20" ht="12.75" customHeight="1" x14ac:dyDescent="0.2">
      <c r="A703" s="137"/>
      <c r="B703" s="148"/>
      <c r="C703" s="148"/>
      <c r="D703" s="148"/>
      <c r="E703" s="13"/>
      <c r="F703" s="13"/>
      <c r="G703" s="147"/>
      <c r="H703" s="13"/>
      <c r="I703" s="13"/>
      <c r="J703" s="13"/>
      <c r="K703" s="13"/>
      <c r="L703" s="13"/>
      <c r="M703" s="13"/>
      <c r="N703" s="149"/>
      <c r="O703" s="13"/>
      <c r="P703" s="149"/>
      <c r="R703" s="132"/>
      <c r="T703" s="13"/>
    </row>
    <row r="704" spans="1:20" ht="12.75" customHeight="1" x14ac:dyDescent="0.2">
      <c r="A704" s="137"/>
      <c r="B704" s="148"/>
      <c r="C704" s="148"/>
      <c r="D704" s="148"/>
      <c r="E704" s="13"/>
      <c r="F704" s="13"/>
      <c r="G704" s="147"/>
      <c r="H704" s="13"/>
      <c r="I704" s="13"/>
      <c r="J704" s="13"/>
      <c r="K704" s="13"/>
      <c r="L704" s="13"/>
      <c r="M704" s="13"/>
      <c r="N704" s="149"/>
      <c r="O704" s="13"/>
      <c r="P704" s="149"/>
      <c r="R704" s="132"/>
      <c r="T704" s="13"/>
    </row>
    <row r="705" spans="1:20" ht="12.75" customHeight="1" x14ac:dyDescent="0.2">
      <c r="A705" s="137"/>
      <c r="B705" s="148"/>
      <c r="C705" s="148"/>
      <c r="D705" s="148"/>
      <c r="E705" s="13"/>
      <c r="F705" s="13"/>
      <c r="G705" s="147"/>
      <c r="H705" s="13"/>
      <c r="I705" s="13"/>
      <c r="J705" s="13"/>
      <c r="K705" s="13"/>
      <c r="L705" s="13"/>
      <c r="M705" s="13"/>
      <c r="N705" s="149"/>
      <c r="O705" s="13"/>
      <c r="P705" s="149"/>
      <c r="R705" s="132"/>
      <c r="T705" s="13"/>
    </row>
    <row r="706" spans="1:20" ht="12.75" customHeight="1" x14ac:dyDescent="0.2">
      <c r="A706" s="137"/>
      <c r="B706" s="148"/>
      <c r="C706" s="148"/>
      <c r="D706" s="148"/>
      <c r="E706" s="13"/>
      <c r="F706" s="13"/>
      <c r="G706" s="147"/>
      <c r="H706" s="13"/>
      <c r="I706" s="13"/>
      <c r="J706" s="13"/>
      <c r="K706" s="13"/>
      <c r="L706" s="13"/>
      <c r="M706" s="13"/>
      <c r="N706" s="149"/>
      <c r="O706" s="13"/>
      <c r="P706" s="149"/>
      <c r="R706" s="132"/>
      <c r="T706" s="13"/>
    </row>
    <row r="707" spans="1:20" ht="12.75" customHeight="1" x14ac:dyDescent="0.2">
      <c r="A707" s="137"/>
      <c r="B707" s="148"/>
      <c r="C707" s="148"/>
      <c r="D707" s="148"/>
      <c r="E707" s="13"/>
      <c r="F707" s="13"/>
      <c r="G707" s="147"/>
      <c r="H707" s="13"/>
      <c r="I707" s="13"/>
      <c r="J707" s="13"/>
      <c r="K707" s="13"/>
      <c r="L707" s="13"/>
      <c r="M707" s="13"/>
      <c r="N707" s="149"/>
      <c r="O707" s="13"/>
      <c r="P707" s="149"/>
      <c r="R707" s="132"/>
      <c r="T707" s="13"/>
    </row>
    <row r="708" spans="1:20" ht="12.75" customHeight="1" x14ac:dyDescent="0.2">
      <c r="A708" s="137"/>
      <c r="B708" s="148"/>
      <c r="C708" s="148"/>
      <c r="D708" s="148"/>
      <c r="E708" s="13"/>
      <c r="F708" s="13"/>
      <c r="G708" s="147"/>
      <c r="H708" s="13"/>
      <c r="I708" s="13"/>
      <c r="J708" s="13"/>
      <c r="K708" s="13"/>
      <c r="L708" s="13"/>
      <c r="M708" s="13"/>
      <c r="N708" s="149"/>
      <c r="O708" s="13"/>
      <c r="P708" s="149"/>
      <c r="R708" s="132"/>
      <c r="T708" s="13"/>
    </row>
    <row r="709" spans="1:20" ht="12.75" customHeight="1" x14ac:dyDescent="0.2">
      <c r="A709" s="137"/>
      <c r="B709" s="148"/>
      <c r="C709" s="148"/>
      <c r="D709" s="148"/>
      <c r="E709" s="13"/>
      <c r="F709" s="13"/>
      <c r="G709" s="147"/>
      <c r="H709" s="13"/>
      <c r="I709" s="13"/>
      <c r="J709" s="13"/>
      <c r="K709" s="13"/>
      <c r="L709" s="13"/>
      <c r="M709" s="13"/>
      <c r="N709" s="149"/>
      <c r="O709" s="13"/>
      <c r="P709" s="149"/>
      <c r="R709" s="132"/>
      <c r="T709" s="13"/>
    </row>
    <row r="710" spans="1:20" ht="12.75" customHeight="1" x14ac:dyDescent="0.2">
      <c r="A710" s="137"/>
      <c r="B710" s="148"/>
      <c r="C710" s="148"/>
      <c r="D710" s="148"/>
      <c r="E710" s="13"/>
      <c r="F710" s="13"/>
      <c r="G710" s="147"/>
      <c r="H710" s="13"/>
      <c r="I710" s="13"/>
      <c r="J710" s="13"/>
      <c r="K710" s="13"/>
      <c r="L710" s="13"/>
      <c r="M710" s="13"/>
      <c r="N710" s="149"/>
      <c r="O710" s="13"/>
      <c r="P710" s="149"/>
      <c r="R710" s="132"/>
      <c r="T710" s="13"/>
    </row>
    <row r="711" spans="1:20" ht="12.75" customHeight="1" x14ac:dyDescent="0.2">
      <c r="A711" s="137"/>
      <c r="B711" s="148"/>
      <c r="C711" s="148"/>
      <c r="D711" s="148"/>
      <c r="E711" s="13"/>
      <c r="F711" s="13"/>
      <c r="G711" s="147"/>
      <c r="H711" s="13"/>
      <c r="I711" s="13"/>
      <c r="J711" s="13"/>
      <c r="K711" s="13"/>
      <c r="L711" s="13"/>
      <c r="M711" s="13"/>
      <c r="N711" s="149"/>
      <c r="O711" s="13"/>
      <c r="P711" s="149"/>
      <c r="R711" s="132"/>
      <c r="T711" s="13"/>
    </row>
    <row r="712" spans="1:20" ht="12.75" customHeight="1" x14ac:dyDescent="0.2">
      <c r="A712" s="137"/>
      <c r="B712" s="148"/>
      <c r="C712" s="148"/>
      <c r="D712" s="148"/>
      <c r="E712" s="13"/>
      <c r="F712" s="13"/>
      <c r="G712" s="147"/>
      <c r="H712" s="13"/>
      <c r="I712" s="13"/>
      <c r="J712" s="13"/>
      <c r="K712" s="13"/>
      <c r="L712" s="13"/>
      <c r="M712" s="13"/>
      <c r="N712" s="149"/>
      <c r="O712" s="13"/>
      <c r="P712" s="149"/>
      <c r="R712" s="132"/>
      <c r="T712" s="13"/>
    </row>
    <row r="713" spans="1:20" ht="12.75" customHeight="1" x14ac:dyDescent="0.2">
      <c r="A713" s="137"/>
      <c r="B713" s="148"/>
      <c r="C713" s="148"/>
      <c r="D713" s="148"/>
      <c r="E713" s="13"/>
      <c r="F713" s="13"/>
      <c r="G713" s="147"/>
      <c r="H713" s="13"/>
      <c r="I713" s="13"/>
      <c r="J713" s="13"/>
      <c r="K713" s="13"/>
      <c r="L713" s="13"/>
      <c r="M713" s="13"/>
      <c r="N713" s="149"/>
      <c r="O713" s="13"/>
      <c r="P713" s="149"/>
      <c r="R713" s="132"/>
      <c r="T713" s="13"/>
    </row>
    <row r="714" spans="1:20" ht="12.75" customHeight="1" x14ac:dyDescent="0.2">
      <c r="A714" s="137"/>
      <c r="B714" s="148"/>
      <c r="C714" s="148"/>
      <c r="D714" s="148"/>
      <c r="E714" s="13"/>
      <c r="F714" s="13"/>
      <c r="G714" s="147"/>
      <c r="H714" s="13"/>
      <c r="I714" s="13"/>
      <c r="J714" s="13"/>
      <c r="K714" s="13"/>
      <c r="L714" s="13"/>
      <c r="M714" s="13"/>
      <c r="N714" s="149"/>
      <c r="O714" s="13"/>
      <c r="P714" s="149"/>
      <c r="R714" s="132"/>
      <c r="T714" s="13"/>
    </row>
    <row r="715" spans="1:20" ht="12.75" customHeight="1" x14ac:dyDescent="0.2">
      <c r="A715" s="137"/>
      <c r="B715" s="148"/>
      <c r="C715" s="148"/>
      <c r="D715" s="148"/>
      <c r="E715" s="13"/>
      <c r="F715" s="13"/>
      <c r="G715" s="147"/>
      <c r="H715" s="13"/>
      <c r="I715" s="13"/>
      <c r="J715" s="13"/>
      <c r="K715" s="13"/>
      <c r="L715" s="13"/>
      <c r="M715" s="13"/>
      <c r="N715" s="149"/>
      <c r="O715" s="13"/>
      <c r="P715" s="149"/>
      <c r="R715" s="132"/>
      <c r="T715" s="13"/>
    </row>
    <row r="716" spans="1:20" ht="12.75" customHeight="1" x14ac:dyDescent="0.2">
      <c r="A716" s="137"/>
      <c r="B716" s="148"/>
      <c r="C716" s="148"/>
      <c r="D716" s="148"/>
      <c r="E716" s="13"/>
      <c r="F716" s="13"/>
      <c r="G716" s="147"/>
      <c r="H716" s="13"/>
      <c r="I716" s="13"/>
      <c r="J716" s="13"/>
      <c r="K716" s="13"/>
      <c r="L716" s="13"/>
      <c r="M716" s="13"/>
      <c r="N716" s="149"/>
      <c r="O716" s="13"/>
      <c r="P716" s="149"/>
      <c r="R716" s="132"/>
      <c r="T716" s="13"/>
    </row>
    <row r="717" spans="1:20" ht="12.75" customHeight="1" x14ac:dyDescent="0.2">
      <c r="A717" s="137"/>
      <c r="B717" s="148"/>
      <c r="C717" s="148"/>
      <c r="D717" s="148"/>
      <c r="E717" s="13"/>
      <c r="F717" s="13"/>
      <c r="G717" s="147"/>
      <c r="H717" s="13"/>
      <c r="I717" s="13"/>
      <c r="J717" s="13"/>
      <c r="K717" s="13"/>
      <c r="L717" s="13"/>
      <c r="M717" s="13"/>
      <c r="N717" s="149"/>
      <c r="O717" s="13"/>
      <c r="P717" s="149"/>
      <c r="R717" s="132"/>
      <c r="T717" s="13"/>
    </row>
    <row r="718" spans="1:20" ht="12.75" customHeight="1" x14ac:dyDescent="0.2">
      <c r="A718" s="137"/>
      <c r="B718" s="148"/>
      <c r="C718" s="148"/>
      <c r="D718" s="148"/>
      <c r="E718" s="13"/>
      <c r="F718" s="13"/>
      <c r="G718" s="147"/>
      <c r="H718" s="13"/>
      <c r="I718" s="13"/>
      <c r="J718" s="13"/>
      <c r="K718" s="13"/>
      <c r="L718" s="13"/>
      <c r="M718" s="13"/>
      <c r="N718" s="149"/>
      <c r="O718" s="13"/>
      <c r="P718" s="149"/>
      <c r="R718" s="132"/>
      <c r="T718" s="13"/>
    </row>
    <row r="719" spans="1:20" ht="12.75" customHeight="1" x14ac:dyDescent="0.2">
      <c r="A719" s="137"/>
      <c r="B719" s="148"/>
      <c r="C719" s="148"/>
      <c r="D719" s="148"/>
      <c r="E719" s="13"/>
      <c r="F719" s="13"/>
      <c r="G719" s="147"/>
      <c r="H719" s="13"/>
      <c r="I719" s="13"/>
      <c r="J719" s="13"/>
      <c r="K719" s="13"/>
      <c r="L719" s="13"/>
      <c r="M719" s="13"/>
      <c r="N719" s="149"/>
      <c r="O719" s="13"/>
      <c r="P719" s="149"/>
      <c r="R719" s="132"/>
      <c r="T719" s="13"/>
    </row>
    <row r="720" spans="1:20" ht="12.75" customHeight="1" x14ac:dyDescent="0.2">
      <c r="A720" s="137"/>
      <c r="B720" s="148"/>
      <c r="C720" s="148"/>
      <c r="D720" s="148"/>
      <c r="E720" s="13"/>
      <c r="F720" s="13"/>
      <c r="G720" s="147"/>
      <c r="H720" s="13"/>
      <c r="I720" s="13"/>
      <c r="J720" s="13"/>
      <c r="K720" s="13"/>
      <c r="L720" s="13"/>
      <c r="M720" s="13"/>
      <c r="N720" s="149"/>
      <c r="O720" s="13"/>
      <c r="P720" s="149"/>
      <c r="R720" s="132"/>
      <c r="T720" s="13"/>
    </row>
    <row r="721" spans="1:20" ht="12.75" customHeight="1" x14ac:dyDescent="0.2">
      <c r="A721" s="137"/>
      <c r="B721" s="148"/>
      <c r="C721" s="148"/>
      <c r="D721" s="148"/>
      <c r="E721" s="13"/>
      <c r="F721" s="13"/>
      <c r="G721" s="147"/>
      <c r="H721" s="13"/>
      <c r="I721" s="13"/>
      <c r="J721" s="13"/>
      <c r="K721" s="13"/>
      <c r="L721" s="13"/>
      <c r="M721" s="13"/>
      <c r="N721" s="149"/>
      <c r="O721" s="13"/>
      <c r="P721" s="149"/>
      <c r="R721" s="132"/>
      <c r="T721" s="13"/>
    </row>
    <row r="722" spans="1:20" ht="12.75" customHeight="1" x14ac:dyDescent="0.2">
      <c r="A722" s="137"/>
      <c r="B722" s="148"/>
      <c r="C722" s="148"/>
      <c r="D722" s="148"/>
      <c r="E722" s="13"/>
      <c r="F722" s="13"/>
      <c r="G722" s="147"/>
      <c r="H722" s="13"/>
      <c r="I722" s="13"/>
      <c r="J722" s="13"/>
      <c r="K722" s="13"/>
      <c r="L722" s="13"/>
      <c r="M722" s="13"/>
      <c r="N722" s="149"/>
      <c r="O722" s="13"/>
      <c r="P722" s="149"/>
      <c r="R722" s="132"/>
      <c r="T722" s="13"/>
    </row>
    <row r="723" spans="1:20" ht="12.75" customHeight="1" x14ac:dyDescent="0.2">
      <c r="A723" s="137"/>
      <c r="B723" s="148"/>
      <c r="C723" s="148"/>
      <c r="D723" s="148"/>
      <c r="E723" s="13"/>
      <c r="F723" s="13"/>
      <c r="G723" s="147"/>
      <c r="H723" s="13"/>
      <c r="I723" s="13"/>
      <c r="J723" s="13"/>
      <c r="K723" s="13"/>
      <c r="L723" s="13"/>
      <c r="M723" s="13"/>
      <c r="N723" s="149"/>
      <c r="O723" s="13"/>
      <c r="P723" s="149"/>
      <c r="R723" s="132"/>
      <c r="T723" s="13"/>
    </row>
    <row r="724" spans="1:20" ht="12.75" customHeight="1" x14ac:dyDescent="0.2">
      <c r="A724" s="137"/>
      <c r="B724" s="148"/>
      <c r="C724" s="148"/>
      <c r="D724" s="148"/>
      <c r="E724" s="13"/>
      <c r="F724" s="13"/>
      <c r="G724" s="147"/>
      <c r="H724" s="13"/>
      <c r="I724" s="13"/>
      <c r="J724" s="13"/>
      <c r="K724" s="13"/>
      <c r="L724" s="13"/>
      <c r="M724" s="13"/>
      <c r="N724" s="149"/>
      <c r="O724" s="13"/>
      <c r="P724" s="149"/>
      <c r="R724" s="132"/>
      <c r="T724" s="13"/>
    </row>
    <row r="725" spans="1:20" ht="12.75" customHeight="1" x14ac:dyDescent="0.2">
      <c r="A725" s="137"/>
      <c r="B725" s="148"/>
      <c r="C725" s="148"/>
      <c r="D725" s="148"/>
      <c r="E725" s="13"/>
      <c r="F725" s="13"/>
      <c r="G725" s="147"/>
      <c r="H725" s="13"/>
      <c r="I725" s="13"/>
      <c r="J725" s="13"/>
      <c r="K725" s="13"/>
      <c r="L725" s="13"/>
      <c r="M725" s="13"/>
      <c r="N725" s="149"/>
      <c r="O725" s="13"/>
      <c r="P725" s="149"/>
      <c r="R725" s="132"/>
      <c r="T725" s="13"/>
    </row>
    <row r="726" spans="1:20" ht="12.75" customHeight="1" x14ac:dyDescent="0.2">
      <c r="A726" s="137"/>
      <c r="B726" s="148"/>
      <c r="C726" s="148"/>
      <c r="D726" s="148"/>
      <c r="E726" s="13"/>
      <c r="F726" s="13"/>
      <c r="G726" s="147"/>
      <c r="H726" s="13"/>
      <c r="I726" s="13"/>
      <c r="J726" s="13"/>
      <c r="K726" s="13"/>
      <c r="L726" s="13"/>
      <c r="M726" s="13"/>
      <c r="N726" s="149"/>
      <c r="O726" s="13"/>
      <c r="P726" s="149"/>
      <c r="R726" s="132"/>
      <c r="T726" s="13"/>
    </row>
    <row r="727" spans="1:20" ht="12.75" customHeight="1" x14ac:dyDescent="0.2">
      <c r="A727" s="137"/>
      <c r="B727" s="148"/>
      <c r="C727" s="148"/>
      <c r="D727" s="148"/>
      <c r="E727" s="13"/>
      <c r="F727" s="13"/>
      <c r="G727" s="147"/>
      <c r="H727" s="13"/>
      <c r="I727" s="13"/>
      <c r="J727" s="13"/>
      <c r="K727" s="13"/>
      <c r="L727" s="13"/>
      <c r="M727" s="13"/>
      <c r="N727" s="149"/>
      <c r="O727" s="13"/>
      <c r="P727" s="149"/>
      <c r="R727" s="132"/>
      <c r="T727" s="13"/>
    </row>
    <row r="728" spans="1:20" ht="12.75" customHeight="1" x14ac:dyDescent="0.2">
      <c r="A728" s="137"/>
      <c r="B728" s="148"/>
      <c r="C728" s="148"/>
      <c r="D728" s="148"/>
      <c r="E728" s="13"/>
      <c r="F728" s="13"/>
      <c r="G728" s="147"/>
      <c r="H728" s="13"/>
      <c r="I728" s="13"/>
      <c r="J728" s="13"/>
      <c r="K728" s="13"/>
      <c r="L728" s="13"/>
      <c r="M728" s="13"/>
      <c r="N728" s="149"/>
      <c r="O728" s="13"/>
      <c r="P728" s="149"/>
      <c r="R728" s="132"/>
      <c r="T728" s="13"/>
    </row>
    <row r="729" spans="1:20" ht="12.75" customHeight="1" x14ac:dyDescent="0.2">
      <c r="A729" s="137"/>
      <c r="B729" s="148"/>
      <c r="C729" s="148"/>
      <c r="D729" s="148"/>
      <c r="E729" s="13"/>
      <c r="F729" s="13"/>
      <c r="G729" s="147"/>
      <c r="H729" s="13"/>
      <c r="I729" s="13"/>
      <c r="J729" s="13"/>
      <c r="K729" s="13"/>
      <c r="L729" s="13"/>
      <c r="M729" s="13"/>
      <c r="N729" s="149"/>
      <c r="O729" s="13"/>
      <c r="P729" s="149"/>
      <c r="R729" s="132"/>
      <c r="T729" s="13"/>
    </row>
    <row r="730" spans="1:20" ht="12.75" customHeight="1" x14ac:dyDescent="0.2">
      <c r="A730" s="137"/>
      <c r="B730" s="148"/>
      <c r="C730" s="148"/>
      <c r="D730" s="148"/>
      <c r="E730" s="13"/>
      <c r="F730" s="13"/>
      <c r="G730" s="147"/>
      <c r="H730" s="13"/>
      <c r="I730" s="13"/>
      <c r="J730" s="13"/>
      <c r="K730" s="13"/>
      <c r="L730" s="13"/>
      <c r="M730" s="13"/>
      <c r="N730" s="149"/>
      <c r="O730" s="13"/>
      <c r="P730" s="149"/>
      <c r="R730" s="132"/>
      <c r="T730" s="13"/>
    </row>
    <row r="731" spans="1:20" ht="12.75" customHeight="1" x14ac:dyDescent="0.2">
      <c r="A731" s="137"/>
      <c r="B731" s="148"/>
      <c r="C731" s="148"/>
      <c r="D731" s="148"/>
      <c r="E731" s="13"/>
      <c r="F731" s="13"/>
      <c r="G731" s="147"/>
      <c r="H731" s="13"/>
      <c r="I731" s="13"/>
      <c r="J731" s="13"/>
      <c r="K731" s="13"/>
      <c r="L731" s="13"/>
      <c r="M731" s="13"/>
      <c r="N731" s="149"/>
      <c r="O731" s="13"/>
      <c r="P731" s="149"/>
      <c r="R731" s="132"/>
      <c r="T731" s="13"/>
    </row>
    <row r="732" spans="1:20" ht="12.75" customHeight="1" x14ac:dyDescent="0.2">
      <c r="A732" s="137"/>
      <c r="B732" s="148"/>
      <c r="C732" s="148"/>
      <c r="D732" s="148"/>
      <c r="E732" s="13"/>
      <c r="F732" s="13"/>
      <c r="G732" s="147"/>
      <c r="H732" s="13"/>
      <c r="I732" s="13"/>
      <c r="J732" s="13"/>
      <c r="K732" s="13"/>
      <c r="L732" s="13"/>
      <c r="M732" s="13"/>
      <c r="N732" s="149"/>
      <c r="O732" s="13"/>
      <c r="P732" s="149"/>
      <c r="R732" s="132"/>
      <c r="T732" s="13"/>
    </row>
    <row r="733" spans="1:20" ht="12.75" customHeight="1" x14ac:dyDescent="0.2">
      <c r="A733" s="137"/>
      <c r="B733" s="148"/>
      <c r="C733" s="148"/>
      <c r="D733" s="148"/>
      <c r="E733" s="13"/>
      <c r="F733" s="13"/>
      <c r="G733" s="147"/>
      <c r="H733" s="13"/>
      <c r="I733" s="13"/>
      <c r="J733" s="13"/>
      <c r="K733" s="13"/>
      <c r="L733" s="13"/>
      <c r="M733" s="13"/>
      <c r="N733" s="149"/>
      <c r="O733" s="13"/>
      <c r="P733" s="149"/>
      <c r="R733" s="132"/>
      <c r="T733" s="13"/>
    </row>
    <row r="734" spans="1:20" ht="12.75" customHeight="1" x14ac:dyDescent="0.2">
      <c r="A734" s="137"/>
      <c r="B734" s="148"/>
      <c r="C734" s="148"/>
      <c r="D734" s="148"/>
      <c r="E734" s="13"/>
      <c r="F734" s="13"/>
      <c r="G734" s="147"/>
      <c r="H734" s="13"/>
      <c r="I734" s="13"/>
      <c r="J734" s="13"/>
      <c r="K734" s="13"/>
      <c r="L734" s="13"/>
      <c r="M734" s="13"/>
      <c r="N734" s="149"/>
      <c r="O734" s="13"/>
      <c r="P734" s="149"/>
      <c r="R734" s="132"/>
      <c r="T734" s="13"/>
    </row>
    <row r="735" spans="1:20" ht="12.75" customHeight="1" x14ac:dyDescent="0.2">
      <c r="A735" s="137"/>
      <c r="B735" s="148"/>
      <c r="C735" s="148"/>
      <c r="D735" s="148"/>
      <c r="E735" s="13"/>
      <c r="F735" s="13"/>
      <c r="G735" s="147"/>
      <c r="H735" s="13"/>
      <c r="I735" s="13"/>
      <c r="J735" s="13"/>
      <c r="K735" s="13"/>
      <c r="L735" s="13"/>
      <c r="M735" s="13"/>
      <c r="N735" s="149"/>
      <c r="O735" s="13"/>
      <c r="P735" s="149"/>
      <c r="R735" s="132"/>
      <c r="T735" s="13"/>
    </row>
    <row r="736" spans="1:20" ht="12.75" customHeight="1" x14ac:dyDescent="0.2">
      <c r="A736" s="137"/>
      <c r="B736" s="148"/>
      <c r="C736" s="148"/>
      <c r="D736" s="148"/>
      <c r="E736" s="13"/>
      <c r="F736" s="13"/>
      <c r="G736" s="147"/>
      <c r="H736" s="13"/>
      <c r="I736" s="13"/>
      <c r="J736" s="13"/>
      <c r="K736" s="13"/>
      <c r="L736" s="13"/>
      <c r="M736" s="13"/>
      <c r="N736" s="149"/>
      <c r="O736" s="13"/>
      <c r="P736" s="149"/>
      <c r="R736" s="132"/>
      <c r="T736" s="13"/>
    </row>
    <row r="737" spans="1:20" ht="12.75" customHeight="1" x14ac:dyDescent="0.2">
      <c r="A737" s="137"/>
      <c r="B737" s="148"/>
      <c r="C737" s="148"/>
      <c r="D737" s="148"/>
      <c r="E737" s="13"/>
      <c r="F737" s="13"/>
      <c r="G737" s="147"/>
      <c r="H737" s="13"/>
      <c r="I737" s="13"/>
      <c r="J737" s="13"/>
      <c r="K737" s="13"/>
      <c r="L737" s="13"/>
      <c r="M737" s="13"/>
      <c r="N737" s="149"/>
      <c r="O737" s="13"/>
      <c r="P737" s="149"/>
      <c r="R737" s="132"/>
      <c r="T737" s="13"/>
    </row>
    <row r="738" spans="1:20" ht="12.75" customHeight="1" x14ac:dyDescent="0.2">
      <c r="A738" s="137"/>
      <c r="B738" s="148"/>
      <c r="C738" s="148"/>
      <c r="D738" s="148"/>
      <c r="E738" s="13"/>
      <c r="F738" s="13"/>
      <c r="G738" s="147"/>
      <c r="H738" s="13"/>
      <c r="I738" s="13"/>
      <c r="J738" s="13"/>
      <c r="K738" s="13"/>
      <c r="L738" s="13"/>
      <c r="M738" s="13"/>
      <c r="N738" s="149"/>
      <c r="O738" s="13"/>
      <c r="P738" s="149"/>
      <c r="R738" s="132"/>
      <c r="T738" s="13"/>
    </row>
    <row r="739" spans="1:20" ht="12.75" customHeight="1" x14ac:dyDescent="0.2">
      <c r="A739" s="137"/>
      <c r="B739" s="148"/>
      <c r="C739" s="148"/>
      <c r="D739" s="148"/>
      <c r="E739" s="13"/>
      <c r="F739" s="13"/>
      <c r="G739" s="147"/>
      <c r="H739" s="13"/>
      <c r="I739" s="13"/>
      <c r="J739" s="13"/>
      <c r="K739" s="13"/>
      <c r="L739" s="13"/>
      <c r="M739" s="13"/>
      <c r="N739" s="149"/>
      <c r="O739" s="13"/>
      <c r="P739" s="149"/>
      <c r="R739" s="132"/>
      <c r="T739" s="13"/>
    </row>
    <row r="740" spans="1:20" ht="12.75" customHeight="1" x14ac:dyDescent="0.2">
      <c r="A740" s="137"/>
      <c r="B740" s="148"/>
      <c r="C740" s="148"/>
      <c r="D740" s="148"/>
      <c r="E740" s="13"/>
      <c r="F740" s="13"/>
      <c r="G740" s="147"/>
      <c r="H740" s="13"/>
      <c r="I740" s="13"/>
      <c r="J740" s="13"/>
      <c r="K740" s="13"/>
      <c r="L740" s="13"/>
      <c r="M740" s="13"/>
      <c r="N740" s="149"/>
      <c r="O740" s="13"/>
      <c r="P740" s="149"/>
      <c r="R740" s="132"/>
      <c r="T740" s="13"/>
    </row>
    <row r="741" spans="1:20" ht="12.75" customHeight="1" x14ac:dyDescent="0.2">
      <c r="A741" s="137"/>
      <c r="B741" s="148"/>
      <c r="C741" s="148"/>
      <c r="D741" s="148"/>
      <c r="E741" s="13"/>
      <c r="F741" s="13"/>
      <c r="G741" s="147"/>
      <c r="H741" s="13"/>
      <c r="I741" s="13"/>
      <c r="J741" s="13"/>
      <c r="K741" s="13"/>
      <c r="L741" s="13"/>
      <c r="M741" s="13"/>
      <c r="N741" s="149"/>
      <c r="O741" s="13"/>
      <c r="P741" s="149"/>
      <c r="R741" s="132"/>
      <c r="T741" s="13"/>
    </row>
    <row r="742" spans="1:20" ht="12.75" customHeight="1" x14ac:dyDescent="0.2">
      <c r="A742" s="137"/>
      <c r="B742" s="148"/>
      <c r="C742" s="148"/>
      <c r="D742" s="148"/>
      <c r="E742" s="13"/>
      <c r="F742" s="13"/>
      <c r="G742" s="147"/>
      <c r="H742" s="13"/>
      <c r="I742" s="13"/>
      <c r="J742" s="13"/>
      <c r="K742" s="13"/>
      <c r="L742" s="13"/>
      <c r="M742" s="13"/>
      <c r="N742" s="149"/>
      <c r="O742" s="13"/>
      <c r="P742" s="149"/>
      <c r="R742" s="132"/>
      <c r="T742" s="13"/>
    </row>
    <row r="743" spans="1:20" ht="12.75" customHeight="1" x14ac:dyDescent="0.2">
      <c r="A743" s="137"/>
      <c r="B743" s="148"/>
      <c r="C743" s="148"/>
      <c r="D743" s="148"/>
      <c r="E743" s="13"/>
      <c r="F743" s="13"/>
      <c r="G743" s="147"/>
      <c r="H743" s="13"/>
      <c r="I743" s="13"/>
      <c r="J743" s="13"/>
      <c r="K743" s="13"/>
      <c r="L743" s="13"/>
      <c r="M743" s="13"/>
      <c r="N743" s="149"/>
      <c r="O743" s="13"/>
      <c r="P743" s="149"/>
      <c r="R743" s="132"/>
      <c r="T743" s="13"/>
    </row>
    <row r="744" spans="1:20" ht="12.75" customHeight="1" x14ac:dyDescent="0.2">
      <c r="A744" s="137"/>
      <c r="B744" s="148"/>
      <c r="C744" s="148"/>
      <c r="D744" s="148"/>
      <c r="E744" s="13"/>
      <c r="F744" s="13"/>
      <c r="G744" s="147"/>
      <c r="H744" s="13"/>
      <c r="I744" s="13"/>
      <c r="J744" s="13"/>
      <c r="K744" s="13"/>
      <c r="L744" s="13"/>
      <c r="M744" s="13"/>
      <c r="N744" s="149"/>
      <c r="O744" s="13"/>
      <c r="P744" s="149"/>
      <c r="R744" s="132"/>
      <c r="T744" s="13"/>
    </row>
    <row r="745" spans="1:20" ht="12.75" customHeight="1" x14ac:dyDescent="0.2">
      <c r="A745" s="137"/>
      <c r="B745" s="148"/>
      <c r="C745" s="148"/>
      <c r="D745" s="148"/>
      <c r="E745" s="13"/>
      <c r="F745" s="13"/>
      <c r="G745" s="147"/>
      <c r="H745" s="13"/>
      <c r="I745" s="13"/>
      <c r="J745" s="13"/>
      <c r="K745" s="13"/>
      <c r="L745" s="13"/>
      <c r="M745" s="13"/>
      <c r="N745" s="149"/>
      <c r="O745" s="13"/>
      <c r="P745" s="149"/>
      <c r="R745" s="132"/>
      <c r="T745" s="13"/>
    </row>
    <row r="746" spans="1:20" ht="12.75" customHeight="1" x14ac:dyDescent="0.2">
      <c r="A746" s="137"/>
      <c r="B746" s="148"/>
      <c r="C746" s="148"/>
      <c r="D746" s="148"/>
      <c r="E746" s="13"/>
      <c r="F746" s="13"/>
      <c r="G746" s="147"/>
      <c r="H746" s="13"/>
      <c r="I746" s="13"/>
      <c r="J746" s="13"/>
      <c r="K746" s="13"/>
      <c r="L746" s="13"/>
      <c r="M746" s="13"/>
      <c r="N746" s="149"/>
      <c r="O746" s="13"/>
      <c r="P746" s="149"/>
      <c r="R746" s="132"/>
      <c r="T746" s="13"/>
    </row>
    <row r="747" spans="1:20" ht="12.75" customHeight="1" x14ac:dyDescent="0.2">
      <c r="A747" s="137"/>
      <c r="B747" s="148"/>
      <c r="C747" s="148"/>
      <c r="D747" s="148"/>
      <c r="E747" s="13"/>
      <c r="F747" s="13"/>
      <c r="G747" s="147"/>
      <c r="H747" s="13"/>
      <c r="I747" s="13"/>
      <c r="J747" s="13"/>
      <c r="K747" s="13"/>
      <c r="L747" s="13"/>
      <c r="M747" s="13"/>
      <c r="N747" s="149"/>
      <c r="O747" s="13"/>
      <c r="P747" s="149"/>
      <c r="R747" s="132"/>
      <c r="T747" s="13"/>
    </row>
    <row r="748" spans="1:20" ht="12.75" customHeight="1" x14ac:dyDescent="0.2">
      <c r="A748" s="137"/>
      <c r="B748" s="148"/>
      <c r="C748" s="148"/>
      <c r="D748" s="148"/>
      <c r="E748" s="13"/>
      <c r="F748" s="13"/>
      <c r="G748" s="147"/>
      <c r="H748" s="13"/>
      <c r="I748" s="13"/>
      <c r="J748" s="13"/>
      <c r="K748" s="13"/>
      <c r="L748" s="13"/>
      <c r="M748" s="13"/>
      <c r="N748" s="149"/>
      <c r="O748" s="13"/>
      <c r="P748" s="149"/>
      <c r="R748" s="132"/>
      <c r="T748" s="13"/>
    </row>
    <row r="749" spans="1:20" ht="12.75" customHeight="1" x14ac:dyDescent="0.2">
      <c r="A749" s="137"/>
      <c r="B749" s="148"/>
      <c r="C749" s="148"/>
      <c r="D749" s="148"/>
      <c r="E749" s="13"/>
      <c r="F749" s="13"/>
      <c r="G749" s="147"/>
      <c r="H749" s="13"/>
      <c r="I749" s="13"/>
      <c r="J749" s="13"/>
      <c r="K749" s="13"/>
      <c r="L749" s="13"/>
      <c r="M749" s="13"/>
      <c r="N749" s="149"/>
      <c r="O749" s="13"/>
      <c r="P749" s="149"/>
      <c r="R749" s="132"/>
      <c r="T749" s="13"/>
    </row>
    <row r="750" spans="1:20" ht="12.75" customHeight="1" x14ac:dyDescent="0.2">
      <c r="A750" s="137"/>
      <c r="B750" s="148"/>
      <c r="C750" s="148"/>
      <c r="D750" s="148"/>
      <c r="E750" s="13"/>
      <c r="F750" s="13"/>
      <c r="G750" s="147"/>
      <c r="H750" s="13"/>
      <c r="I750" s="13"/>
      <c r="J750" s="13"/>
      <c r="K750" s="13"/>
      <c r="L750" s="13"/>
      <c r="M750" s="13"/>
      <c r="N750" s="149"/>
      <c r="O750" s="13"/>
      <c r="P750" s="149"/>
      <c r="R750" s="132"/>
      <c r="T750" s="13"/>
    </row>
    <row r="751" spans="1:20" ht="12.75" customHeight="1" x14ac:dyDescent="0.2">
      <c r="A751" s="137"/>
      <c r="B751" s="148"/>
      <c r="C751" s="148"/>
      <c r="D751" s="148"/>
      <c r="E751" s="13"/>
      <c r="F751" s="13"/>
      <c r="G751" s="147"/>
      <c r="H751" s="13"/>
      <c r="I751" s="13"/>
      <c r="J751" s="13"/>
      <c r="K751" s="13"/>
      <c r="L751" s="13"/>
      <c r="M751" s="13"/>
      <c r="N751" s="149"/>
      <c r="O751" s="13"/>
      <c r="P751" s="149"/>
      <c r="R751" s="132"/>
      <c r="T751" s="13"/>
    </row>
    <row r="752" spans="1:20" ht="12.75" customHeight="1" x14ac:dyDescent="0.2">
      <c r="A752" s="137"/>
      <c r="B752" s="148"/>
      <c r="C752" s="148"/>
      <c r="D752" s="148"/>
      <c r="E752" s="13"/>
      <c r="F752" s="13"/>
      <c r="G752" s="147"/>
      <c r="H752" s="13"/>
      <c r="I752" s="13"/>
      <c r="J752" s="13"/>
      <c r="K752" s="13"/>
      <c r="L752" s="13"/>
      <c r="M752" s="13"/>
      <c r="N752" s="149"/>
      <c r="O752" s="13"/>
      <c r="P752" s="149"/>
      <c r="R752" s="132"/>
      <c r="T752" s="13"/>
    </row>
    <row r="753" spans="1:20" ht="12.75" customHeight="1" x14ac:dyDescent="0.2">
      <c r="A753" s="137"/>
      <c r="B753" s="148"/>
      <c r="C753" s="148"/>
      <c r="D753" s="148"/>
      <c r="E753" s="13"/>
      <c r="F753" s="13"/>
      <c r="G753" s="147"/>
      <c r="H753" s="13"/>
      <c r="I753" s="13"/>
      <c r="J753" s="13"/>
      <c r="K753" s="13"/>
      <c r="L753" s="13"/>
      <c r="M753" s="13"/>
      <c r="N753" s="149"/>
      <c r="O753" s="13"/>
      <c r="P753" s="149"/>
      <c r="R753" s="132"/>
      <c r="T753" s="13"/>
    </row>
    <row r="754" spans="1:20" ht="12.75" customHeight="1" x14ac:dyDescent="0.2">
      <c r="A754" s="137"/>
      <c r="B754" s="148"/>
      <c r="C754" s="148"/>
      <c r="D754" s="148"/>
      <c r="E754" s="13"/>
      <c r="F754" s="13"/>
      <c r="G754" s="147"/>
      <c r="H754" s="13"/>
      <c r="I754" s="13"/>
      <c r="J754" s="13"/>
      <c r="K754" s="13"/>
      <c r="L754" s="13"/>
      <c r="M754" s="13"/>
      <c r="N754" s="149"/>
      <c r="O754" s="13"/>
      <c r="P754" s="149"/>
      <c r="R754" s="132"/>
      <c r="T754" s="13"/>
    </row>
    <row r="755" spans="1:20" ht="12.75" customHeight="1" x14ac:dyDescent="0.2">
      <c r="A755" s="137"/>
      <c r="B755" s="148"/>
      <c r="C755" s="148"/>
      <c r="D755" s="148"/>
      <c r="E755" s="13"/>
      <c r="F755" s="13"/>
      <c r="G755" s="147"/>
      <c r="H755" s="13"/>
      <c r="I755" s="13"/>
      <c r="J755" s="13"/>
      <c r="K755" s="13"/>
      <c r="L755" s="13"/>
      <c r="M755" s="13"/>
      <c r="N755" s="149"/>
      <c r="O755" s="13"/>
      <c r="P755" s="149"/>
      <c r="R755" s="132"/>
      <c r="T755" s="13"/>
    </row>
    <row r="756" spans="1:20" ht="12.75" customHeight="1" x14ac:dyDescent="0.2">
      <c r="A756" s="137"/>
      <c r="B756" s="148"/>
      <c r="C756" s="148"/>
      <c r="D756" s="148"/>
      <c r="E756" s="13"/>
      <c r="F756" s="13"/>
      <c r="G756" s="147"/>
      <c r="H756" s="13"/>
      <c r="I756" s="13"/>
      <c r="J756" s="13"/>
      <c r="K756" s="13"/>
      <c r="L756" s="13"/>
      <c r="M756" s="13"/>
      <c r="N756" s="149"/>
      <c r="O756" s="13"/>
      <c r="P756" s="149"/>
      <c r="R756" s="132"/>
      <c r="T756" s="13"/>
    </row>
    <row r="757" spans="1:20" ht="12.75" customHeight="1" x14ac:dyDescent="0.2">
      <c r="A757" s="137"/>
      <c r="B757" s="148"/>
      <c r="C757" s="148"/>
      <c r="D757" s="148"/>
      <c r="E757" s="13"/>
      <c r="F757" s="13"/>
      <c r="G757" s="147"/>
      <c r="H757" s="13"/>
      <c r="I757" s="13"/>
      <c r="J757" s="13"/>
      <c r="K757" s="13"/>
      <c r="L757" s="13"/>
      <c r="M757" s="13"/>
      <c r="N757" s="149"/>
      <c r="O757" s="13"/>
      <c r="P757" s="149"/>
      <c r="R757" s="132"/>
      <c r="T757" s="13"/>
    </row>
    <row r="758" spans="1:20" ht="12.75" customHeight="1" x14ac:dyDescent="0.2">
      <c r="A758" s="137"/>
      <c r="B758" s="148"/>
      <c r="C758" s="148"/>
      <c r="D758" s="148"/>
      <c r="E758" s="13"/>
      <c r="F758" s="13"/>
      <c r="G758" s="147"/>
      <c r="H758" s="13"/>
      <c r="I758" s="13"/>
      <c r="J758" s="13"/>
      <c r="K758" s="13"/>
      <c r="L758" s="13"/>
      <c r="M758" s="13"/>
      <c r="N758" s="149"/>
      <c r="O758" s="13"/>
      <c r="P758" s="149"/>
      <c r="R758" s="132"/>
      <c r="T758" s="13"/>
    </row>
    <row r="759" spans="1:20" ht="12.75" customHeight="1" x14ac:dyDescent="0.2">
      <c r="A759" s="137"/>
      <c r="B759" s="148"/>
      <c r="C759" s="148"/>
      <c r="D759" s="148"/>
      <c r="E759" s="13"/>
      <c r="F759" s="13"/>
      <c r="G759" s="147"/>
      <c r="H759" s="13"/>
      <c r="I759" s="13"/>
      <c r="J759" s="13"/>
      <c r="K759" s="13"/>
      <c r="L759" s="13"/>
      <c r="M759" s="13"/>
      <c r="N759" s="149"/>
      <c r="O759" s="13"/>
      <c r="P759" s="149"/>
      <c r="R759" s="132"/>
      <c r="T759" s="13"/>
    </row>
    <row r="760" spans="1:20" ht="12.75" customHeight="1" x14ac:dyDescent="0.2">
      <c r="A760" s="137"/>
      <c r="B760" s="148"/>
      <c r="C760" s="148"/>
      <c r="D760" s="148"/>
      <c r="E760" s="13"/>
      <c r="F760" s="13"/>
      <c r="G760" s="147"/>
      <c r="H760" s="13"/>
      <c r="I760" s="13"/>
      <c r="J760" s="13"/>
      <c r="K760" s="13"/>
      <c r="L760" s="13"/>
      <c r="M760" s="13"/>
      <c r="N760" s="149"/>
      <c r="O760" s="13"/>
      <c r="P760" s="149"/>
      <c r="R760" s="132"/>
      <c r="T760" s="13"/>
    </row>
    <row r="761" spans="1:20" ht="12.75" customHeight="1" x14ac:dyDescent="0.2">
      <c r="A761" s="137"/>
      <c r="B761" s="148"/>
      <c r="C761" s="148"/>
      <c r="D761" s="148"/>
      <c r="E761" s="13"/>
      <c r="F761" s="13"/>
      <c r="G761" s="147"/>
      <c r="H761" s="13"/>
      <c r="I761" s="13"/>
      <c r="J761" s="13"/>
      <c r="K761" s="13"/>
      <c r="L761" s="13"/>
      <c r="M761" s="13"/>
      <c r="N761" s="149"/>
      <c r="O761" s="13"/>
      <c r="P761" s="149"/>
      <c r="R761" s="132"/>
      <c r="T761" s="13"/>
    </row>
    <row r="762" spans="1:20" ht="12.75" customHeight="1" x14ac:dyDescent="0.2">
      <c r="A762" s="137"/>
      <c r="B762" s="148"/>
      <c r="C762" s="148"/>
      <c r="D762" s="148"/>
      <c r="E762" s="13"/>
      <c r="F762" s="13"/>
      <c r="G762" s="147"/>
      <c r="H762" s="13"/>
      <c r="I762" s="13"/>
      <c r="J762" s="13"/>
      <c r="K762" s="13"/>
      <c r="L762" s="13"/>
      <c r="M762" s="13"/>
      <c r="N762" s="149"/>
      <c r="O762" s="13"/>
      <c r="P762" s="149"/>
      <c r="R762" s="132"/>
      <c r="T762" s="13"/>
    </row>
    <row r="763" spans="1:20" ht="12.75" customHeight="1" x14ac:dyDescent="0.2">
      <c r="A763" s="137"/>
      <c r="B763" s="148"/>
      <c r="C763" s="148"/>
      <c r="D763" s="148"/>
      <c r="E763" s="13"/>
      <c r="F763" s="13"/>
      <c r="G763" s="147"/>
      <c r="H763" s="13"/>
      <c r="I763" s="13"/>
      <c r="J763" s="13"/>
      <c r="K763" s="13"/>
      <c r="L763" s="13"/>
      <c r="M763" s="13"/>
      <c r="N763" s="149"/>
      <c r="O763" s="13"/>
      <c r="P763" s="149"/>
      <c r="R763" s="132"/>
      <c r="T763" s="13"/>
    </row>
    <row r="764" spans="1:20" ht="12.75" customHeight="1" x14ac:dyDescent="0.2">
      <c r="A764" s="137"/>
      <c r="B764" s="148"/>
      <c r="C764" s="148"/>
      <c r="D764" s="148"/>
      <c r="E764" s="13"/>
      <c r="F764" s="13"/>
      <c r="G764" s="147"/>
      <c r="H764" s="13"/>
      <c r="I764" s="13"/>
      <c r="J764" s="13"/>
      <c r="K764" s="13"/>
      <c r="L764" s="13"/>
      <c r="M764" s="13"/>
      <c r="N764" s="149"/>
      <c r="O764" s="13"/>
      <c r="P764" s="149"/>
      <c r="R764" s="132"/>
      <c r="T764" s="13"/>
    </row>
    <row r="765" spans="1:20" ht="12.75" customHeight="1" x14ac:dyDescent="0.2">
      <c r="A765" s="137"/>
      <c r="B765" s="148"/>
      <c r="C765" s="148"/>
      <c r="D765" s="148"/>
      <c r="E765" s="13"/>
      <c r="F765" s="13"/>
      <c r="G765" s="147"/>
      <c r="H765" s="13"/>
      <c r="I765" s="13"/>
      <c r="J765" s="13"/>
      <c r="K765" s="13"/>
      <c r="L765" s="13"/>
      <c r="M765" s="13"/>
      <c r="N765" s="149"/>
      <c r="O765" s="13"/>
      <c r="P765" s="149"/>
      <c r="R765" s="132"/>
      <c r="T765" s="13"/>
    </row>
    <row r="766" spans="1:20" ht="12.75" customHeight="1" x14ac:dyDescent="0.2">
      <c r="A766" s="137"/>
      <c r="B766" s="148"/>
      <c r="C766" s="148"/>
      <c r="D766" s="148"/>
      <c r="E766" s="13"/>
      <c r="F766" s="13"/>
      <c r="G766" s="147"/>
      <c r="H766" s="13"/>
      <c r="I766" s="13"/>
      <c r="J766" s="13"/>
      <c r="K766" s="13"/>
      <c r="L766" s="13"/>
      <c r="M766" s="13"/>
      <c r="N766" s="149"/>
      <c r="O766" s="13"/>
      <c r="P766" s="149"/>
      <c r="R766" s="132"/>
      <c r="T766" s="13"/>
    </row>
    <row r="767" spans="1:20" ht="12.75" customHeight="1" x14ac:dyDescent="0.2">
      <c r="A767" s="137"/>
      <c r="B767" s="148"/>
      <c r="C767" s="148"/>
      <c r="D767" s="148"/>
      <c r="E767" s="13"/>
      <c r="F767" s="13"/>
      <c r="G767" s="147"/>
      <c r="H767" s="13"/>
      <c r="I767" s="13"/>
      <c r="J767" s="13"/>
      <c r="K767" s="13"/>
      <c r="L767" s="13"/>
      <c r="M767" s="13"/>
      <c r="N767" s="149"/>
      <c r="O767" s="13"/>
      <c r="P767" s="149"/>
      <c r="R767" s="132"/>
      <c r="T767" s="13"/>
    </row>
    <row r="768" spans="1:20" ht="12.75" customHeight="1" x14ac:dyDescent="0.2">
      <c r="A768" s="137"/>
      <c r="B768" s="148"/>
      <c r="C768" s="148"/>
      <c r="D768" s="148"/>
      <c r="E768" s="13"/>
      <c r="F768" s="13"/>
      <c r="G768" s="147"/>
      <c r="H768" s="13"/>
      <c r="I768" s="13"/>
      <c r="J768" s="13"/>
      <c r="K768" s="13"/>
      <c r="L768" s="13"/>
      <c r="M768" s="13"/>
      <c r="N768" s="149"/>
      <c r="O768" s="13"/>
      <c r="P768" s="149"/>
      <c r="R768" s="132"/>
      <c r="T768" s="13"/>
    </row>
    <row r="769" spans="1:20" ht="12.75" customHeight="1" x14ac:dyDescent="0.2">
      <c r="A769" s="137"/>
      <c r="B769" s="148"/>
      <c r="C769" s="148"/>
      <c r="D769" s="148"/>
      <c r="E769" s="13"/>
      <c r="F769" s="13"/>
      <c r="G769" s="147"/>
      <c r="H769" s="13"/>
      <c r="I769" s="13"/>
      <c r="J769" s="13"/>
      <c r="K769" s="13"/>
      <c r="L769" s="13"/>
      <c r="M769" s="13"/>
      <c r="N769" s="149"/>
      <c r="O769" s="13"/>
      <c r="P769" s="149"/>
      <c r="R769" s="132"/>
      <c r="T769" s="13"/>
    </row>
    <row r="770" spans="1:20" ht="12.75" customHeight="1" x14ac:dyDescent="0.2">
      <c r="A770" s="137"/>
      <c r="B770" s="148"/>
      <c r="C770" s="148"/>
      <c r="D770" s="148"/>
      <c r="E770" s="13"/>
      <c r="F770" s="13"/>
      <c r="G770" s="147"/>
      <c r="H770" s="13"/>
      <c r="I770" s="13"/>
      <c r="J770" s="13"/>
      <c r="K770" s="13"/>
      <c r="L770" s="13"/>
      <c r="M770" s="13"/>
      <c r="N770" s="149"/>
      <c r="O770" s="13"/>
      <c r="P770" s="149"/>
      <c r="R770" s="132"/>
      <c r="T770" s="13"/>
    </row>
    <row r="771" spans="1:20" ht="12.75" customHeight="1" x14ac:dyDescent="0.2">
      <c r="A771" s="137"/>
      <c r="B771" s="148"/>
      <c r="C771" s="148"/>
      <c r="D771" s="148"/>
      <c r="E771" s="13"/>
      <c r="F771" s="13"/>
      <c r="G771" s="147"/>
      <c r="H771" s="13"/>
      <c r="I771" s="13"/>
      <c r="J771" s="13"/>
      <c r="K771" s="13"/>
      <c r="L771" s="13"/>
      <c r="M771" s="13"/>
      <c r="N771" s="149"/>
      <c r="O771" s="13"/>
      <c r="P771" s="149"/>
      <c r="R771" s="132"/>
      <c r="T771" s="13"/>
    </row>
    <row r="772" spans="1:20" ht="12.75" customHeight="1" x14ac:dyDescent="0.2">
      <c r="A772" s="137"/>
      <c r="B772" s="148"/>
      <c r="C772" s="148"/>
      <c r="D772" s="148"/>
      <c r="E772" s="13"/>
      <c r="F772" s="13"/>
      <c r="G772" s="147"/>
      <c r="H772" s="13"/>
      <c r="I772" s="13"/>
      <c r="J772" s="13"/>
      <c r="K772" s="13"/>
      <c r="L772" s="13"/>
      <c r="M772" s="13"/>
      <c r="N772" s="149"/>
      <c r="O772" s="13"/>
      <c r="P772" s="149"/>
      <c r="R772" s="132"/>
      <c r="T772" s="13"/>
    </row>
    <row r="773" spans="1:20" ht="12.75" customHeight="1" x14ac:dyDescent="0.2">
      <c r="A773" s="137"/>
      <c r="B773" s="148"/>
      <c r="C773" s="148"/>
      <c r="D773" s="148"/>
      <c r="E773" s="13"/>
      <c r="F773" s="13"/>
      <c r="G773" s="147"/>
      <c r="H773" s="13"/>
      <c r="I773" s="13"/>
      <c r="J773" s="13"/>
      <c r="K773" s="13"/>
      <c r="L773" s="13"/>
      <c r="M773" s="13"/>
      <c r="N773" s="149"/>
      <c r="O773" s="13"/>
      <c r="P773" s="149"/>
      <c r="R773" s="132"/>
      <c r="T773" s="13"/>
    </row>
    <row r="774" spans="1:20" ht="12.75" customHeight="1" x14ac:dyDescent="0.2">
      <c r="A774" s="137"/>
      <c r="B774" s="148"/>
      <c r="C774" s="148"/>
      <c r="D774" s="148"/>
      <c r="E774" s="13"/>
      <c r="F774" s="13"/>
      <c r="G774" s="147"/>
      <c r="H774" s="13"/>
      <c r="I774" s="13"/>
      <c r="J774" s="13"/>
      <c r="K774" s="13"/>
      <c r="L774" s="13"/>
      <c r="M774" s="13"/>
      <c r="N774" s="149"/>
      <c r="O774" s="13"/>
      <c r="P774" s="149"/>
      <c r="R774" s="132"/>
      <c r="T774" s="13"/>
    </row>
    <row r="775" spans="1:20" ht="12.75" customHeight="1" x14ac:dyDescent="0.2">
      <c r="A775" s="137"/>
      <c r="B775" s="148"/>
      <c r="C775" s="148"/>
      <c r="D775" s="148"/>
      <c r="E775" s="13"/>
      <c r="F775" s="13"/>
      <c r="G775" s="147"/>
      <c r="H775" s="13"/>
      <c r="I775" s="13"/>
      <c r="J775" s="13"/>
      <c r="K775" s="13"/>
      <c r="L775" s="13"/>
      <c r="M775" s="13"/>
      <c r="N775" s="149"/>
      <c r="O775" s="13"/>
      <c r="P775" s="149"/>
      <c r="R775" s="132"/>
      <c r="T775" s="13"/>
    </row>
    <row r="776" spans="1:20" ht="12.75" customHeight="1" x14ac:dyDescent="0.2">
      <c r="A776" s="137"/>
      <c r="B776" s="148"/>
      <c r="C776" s="148"/>
      <c r="D776" s="148"/>
      <c r="E776" s="13"/>
      <c r="F776" s="13"/>
      <c r="G776" s="147"/>
      <c r="H776" s="13"/>
      <c r="I776" s="13"/>
      <c r="J776" s="13"/>
      <c r="K776" s="13"/>
      <c r="L776" s="13"/>
      <c r="M776" s="13"/>
      <c r="N776" s="149"/>
      <c r="O776" s="13"/>
      <c r="P776" s="149"/>
      <c r="R776" s="132"/>
      <c r="T776" s="13"/>
    </row>
    <row r="777" spans="1:20" ht="12.75" customHeight="1" x14ac:dyDescent="0.2">
      <c r="A777" s="137"/>
      <c r="B777" s="148"/>
      <c r="C777" s="148"/>
      <c r="D777" s="148"/>
      <c r="E777" s="13"/>
      <c r="F777" s="13"/>
      <c r="G777" s="147"/>
      <c r="H777" s="13"/>
      <c r="I777" s="13"/>
      <c r="J777" s="13"/>
      <c r="K777" s="13"/>
      <c r="L777" s="13"/>
      <c r="M777" s="13"/>
      <c r="N777" s="149"/>
      <c r="O777" s="13"/>
      <c r="P777" s="149"/>
      <c r="R777" s="132"/>
      <c r="T777" s="13"/>
    </row>
    <row r="778" spans="1:20" ht="12.75" customHeight="1" x14ac:dyDescent="0.2">
      <c r="A778" s="137"/>
      <c r="B778" s="148"/>
      <c r="C778" s="148"/>
      <c r="D778" s="148"/>
      <c r="E778" s="13"/>
      <c r="F778" s="13"/>
      <c r="G778" s="147"/>
      <c r="H778" s="13"/>
      <c r="I778" s="13"/>
      <c r="J778" s="13"/>
      <c r="K778" s="13"/>
      <c r="L778" s="13"/>
      <c r="M778" s="13"/>
      <c r="N778" s="149"/>
      <c r="O778" s="13"/>
      <c r="P778" s="149"/>
      <c r="R778" s="132"/>
      <c r="T778" s="13"/>
    </row>
    <row r="779" spans="1:20" ht="12.75" customHeight="1" x14ac:dyDescent="0.2">
      <c r="A779" s="137"/>
      <c r="B779" s="148"/>
      <c r="C779" s="148"/>
      <c r="D779" s="148"/>
      <c r="E779" s="13"/>
      <c r="F779" s="13"/>
      <c r="G779" s="147"/>
      <c r="H779" s="13"/>
      <c r="I779" s="13"/>
      <c r="J779" s="13"/>
      <c r="K779" s="13"/>
      <c r="L779" s="13"/>
      <c r="M779" s="13"/>
      <c r="N779" s="149"/>
      <c r="O779" s="13"/>
      <c r="P779" s="149"/>
      <c r="R779" s="132"/>
      <c r="T779" s="13"/>
    </row>
    <row r="780" spans="1:20" ht="12.75" customHeight="1" x14ac:dyDescent="0.2">
      <c r="A780" s="137"/>
      <c r="B780" s="148"/>
      <c r="C780" s="148"/>
      <c r="D780" s="148"/>
      <c r="E780" s="13"/>
      <c r="F780" s="13"/>
      <c r="G780" s="147"/>
      <c r="H780" s="13"/>
      <c r="I780" s="13"/>
      <c r="J780" s="13"/>
      <c r="K780" s="13"/>
      <c r="L780" s="13"/>
      <c r="M780" s="13"/>
      <c r="N780" s="149"/>
      <c r="O780" s="13"/>
      <c r="P780" s="149"/>
      <c r="R780" s="132"/>
      <c r="T780" s="13"/>
    </row>
    <row r="781" spans="1:20" ht="12.75" customHeight="1" x14ac:dyDescent="0.2">
      <c r="A781" s="137"/>
      <c r="B781" s="148"/>
      <c r="C781" s="148"/>
      <c r="D781" s="148"/>
      <c r="E781" s="13"/>
      <c r="F781" s="13"/>
      <c r="G781" s="147"/>
      <c r="H781" s="13"/>
      <c r="I781" s="13"/>
      <c r="J781" s="13"/>
      <c r="K781" s="13"/>
      <c r="L781" s="13"/>
      <c r="M781" s="13"/>
      <c r="N781" s="149"/>
      <c r="O781" s="13"/>
      <c r="P781" s="149"/>
      <c r="R781" s="132"/>
      <c r="T781" s="13"/>
    </row>
    <row r="782" spans="1:20" ht="12.75" customHeight="1" x14ac:dyDescent="0.2">
      <c r="A782" s="137"/>
      <c r="B782" s="148"/>
      <c r="C782" s="148"/>
      <c r="D782" s="148"/>
      <c r="E782" s="13"/>
      <c r="F782" s="13"/>
      <c r="G782" s="147"/>
      <c r="H782" s="13"/>
      <c r="I782" s="13"/>
      <c r="J782" s="13"/>
      <c r="K782" s="13"/>
      <c r="L782" s="13"/>
      <c r="M782" s="13"/>
      <c r="N782" s="149"/>
      <c r="O782" s="13"/>
      <c r="P782" s="149"/>
      <c r="R782" s="132"/>
      <c r="T782" s="13"/>
    </row>
    <row r="783" spans="1:20" ht="12.75" customHeight="1" x14ac:dyDescent="0.2">
      <c r="A783" s="137"/>
      <c r="B783" s="148"/>
      <c r="C783" s="148"/>
      <c r="D783" s="148"/>
      <c r="E783" s="13"/>
      <c r="F783" s="13"/>
      <c r="G783" s="147"/>
      <c r="H783" s="13"/>
      <c r="I783" s="13"/>
      <c r="J783" s="13"/>
      <c r="K783" s="13"/>
      <c r="L783" s="13"/>
      <c r="M783" s="13"/>
      <c r="N783" s="149"/>
      <c r="O783" s="13"/>
      <c r="P783" s="149"/>
      <c r="R783" s="132"/>
      <c r="T783" s="13"/>
    </row>
    <row r="784" spans="1:20" ht="12.75" customHeight="1" x14ac:dyDescent="0.2">
      <c r="A784" s="137"/>
      <c r="B784" s="148"/>
      <c r="C784" s="148"/>
      <c r="D784" s="148"/>
      <c r="E784" s="13"/>
      <c r="F784" s="13"/>
      <c r="G784" s="147"/>
      <c r="H784" s="13"/>
      <c r="I784" s="13"/>
      <c r="J784" s="13"/>
      <c r="K784" s="13"/>
      <c r="L784" s="13"/>
      <c r="M784" s="13"/>
      <c r="N784" s="149"/>
      <c r="O784" s="13"/>
      <c r="P784" s="149"/>
      <c r="R784" s="132"/>
      <c r="T784" s="13"/>
    </row>
    <row r="785" spans="1:20" ht="12.75" customHeight="1" x14ac:dyDescent="0.2">
      <c r="A785" s="137"/>
      <c r="B785" s="148"/>
      <c r="C785" s="148"/>
      <c r="D785" s="148"/>
      <c r="E785" s="13"/>
      <c r="F785" s="13"/>
      <c r="G785" s="147"/>
      <c r="H785" s="13"/>
      <c r="I785" s="13"/>
      <c r="J785" s="13"/>
      <c r="K785" s="13"/>
      <c r="L785" s="13"/>
      <c r="M785" s="13"/>
      <c r="N785" s="149"/>
      <c r="O785" s="13"/>
      <c r="P785" s="149"/>
      <c r="R785" s="132"/>
      <c r="T785" s="13"/>
    </row>
    <row r="786" spans="1:20" ht="12.75" customHeight="1" x14ac:dyDescent="0.2">
      <c r="A786" s="137"/>
      <c r="B786" s="148"/>
      <c r="C786" s="148"/>
      <c r="D786" s="148"/>
      <c r="E786" s="13"/>
      <c r="F786" s="13"/>
      <c r="G786" s="147"/>
      <c r="H786" s="13"/>
      <c r="I786" s="13"/>
      <c r="J786" s="13"/>
      <c r="K786" s="13"/>
      <c r="L786" s="13"/>
      <c r="M786" s="13"/>
      <c r="N786" s="149"/>
      <c r="O786" s="13"/>
      <c r="P786" s="149"/>
      <c r="R786" s="132"/>
      <c r="T786" s="13"/>
    </row>
    <row r="787" spans="1:20" ht="12.75" customHeight="1" x14ac:dyDescent="0.2">
      <c r="A787" s="137"/>
      <c r="B787" s="148"/>
      <c r="C787" s="148"/>
      <c r="D787" s="148"/>
      <c r="E787" s="13"/>
      <c r="F787" s="13"/>
      <c r="G787" s="147"/>
      <c r="H787" s="13"/>
      <c r="I787" s="13"/>
      <c r="J787" s="13"/>
      <c r="K787" s="13"/>
      <c r="L787" s="13"/>
      <c r="M787" s="13"/>
      <c r="N787" s="149"/>
      <c r="O787" s="13"/>
      <c r="P787" s="149"/>
      <c r="R787" s="132"/>
      <c r="T787" s="13"/>
    </row>
    <row r="788" spans="1:20" ht="12.75" customHeight="1" x14ac:dyDescent="0.2">
      <c r="A788" s="137"/>
      <c r="B788" s="148"/>
      <c r="C788" s="148"/>
      <c r="D788" s="148"/>
      <c r="E788" s="13"/>
      <c r="F788" s="13"/>
      <c r="G788" s="147"/>
      <c r="H788" s="13"/>
      <c r="I788" s="13"/>
      <c r="J788" s="13"/>
      <c r="K788" s="13"/>
      <c r="L788" s="13"/>
      <c r="M788" s="13"/>
      <c r="N788" s="149"/>
      <c r="O788" s="13"/>
      <c r="P788" s="149"/>
      <c r="R788" s="132"/>
      <c r="T788" s="13"/>
    </row>
    <row r="789" spans="1:20" ht="12.75" customHeight="1" x14ac:dyDescent="0.2">
      <c r="A789" s="137"/>
      <c r="B789" s="148"/>
      <c r="C789" s="148"/>
      <c r="D789" s="148"/>
      <c r="E789" s="13"/>
      <c r="F789" s="13"/>
      <c r="G789" s="147"/>
      <c r="H789" s="13"/>
      <c r="I789" s="13"/>
      <c r="J789" s="13"/>
      <c r="K789" s="13"/>
      <c r="L789" s="13"/>
      <c r="M789" s="13"/>
      <c r="N789" s="149"/>
      <c r="O789" s="13"/>
      <c r="P789" s="149"/>
      <c r="R789" s="132"/>
      <c r="T789" s="13"/>
    </row>
    <row r="790" spans="1:20" ht="12.75" customHeight="1" x14ac:dyDescent="0.2">
      <c r="A790" s="137"/>
      <c r="B790" s="148"/>
      <c r="C790" s="148"/>
      <c r="D790" s="148"/>
      <c r="E790" s="13"/>
      <c r="F790" s="13"/>
      <c r="G790" s="147"/>
      <c r="H790" s="13"/>
      <c r="I790" s="13"/>
      <c r="J790" s="13"/>
      <c r="K790" s="13"/>
      <c r="L790" s="13"/>
      <c r="M790" s="13"/>
      <c r="N790" s="149"/>
      <c r="O790" s="13"/>
      <c r="P790" s="149"/>
      <c r="R790" s="132"/>
      <c r="T790" s="13"/>
    </row>
    <row r="791" spans="1:20" ht="12.75" customHeight="1" x14ac:dyDescent="0.2">
      <c r="A791" s="137"/>
      <c r="B791" s="148"/>
      <c r="C791" s="148"/>
      <c r="D791" s="148"/>
      <c r="E791" s="13"/>
      <c r="F791" s="13"/>
      <c r="G791" s="147"/>
      <c r="H791" s="13"/>
      <c r="I791" s="13"/>
      <c r="J791" s="13"/>
      <c r="K791" s="13"/>
      <c r="L791" s="13"/>
      <c r="M791" s="13"/>
      <c r="N791" s="149"/>
      <c r="O791" s="13"/>
      <c r="P791" s="149"/>
      <c r="R791" s="132"/>
      <c r="T791" s="13"/>
    </row>
    <row r="792" spans="1:20" ht="12.75" customHeight="1" x14ac:dyDescent="0.2">
      <c r="A792" s="137"/>
      <c r="B792" s="148"/>
      <c r="C792" s="148"/>
      <c r="D792" s="148"/>
      <c r="E792" s="13"/>
      <c r="F792" s="13"/>
      <c r="G792" s="147"/>
      <c r="H792" s="13"/>
      <c r="I792" s="13"/>
      <c r="J792" s="13"/>
      <c r="K792" s="13"/>
      <c r="L792" s="13"/>
      <c r="M792" s="13"/>
      <c r="N792" s="149"/>
      <c r="O792" s="13"/>
      <c r="P792" s="149"/>
      <c r="R792" s="132"/>
      <c r="T792" s="13"/>
    </row>
    <row r="793" spans="1:20" ht="12.75" customHeight="1" x14ac:dyDescent="0.2">
      <c r="A793" s="137"/>
      <c r="B793" s="148"/>
      <c r="C793" s="148"/>
      <c r="D793" s="148"/>
      <c r="E793" s="13"/>
      <c r="F793" s="13"/>
      <c r="G793" s="147"/>
      <c r="H793" s="13"/>
      <c r="I793" s="13"/>
      <c r="J793" s="13"/>
      <c r="K793" s="13"/>
      <c r="L793" s="13"/>
      <c r="M793" s="13"/>
      <c r="N793" s="149"/>
      <c r="O793" s="13"/>
      <c r="P793" s="149"/>
      <c r="R793" s="132"/>
      <c r="T793" s="13"/>
    </row>
    <row r="794" spans="1:20" ht="12.75" customHeight="1" x14ac:dyDescent="0.2">
      <c r="A794" s="137"/>
      <c r="B794" s="148"/>
      <c r="C794" s="148"/>
      <c r="D794" s="148"/>
      <c r="E794" s="13"/>
      <c r="F794" s="13"/>
      <c r="G794" s="147"/>
      <c r="H794" s="13"/>
      <c r="I794" s="13"/>
      <c r="J794" s="13"/>
      <c r="K794" s="13"/>
      <c r="L794" s="13"/>
      <c r="M794" s="13"/>
      <c r="N794" s="149"/>
      <c r="O794" s="13"/>
      <c r="P794" s="149"/>
      <c r="R794" s="132"/>
      <c r="T794" s="13"/>
    </row>
    <row r="795" spans="1:20" ht="12.75" customHeight="1" x14ac:dyDescent="0.2">
      <c r="A795" s="137"/>
      <c r="B795" s="148"/>
      <c r="C795" s="148"/>
      <c r="D795" s="148"/>
      <c r="E795" s="13"/>
      <c r="F795" s="13"/>
      <c r="G795" s="147"/>
      <c r="H795" s="13"/>
      <c r="I795" s="13"/>
      <c r="J795" s="13"/>
      <c r="K795" s="13"/>
      <c r="L795" s="13"/>
      <c r="M795" s="13"/>
      <c r="N795" s="149"/>
      <c r="O795" s="13"/>
      <c r="P795" s="149"/>
      <c r="R795" s="132"/>
      <c r="T795" s="13"/>
    </row>
    <row r="796" spans="1:20" ht="12.75" customHeight="1" x14ac:dyDescent="0.2">
      <c r="A796" s="137"/>
      <c r="B796" s="148"/>
      <c r="C796" s="148"/>
      <c r="D796" s="148"/>
      <c r="E796" s="13"/>
      <c r="F796" s="13"/>
      <c r="G796" s="147"/>
      <c r="H796" s="13"/>
      <c r="I796" s="13"/>
      <c r="J796" s="13"/>
      <c r="K796" s="13"/>
      <c r="L796" s="13"/>
      <c r="M796" s="13"/>
      <c r="N796" s="149"/>
      <c r="O796" s="13"/>
      <c r="P796" s="149"/>
      <c r="R796" s="132"/>
      <c r="T796" s="13"/>
    </row>
    <row r="797" spans="1:20" ht="12.75" customHeight="1" x14ac:dyDescent="0.2">
      <c r="A797" s="137"/>
      <c r="B797" s="148"/>
      <c r="C797" s="148"/>
      <c r="D797" s="148"/>
      <c r="E797" s="13"/>
      <c r="F797" s="13"/>
      <c r="G797" s="147"/>
      <c r="H797" s="13"/>
      <c r="I797" s="13"/>
      <c r="J797" s="13"/>
      <c r="K797" s="13"/>
      <c r="L797" s="13"/>
      <c r="M797" s="13"/>
      <c r="N797" s="149"/>
      <c r="O797" s="13"/>
      <c r="P797" s="149"/>
      <c r="R797" s="132"/>
      <c r="T797" s="13"/>
    </row>
    <row r="798" spans="1:20" ht="12.75" customHeight="1" x14ac:dyDescent="0.2">
      <c r="A798" s="137"/>
      <c r="B798" s="148"/>
      <c r="C798" s="148"/>
      <c r="D798" s="148"/>
      <c r="E798" s="13"/>
      <c r="F798" s="13"/>
      <c r="G798" s="147"/>
      <c r="H798" s="13"/>
      <c r="I798" s="13"/>
      <c r="J798" s="13"/>
      <c r="K798" s="13"/>
      <c r="L798" s="13"/>
      <c r="M798" s="13"/>
      <c r="N798" s="149"/>
      <c r="O798" s="13"/>
      <c r="P798" s="149"/>
      <c r="R798" s="132"/>
      <c r="T798" s="13"/>
    </row>
    <row r="799" spans="1:20" ht="12.75" customHeight="1" x14ac:dyDescent="0.2">
      <c r="A799" s="137"/>
      <c r="B799" s="148"/>
      <c r="C799" s="148"/>
      <c r="D799" s="148"/>
      <c r="E799" s="13"/>
      <c r="F799" s="13"/>
      <c r="G799" s="147"/>
      <c r="H799" s="13"/>
      <c r="I799" s="13"/>
      <c r="J799" s="13"/>
      <c r="K799" s="13"/>
      <c r="L799" s="13"/>
      <c r="M799" s="13"/>
      <c r="N799" s="149"/>
      <c r="O799" s="13"/>
      <c r="P799" s="149"/>
      <c r="R799" s="132"/>
      <c r="T799" s="13"/>
    </row>
    <row r="800" spans="1:20" ht="12.75" customHeight="1" x14ac:dyDescent="0.2">
      <c r="A800" s="137"/>
      <c r="B800" s="148"/>
      <c r="C800" s="148"/>
      <c r="D800" s="148"/>
      <c r="E800" s="13"/>
      <c r="F800" s="13"/>
      <c r="G800" s="147"/>
      <c r="H800" s="13"/>
      <c r="I800" s="13"/>
      <c r="J800" s="13"/>
      <c r="K800" s="13"/>
      <c r="L800" s="13"/>
      <c r="M800" s="13"/>
      <c r="N800" s="149"/>
      <c r="O800" s="13"/>
      <c r="P800" s="149"/>
      <c r="R800" s="132"/>
      <c r="T800" s="13"/>
    </row>
    <row r="801" spans="1:20" ht="12.75" customHeight="1" x14ac:dyDescent="0.2">
      <c r="A801" s="137"/>
      <c r="B801" s="148"/>
      <c r="C801" s="148"/>
      <c r="D801" s="148"/>
      <c r="E801" s="13"/>
      <c r="F801" s="13"/>
      <c r="G801" s="147"/>
      <c r="H801" s="13"/>
      <c r="I801" s="13"/>
      <c r="J801" s="13"/>
      <c r="K801" s="13"/>
      <c r="L801" s="13"/>
      <c r="M801" s="13"/>
      <c r="N801" s="149"/>
      <c r="O801" s="13"/>
      <c r="P801" s="149"/>
      <c r="R801" s="132"/>
      <c r="T801" s="13"/>
    </row>
    <row r="802" spans="1:20" ht="12.75" customHeight="1" x14ac:dyDescent="0.2">
      <c r="A802" s="137"/>
      <c r="B802" s="148"/>
      <c r="C802" s="148"/>
      <c r="D802" s="148"/>
      <c r="E802" s="13"/>
      <c r="F802" s="13"/>
      <c r="G802" s="147"/>
      <c r="H802" s="13"/>
      <c r="I802" s="13"/>
      <c r="J802" s="13"/>
      <c r="K802" s="13"/>
      <c r="L802" s="13"/>
      <c r="M802" s="13"/>
      <c r="N802" s="149"/>
      <c r="O802" s="13"/>
      <c r="P802" s="149"/>
      <c r="R802" s="132"/>
      <c r="T802" s="13"/>
    </row>
    <row r="803" spans="1:20" ht="12.75" customHeight="1" x14ac:dyDescent="0.2">
      <c r="A803" s="137"/>
      <c r="B803" s="148"/>
      <c r="C803" s="148"/>
      <c r="D803" s="148"/>
      <c r="E803" s="13"/>
      <c r="F803" s="13"/>
      <c r="G803" s="147"/>
      <c r="H803" s="13"/>
      <c r="I803" s="13"/>
      <c r="J803" s="13"/>
      <c r="K803" s="13"/>
      <c r="L803" s="13"/>
      <c r="M803" s="13"/>
      <c r="N803" s="149"/>
      <c r="O803" s="13"/>
      <c r="P803" s="149"/>
      <c r="R803" s="132"/>
      <c r="T803" s="13"/>
    </row>
    <row r="804" spans="1:20" ht="12.75" customHeight="1" x14ac:dyDescent="0.2">
      <c r="A804" s="137"/>
      <c r="B804" s="148"/>
      <c r="C804" s="148"/>
      <c r="D804" s="148"/>
      <c r="E804" s="13"/>
      <c r="F804" s="13"/>
      <c r="G804" s="147"/>
      <c r="H804" s="13"/>
      <c r="I804" s="13"/>
      <c r="J804" s="13"/>
      <c r="K804" s="13"/>
      <c r="L804" s="13"/>
      <c r="M804" s="13"/>
      <c r="N804" s="149"/>
      <c r="O804" s="13"/>
      <c r="P804" s="149"/>
      <c r="R804" s="132"/>
      <c r="T804" s="13"/>
    </row>
    <row r="805" spans="1:20" ht="12.75" customHeight="1" x14ac:dyDescent="0.2">
      <c r="A805" s="137"/>
      <c r="B805" s="148"/>
      <c r="C805" s="148"/>
      <c r="D805" s="148"/>
      <c r="E805" s="13"/>
      <c r="F805" s="13"/>
      <c r="G805" s="147"/>
      <c r="H805" s="13"/>
      <c r="I805" s="13"/>
      <c r="J805" s="13"/>
      <c r="K805" s="13"/>
      <c r="L805" s="13"/>
      <c r="M805" s="13"/>
      <c r="N805" s="149"/>
      <c r="O805" s="13"/>
      <c r="P805" s="149"/>
      <c r="R805" s="132"/>
      <c r="T805" s="13"/>
    </row>
    <row r="806" spans="1:20" ht="12.75" customHeight="1" x14ac:dyDescent="0.2">
      <c r="A806" s="137"/>
      <c r="B806" s="148"/>
      <c r="C806" s="148"/>
      <c r="D806" s="148"/>
      <c r="E806" s="13"/>
      <c r="F806" s="13"/>
      <c r="G806" s="147"/>
      <c r="H806" s="13"/>
      <c r="I806" s="13"/>
      <c r="J806" s="13"/>
      <c r="K806" s="13"/>
      <c r="L806" s="13"/>
      <c r="M806" s="13"/>
      <c r="N806" s="149"/>
      <c r="O806" s="13"/>
      <c r="P806" s="149"/>
      <c r="R806" s="132"/>
      <c r="T806" s="13"/>
    </row>
    <row r="807" spans="1:20" ht="12.75" customHeight="1" x14ac:dyDescent="0.2">
      <c r="A807" s="137"/>
      <c r="B807" s="148"/>
      <c r="C807" s="148"/>
      <c r="D807" s="148"/>
      <c r="E807" s="13"/>
      <c r="F807" s="13"/>
      <c r="G807" s="147"/>
      <c r="H807" s="13"/>
      <c r="I807" s="13"/>
      <c r="J807" s="13"/>
      <c r="K807" s="13"/>
      <c r="L807" s="13"/>
      <c r="M807" s="13"/>
      <c r="N807" s="149"/>
      <c r="O807" s="13"/>
      <c r="P807" s="149"/>
      <c r="R807" s="132"/>
      <c r="T807" s="13"/>
    </row>
    <row r="808" spans="1:20" ht="12.75" customHeight="1" x14ac:dyDescent="0.2">
      <c r="A808" s="137"/>
      <c r="B808" s="148"/>
      <c r="C808" s="148"/>
      <c r="D808" s="148"/>
      <c r="E808" s="13"/>
      <c r="F808" s="13"/>
      <c r="G808" s="147"/>
      <c r="H808" s="13"/>
      <c r="I808" s="13"/>
      <c r="J808" s="13"/>
      <c r="K808" s="13"/>
      <c r="L808" s="13"/>
      <c r="M808" s="13"/>
      <c r="N808" s="149"/>
      <c r="O808" s="13"/>
      <c r="P808" s="149"/>
      <c r="R808" s="132"/>
      <c r="T808" s="13"/>
    </row>
    <row r="809" spans="1:20" ht="12.75" customHeight="1" x14ac:dyDescent="0.2">
      <c r="A809" s="137"/>
      <c r="B809" s="148"/>
      <c r="C809" s="148"/>
      <c r="D809" s="148"/>
      <c r="E809" s="13"/>
      <c r="F809" s="13"/>
      <c r="G809" s="147"/>
      <c r="H809" s="13"/>
      <c r="I809" s="13"/>
      <c r="J809" s="13"/>
      <c r="K809" s="13"/>
      <c r="L809" s="13"/>
      <c r="M809" s="13"/>
      <c r="N809" s="149"/>
      <c r="O809" s="13"/>
      <c r="P809" s="149"/>
      <c r="R809" s="132"/>
      <c r="T809" s="13"/>
    </row>
    <row r="810" spans="1:20" ht="12.75" customHeight="1" x14ac:dyDescent="0.2">
      <c r="A810" s="137"/>
      <c r="B810" s="148"/>
      <c r="C810" s="148"/>
      <c r="D810" s="148"/>
      <c r="E810" s="13"/>
      <c r="F810" s="13"/>
      <c r="G810" s="147"/>
      <c r="H810" s="13"/>
      <c r="I810" s="13"/>
      <c r="J810" s="13"/>
      <c r="K810" s="13"/>
      <c r="L810" s="13"/>
      <c r="M810" s="13"/>
      <c r="N810" s="149"/>
      <c r="O810" s="13"/>
      <c r="P810" s="149"/>
      <c r="R810" s="132"/>
      <c r="T810" s="13"/>
    </row>
    <row r="811" spans="1:20" ht="12.75" customHeight="1" x14ac:dyDescent="0.2">
      <c r="A811" s="137"/>
      <c r="B811" s="148"/>
      <c r="C811" s="148"/>
      <c r="D811" s="148"/>
      <c r="E811" s="13"/>
      <c r="F811" s="13"/>
      <c r="G811" s="147"/>
      <c r="H811" s="13"/>
      <c r="I811" s="13"/>
      <c r="J811" s="13"/>
      <c r="K811" s="13"/>
      <c r="L811" s="13"/>
      <c r="M811" s="13"/>
      <c r="N811" s="149"/>
      <c r="O811" s="13"/>
      <c r="P811" s="149"/>
      <c r="R811" s="132"/>
      <c r="T811" s="13"/>
    </row>
    <row r="812" spans="1:20" ht="12.75" customHeight="1" x14ac:dyDescent="0.2">
      <c r="A812" s="137"/>
      <c r="B812" s="148"/>
      <c r="C812" s="148"/>
      <c r="D812" s="148"/>
      <c r="E812" s="13"/>
      <c r="F812" s="13"/>
      <c r="G812" s="147"/>
      <c r="H812" s="13"/>
      <c r="I812" s="13"/>
      <c r="J812" s="13"/>
      <c r="K812" s="13"/>
      <c r="L812" s="13"/>
      <c r="M812" s="13"/>
      <c r="N812" s="149"/>
      <c r="O812" s="13"/>
      <c r="P812" s="149"/>
      <c r="R812" s="132"/>
      <c r="T812" s="13"/>
    </row>
    <row r="813" spans="1:20" ht="12.75" customHeight="1" x14ac:dyDescent="0.2">
      <c r="A813" s="137"/>
      <c r="B813" s="148"/>
      <c r="C813" s="148"/>
      <c r="D813" s="148"/>
      <c r="E813" s="13"/>
      <c r="F813" s="13"/>
      <c r="G813" s="147"/>
      <c r="H813" s="13"/>
      <c r="I813" s="13"/>
      <c r="J813" s="13"/>
      <c r="K813" s="13"/>
      <c r="L813" s="13"/>
      <c r="M813" s="13"/>
      <c r="N813" s="149"/>
      <c r="O813" s="13"/>
      <c r="P813" s="149"/>
      <c r="R813" s="132"/>
      <c r="T813" s="13"/>
    </row>
    <row r="814" spans="1:20" ht="12.75" customHeight="1" x14ac:dyDescent="0.2">
      <c r="A814" s="137"/>
      <c r="B814" s="148"/>
      <c r="C814" s="148"/>
      <c r="D814" s="148"/>
      <c r="E814" s="13"/>
      <c r="F814" s="13"/>
      <c r="G814" s="147"/>
      <c r="H814" s="13"/>
      <c r="I814" s="13"/>
      <c r="J814" s="13"/>
      <c r="K814" s="13"/>
      <c r="L814" s="13"/>
      <c r="M814" s="13"/>
      <c r="N814" s="149"/>
      <c r="O814" s="13"/>
      <c r="P814" s="149"/>
      <c r="R814" s="132"/>
      <c r="T814" s="13"/>
    </row>
    <row r="815" spans="1:20" ht="12.75" customHeight="1" x14ac:dyDescent="0.2">
      <c r="A815" s="137"/>
      <c r="B815" s="148"/>
      <c r="C815" s="148"/>
      <c r="D815" s="148"/>
      <c r="E815" s="13"/>
      <c r="F815" s="13"/>
      <c r="G815" s="147"/>
      <c r="H815" s="13"/>
      <c r="I815" s="13"/>
      <c r="J815" s="13"/>
      <c r="K815" s="13"/>
      <c r="L815" s="13"/>
      <c r="M815" s="13"/>
      <c r="N815" s="149"/>
      <c r="O815" s="13"/>
      <c r="P815" s="149"/>
      <c r="R815" s="132"/>
      <c r="T815" s="13"/>
    </row>
    <row r="816" spans="1:20" ht="12.75" customHeight="1" x14ac:dyDescent="0.2">
      <c r="A816" s="137"/>
      <c r="B816" s="148"/>
      <c r="C816" s="148"/>
      <c r="D816" s="148"/>
      <c r="E816" s="13"/>
      <c r="F816" s="13"/>
      <c r="G816" s="147"/>
      <c r="H816" s="13"/>
      <c r="I816" s="13"/>
      <c r="J816" s="13"/>
      <c r="K816" s="13"/>
      <c r="L816" s="13"/>
      <c r="M816" s="13"/>
      <c r="N816" s="149"/>
      <c r="O816" s="13"/>
      <c r="P816" s="149"/>
      <c r="R816" s="132"/>
      <c r="T816" s="13"/>
    </row>
    <row r="817" spans="1:20" ht="12.75" customHeight="1" x14ac:dyDescent="0.2">
      <c r="A817" s="137"/>
      <c r="B817" s="148"/>
      <c r="C817" s="148"/>
      <c r="D817" s="148"/>
      <c r="E817" s="13"/>
      <c r="F817" s="13"/>
      <c r="G817" s="147"/>
      <c r="H817" s="13"/>
      <c r="I817" s="13"/>
      <c r="J817" s="13"/>
      <c r="K817" s="13"/>
      <c r="L817" s="13"/>
      <c r="M817" s="13"/>
      <c r="N817" s="149"/>
      <c r="O817" s="13"/>
      <c r="P817" s="149"/>
      <c r="R817" s="132"/>
      <c r="T817" s="13"/>
    </row>
    <row r="818" spans="1:20" ht="12.75" customHeight="1" x14ac:dyDescent="0.2">
      <c r="A818" s="137"/>
      <c r="B818" s="148"/>
      <c r="C818" s="148"/>
      <c r="D818" s="148"/>
      <c r="E818" s="13"/>
      <c r="F818" s="13"/>
      <c r="G818" s="147"/>
      <c r="H818" s="13"/>
      <c r="I818" s="13"/>
      <c r="J818" s="13"/>
      <c r="K818" s="13"/>
      <c r="L818" s="13"/>
      <c r="M818" s="13"/>
      <c r="N818" s="149"/>
      <c r="O818" s="13"/>
      <c r="P818" s="149"/>
      <c r="R818" s="132"/>
      <c r="T818" s="13"/>
    </row>
    <row r="819" spans="1:20" ht="12.75" customHeight="1" x14ac:dyDescent="0.2">
      <c r="A819" s="137"/>
      <c r="B819" s="148"/>
      <c r="C819" s="148"/>
      <c r="D819" s="148"/>
      <c r="E819" s="13"/>
      <c r="F819" s="13"/>
      <c r="G819" s="147"/>
      <c r="H819" s="13"/>
      <c r="I819" s="13"/>
      <c r="J819" s="13"/>
      <c r="K819" s="13"/>
      <c r="L819" s="13"/>
      <c r="M819" s="13"/>
      <c r="N819" s="149"/>
      <c r="O819" s="13"/>
      <c r="P819" s="149"/>
      <c r="R819" s="132"/>
      <c r="T819" s="13"/>
    </row>
    <row r="820" spans="1:20" ht="12.75" customHeight="1" x14ac:dyDescent="0.2">
      <c r="A820" s="137"/>
      <c r="B820" s="148"/>
      <c r="C820" s="148"/>
      <c r="D820" s="148"/>
      <c r="E820" s="13"/>
      <c r="F820" s="13"/>
      <c r="G820" s="147"/>
      <c r="H820" s="13"/>
      <c r="I820" s="13"/>
      <c r="J820" s="13"/>
      <c r="K820" s="13"/>
      <c r="L820" s="13"/>
      <c r="M820" s="13"/>
      <c r="N820" s="149"/>
      <c r="O820" s="13"/>
      <c r="P820" s="149"/>
      <c r="R820" s="132"/>
      <c r="T820" s="13"/>
    </row>
    <row r="821" spans="1:20" ht="12.75" customHeight="1" x14ac:dyDescent="0.2">
      <c r="A821" s="137"/>
      <c r="B821" s="148"/>
      <c r="C821" s="148"/>
      <c r="D821" s="148"/>
      <c r="E821" s="13"/>
      <c r="F821" s="13"/>
      <c r="G821" s="147"/>
      <c r="H821" s="13"/>
      <c r="I821" s="13"/>
      <c r="J821" s="13"/>
      <c r="K821" s="13"/>
      <c r="L821" s="13"/>
      <c r="M821" s="13"/>
      <c r="N821" s="149"/>
      <c r="O821" s="13"/>
      <c r="P821" s="149"/>
      <c r="R821" s="132"/>
      <c r="T821" s="13"/>
    </row>
    <row r="822" spans="1:20" ht="12.75" customHeight="1" x14ac:dyDescent="0.2">
      <c r="A822" s="137"/>
      <c r="B822" s="148"/>
      <c r="C822" s="148"/>
      <c r="D822" s="148"/>
      <c r="E822" s="13"/>
      <c r="F822" s="13"/>
      <c r="G822" s="147"/>
      <c r="H822" s="13"/>
      <c r="I822" s="13"/>
      <c r="J822" s="13"/>
      <c r="K822" s="13"/>
      <c r="L822" s="13"/>
      <c r="M822" s="13"/>
      <c r="N822" s="149"/>
      <c r="O822" s="13"/>
      <c r="P822" s="149"/>
      <c r="R822" s="132"/>
      <c r="T822" s="13"/>
    </row>
    <row r="823" spans="1:20" ht="12.75" customHeight="1" x14ac:dyDescent="0.2">
      <c r="A823" s="137"/>
      <c r="B823" s="148"/>
      <c r="C823" s="148"/>
      <c r="D823" s="148"/>
      <c r="E823" s="13"/>
      <c r="F823" s="13"/>
      <c r="G823" s="147"/>
      <c r="H823" s="13"/>
      <c r="I823" s="13"/>
      <c r="J823" s="13"/>
      <c r="K823" s="13"/>
      <c r="L823" s="13"/>
      <c r="M823" s="13"/>
      <c r="N823" s="149"/>
      <c r="O823" s="13"/>
      <c r="P823" s="149"/>
      <c r="R823" s="132"/>
      <c r="T823" s="13"/>
    </row>
    <row r="824" spans="1:20" ht="12.75" customHeight="1" x14ac:dyDescent="0.2">
      <c r="A824" s="137"/>
      <c r="B824" s="148"/>
      <c r="C824" s="148"/>
      <c r="D824" s="148"/>
      <c r="E824" s="13"/>
      <c r="F824" s="13"/>
      <c r="G824" s="147"/>
      <c r="H824" s="13"/>
      <c r="I824" s="13"/>
      <c r="J824" s="13"/>
      <c r="K824" s="13"/>
      <c r="L824" s="13"/>
      <c r="M824" s="13"/>
      <c r="N824" s="149"/>
      <c r="O824" s="13"/>
      <c r="P824" s="149"/>
      <c r="R824" s="132"/>
      <c r="T824" s="13"/>
    </row>
    <row r="825" spans="1:20" ht="12.75" customHeight="1" x14ac:dyDescent="0.2">
      <c r="A825" s="137"/>
      <c r="B825" s="148"/>
      <c r="C825" s="148"/>
      <c r="D825" s="148"/>
      <c r="E825" s="13"/>
      <c r="F825" s="13"/>
      <c r="G825" s="147"/>
      <c r="H825" s="13"/>
      <c r="I825" s="13"/>
      <c r="J825" s="13"/>
      <c r="K825" s="13"/>
      <c r="L825" s="13"/>
      <c r="M825" s="13"/>
      <c r="N825" s="149"/>
      <c r="O825" s="13"/>
      <c r="P825" s="149"/>
      <c r="R825" s="132"/>
      <c r="T825" s="13"/>
    </row>
    <row r="826" spans="1:20" ht="12.75" customHeight="1" x14ac:dyDescent="0.2">
      <c r="A826" s="137"/>
      <c r="B826" s="148"/>
      <c r="C826" s="148"/>
      <c r="D826" s="148"/>
      <c r="E826" s="13"/>
      <c r="F826" s="13"/>
      <c r="G826" s="147"/>
      <c r="H826" s="13"/>
      <c r="I826" s="13"/>
      <c r="J826" s="13"/>
      <c r="K826" s="13"/>
      <c r="L826" s="13"/>
      <c r="M826" s="13"/>
      <c r="N826" s="149"/>
      <c r="O826" s="13"/>
      <c r="P826" s="149"/>
      <c r="R826" s="132"/>
      <c r="T826" s="13"/>
    </row>
    <row r="827" spans="1:20" ht="12.75" customHeight="1" x14ac:dyDescent="0.2">
      <c r="A827" s="137"/>
      <c r="B827" s="148"/>
      <c r="C827" s="148"/>
      <c r="D827" s="148"/>
      <c r="E827" s="13"/>
      <c r="F827" s="13"/>
      <c r="G827" s="147"/>
      <c r="H827" s="13"/>
      <c r="I827" s="13"/>
      <c r="J827" s="13"/>
      <c r="K827" s="13"/>
      <c r="L827" s="13"/>
      <c r="M827" s="13"/>
      <c r="N827" s="149"/>
      <c r="O827" s="13"/>
      <c r="P827" s="149"/>
      <c r="R827" s="132"/>
      <c r="T827" s="13"/>
    </row>
    <row r="828" spans="1:20" ht="12.75" customHeight="1" x14ac:dyDescent="0.2">
      <c r="A828" s="137"/>
      <c r="B828" s="148"/>
      <c r="C828" s="148"/>
      <c r="D828" s="148"/>
      <c r="E828" s="13"/>
      <c r="F828" s="13"/>
      <c r="G828" s="147"/>
      <c r="H828" s="13"/>
      <c r="I828" s="13"/>
      <c r="J828" s="13"/>
      <c r="K828" s="13"/>
      <c r="L828" s="13"/>
      <c r="M828" s="13"/>
      <c r="N828" s="149"/>
      <c r="O828" s="13"/>
      <c r="P828" s="149"/>
      <c r="R828" s="132"/>
      <c r="T828" s="13"/>
    </row>
    <row r="829" spans="1:20" ht="12.75" customHeight="1" x14ac:dyDescent="0.2">
      <c r="A829" s="137"/>
      <c r="B829" s="148"/>
      <c r="C829" s="148"/>
      <c r="D829" s="148"/>
      <c r="E829" s="13"/>
      <c r="F829" s="13"/>
      <c r="G829" s="147"/>
      <c r="H829" s="13"/>
      <c r="I829" s="13"/>
      <c r="J829" s="13"/>
      <c r="K829" s="13"/>
      <c r="L829" s="13"/>
      <c r="M829" s="13"/>
      <c r="N829" s="149"/>
      <c r="O829" s="13"/>
      <c r="P829" s="149"/>
      <c r="R829" s="132"/>
      <c r="T829" s="13"/>
    </row>
    <row r="830" spans="1:20" ht="12.75" customHeight="1" x14ac:dyDescent="0.2">
      <c r="A830" s="137"/>
      <c r="B830" s="148"/>
      <c r="C830" s="148"/>
      <c r="D830" s="148"/>
      <c r="E830" s="13"/>
      <c r="F830" s="13"/>
      <c r="G830" s="147"/>
      <c r="H830" s="13"/>
      <c r="I830" s="13"/>
      <c r="J830" s="13"/>
      <c r="K830" s="13"/>
      <c r="L830" s="13"/>
      <c r="M830" s="13"/>
      <c r="N830" s="149"/>
      <c r="O830" s="13"/>
      <c r="P830" s="149"/>
      <c r="R830" s="132"/>
      <c r="T830" s="13"/>
    </row>
    <row r="831" spans="1:20" ht="12.75" customHeight="1" x14ac:dyDescent="0.2">
      <c r="A831" s="137"/>
      <c r="B831" s="148"/>
      <c r="C831" s="148"/>
      <c r="D831" s="148"/>
      <c r="E831" s="13"/>
      <c r="F831" s="13"/>
      <c r="G831" s="147"/>
      <c r="H831" s="13"/>
      <c r="I831" s="13"/>
      <c r="J831" s="13"/>
      <c r="K831" s="13"/>
      <c r="L831" s="13"/>
      <c r="M831" s="13"/>
      <c r="N831" s="149"/>
      <c r="O831" s="13"/>
      <c r="P831" s="149"/>
      <c r="R831" s="132"/>
      <c r="T831" s="13"/>
    </row>
    <row r="832" spans="1:20" ht="12.75" customHeight="1" x14ac:dyDescent="0.2">
      <c r="A832" s="137"/>
      <c r="B832" s="148"/>
      <c r="C832" s="148"/>
      <c r="D832" s="148"/>
      <c r="E832" s="13"/>
      <c r="F832" s="13"/>
      <c r="G832" s="147"/>
      <c r="H832" s="13"/>
      <c r="I832" s="13"/>
      <c r="J832" s="13"/>
      <c r="K832" s="13"/>
      <c r="L832" s="13"/>
      <c r="M832" s="13"/>
      <c r="N832" s="149"/>
      <c r="O832" s="13"/>
      <c r="P832" s="149"/>
      <c r="R832" s="132"/>
      <c r="T832" s="13"/>
    </row>
    <row r="833" spans="1:20" ht="12.75" customHeight="1" x14ac:dyDescent="0.2">
      <c r="A833" s="137"/>
      <c r="B833" s="148"/>
      <c r="C833" s="148"/>
      <c r="D833" s="148"/>
      <c r="E833" s="13"/>
      <c r="F833" s="13"/>
      <c r="G833" s="147"/>
      <c r="H833" s="13"/>
      <c r="I833" s="13"/>
      <c r="J833" s="13"/>
      <c r="K833" s="13"/>
      <c r="L833" s="13"/>
      <c r="M833" s="13"/>
      <c r="N833" s="149"/>
      <c r="O833" s="13"/>
      <c r="P833" s="149"/>
      <c r="R833" s="132"/>
      <c r="T833" s="13"/>
    </row>
    <row r="834" spans="1:20" ht="12.75" customHeight="1" x14ac:dyDescent="0.2">
      <c r="A834" s="137"/>
      <c r="B834" s="148"/>
      <c r="C834" s="148"/>
      <c r="D834" s="148"/>
      <c r="E834" s="13"/>
      <c r="F834" s="13"/>
      <c r="G834" s="147"/>
      <c r="H834" s="13"/>
      <c r="I834" s="13"/>
      <c r="J834" s="13"/>
      <c r="K834" s="13"/>
      <c r="L834" s="13"/>
      <c r="M834" s="13"/>
      <c r="N834" s="149"/>
      <c r="O834" s="13"/>
      <c r="P834" s="149"/>
      <c r="R834" s="132"/>
      <c r="T834" s="13"/>
    </row>
    <row r="835" spans="1:20" ht="12.75" customHeight="1" x14ac:dyDescent="0.2">
      <c r="A835" s="137"/>
      <c r="B835" s="148"/>
      <c r="C835" s="148"/>
      <c r="D835" s="148"/>
      <c r="E835" s="13"/>
      <c r="F835" s="13"/>
      <c r="G835" s="147"/>
      <c r="H835" s="13"/>
      <c r="I835" s="13"/>
      <c r="J835" s="13"/>
      <c r="K835" s="13"/>
      <c r="L835" s="13"/>
      <c r="M835" s="13"/>
      <c r="N835" s="149"/>
      <c r="O835" s="13"/>
      <c r="P835" s="149"/>
      <c r="R835" s="132"/>
      <c r="T835" s="13"/>
    </row>
    <row r="836" spans="1:20" ht="12.75" customHeight="1" x14ac:dyDescent="0.2">
      <c r="A836" s="137"/>
      <c r="B836" s="148"/>
      <c r="C836" s="148"/>
      <c r="D836" s="148"/>
      <c r="E836" s="13"/>
      <c r="F836" s="13"/>
      <c r="G836" s="147"/>
      <c r="H836" s="13"/>
      <c r="I836" s="13"/>
      <c r="J836" s="13"/>
      <c r="K836" s="13"/>
      <c r="L836" s="13"/>
      <c r="M836" s="13"/>
      <c r="N836" s="149"/>
      <c r="O836" s="13"/>
      <c r="P836" s="149"/>
      <c r="R836" s="132"/>
      <c r="T836" s="13"/>
    </row>
    <row r="837" spans="1:20" ht="12.75" customHeight="1" x14ac:dyDescent="0.2">
      <c r="A837" s="137"/>
      <c r="B837" s="148"/>
      <c r="C837" s="148"/>
      <c r="D837" s="148"/>
      <c r="E837" s="13"/>
      <c r="F837" s="13"/>
      <c r="G837" s="147"/>
      <c r="H837" s="13"/>
      <c r="I837" s="13"/>
      <c r="J837" s="13"/>
      <c r="K837" s="13"/>
      <c r="L837" s="13"/>
      <c r="M837" s="13"/>
      <c r="N837" s="149"/>
      <c r="O837" s="13"/>
      <c r="P837" s="149"/>
      <c r="R837" s="132"/>
      <c r="T837" s="13"/>
    </row>
    <row r="838" spans="1:20" ht="12.75" customHeight="1" x14ac:dyDescent="0.2">
      <c r="A838" s="137"/>
      <c r="B838" s="148"/>
      <c r="C838" s="148"/>
      <c r="D838" s="148"/>
      <c r="E838" s="13"/>
      <c r="F838" s="13"/>
      <c r="G838" s="147"/>
      <c r="H838" s="13"/>
      <c r="I838" s="13"/>
      <c r="J838" s="13"/>
      <c r="K838" s="13"/>
      <c r="L838" s="13"/>
      <c r="M838" s="13"/>
      <c r="N838" s="149"/>
      <c r="O838" s="13"/>
      <c r="P838" s="149"/>
      <c r="R838" s="132"/>
      <c r="T838" s="13"/>
    </row>
    <row r="839" spans="1:20" ht="12.75" customHeight="1" x14ac:dyDescent="0.2">
      <c r="A839" s="137"/>
      <c r="B839" s="148"/>
      <c r="C839" s="148"/>
      <c r="D839" s="148"/>
      <c r="E839" s="13"/>
      <c r="F839" s="13"/>
      <c r="G839" s="147"/>
      <c r="H839" s="13"/>
      <c r="I839" s="13"/>
      <c r="J839" s="13"/>
      <c r="K839" s="13"/>
      <c r="L839" s="13"/>
      <c r="M839" s="13"/>
      <c r="N839" s="149"/>
      <c r="O839" s="13"/>
      <c r="P839" s="149"/>
      <c r="R839" s="132"/>
      <c r="T839" s="13"/>
    </row>
    <row r="840" spans="1:20" ht="12.75" customHeight="1" x14ac:dyDescent="0.2">
      <c r="A840" s="137"/>
      <c r="B840" s="148"/>
      <c r="C840" s="148"/>
      <c r="D840" s="148"/>
      <c r="E840" s="13"/>
      <c r="F840" s="13"/>
      <c r="G840" s="147"/>
      <c r="H840" s="13"/>
      <c r="I840" s="13"/>
      <c r="J840" s="13"/>
      <c r="K840" s="13"/>
      <c r="L840" s="13"/>
      <c r="M840" s="13"/>
      <c r="N840" s="149"/>
      <c r="O840" s="13"/>
      <c r="P840" s="149"/>
      <c r="R840" s="132"/>
      <c r="T840" s="13"/>
    </row>
    <row r="841" spans="1:20" ht="12.75" customHeight="1" x14ac:dyDescent="0.2">
      <c r="A841" s="137"/>
      <c r="B841" s="148"/>
      <c r="C841" s="148"/>
      <c r="D841" s="148"/>
      <c r="E841" s="13"/>
      <c r="F841" s="13"/>
      <c r="G841" s="147"/>
      <c r="H841" s="13"/>
      <c r="I841" s="13"/>
      <c r="J841" s="13"/>
      <c r="K841" s="13"/>
      <c r="L841" s="13"/>
      <c r="M841" s="13"/>
      <c r="N841" s="149"/>
      <c r="O841" s="13"/>
      <c r="P841" s="149"/>
      <c r="R841" s="132"/>
      <c r="T841" s="13"/>
    </row>
    <row r="842" spans="1:20" ht="12.75" customHeight="1" x14ac:dyDescent="0.2">
      <c r="A842" s="137"/>
      <c r="B842" s="148"/>
      <c r="C842" s="148"/>
      <c r="D842" s="148"/>
      <c r="E842" s="13"/>
      <c r="F842" s="13"/>
      <c r="G842" s="147"/>
      <c r="H842" s="13"/>
      <c r="I842" s="13"/>
      <c r="J842" s="13"/>
      <c r="K842" s="13"/>
      <c r="L842" s="13"/>
      <c r="M842" s="13"/>
      <c r="N842" s="149"/>
      <c r="O842" s="13"/>
      <c r="P842" s="149"/>
      <c r="R842" s="132"/>
      <c r="T842" s="13"/>
    </row>
    <row r="843" spans="1:20" ht="12.75" customHeight="1" x14ac:dyDescent="0.2">
      <c r="A843" s="137"/>
      <c r="B843" s="148"/>
      <c r="C843" s="148"/>
      <c r="D843" s="148"/>
      <c r="E843" s="13"/>
      <c r="F843" s="13"/>
      <c r="G843" s="147"/>
      <c r="H843" s="13"/>
      <c r="I843" s="13"/>
      <c r="J843" s="13"/>
      <c r="K843" s="13"/>
      <c r="L843" s="13"/>
      <c r="M843" s="13"/>
      <c r="N843" s="149"/>
      <c r="O843" s="13"/>
      <c r="P843" s="149"/>
      <c r="R843" s="132"/>
      <c r="T843" s="13"/>
    </row>
    <row r="844" spans="1:20" ht="12.75" customHeight="1" x14ac:dyDescent="0.2">
      <c r="A844" s="137"/>
      <c r="B844" s="148"/>
      <c r="C844" s="148"/>
      <c r="D844" s="148"/>
      <c r="E844" s="13"/>
      <c r="F844" s="13"/>
      <c r="G844" s="147"/>
      <c r="H844" s="13"/>
      <c r="I844" s="13"/>
      <c r="J844" s="13"/>
      <c r="K844" s="13"/>
      <c r="L844" s="13"/>
      <c r="M844" s="13"/>
      <c r="N844" s="149"/>
      <c r="O844" s="13"/>
      <c r="P844" s="149"/>
      <c r="R844" s="132"/>
      <c r="T844" s="13"/>
    </row>
    <row r="845" spans="1:20" ht="12.75" customHeight="1" x14ac:dyDescent="0.2">
      <c r="A845" s="137"/>
      <c r="B845" s="148"/>
      <c r="C845" s="148"/>
      <c r="D845" s="148"/>
      <c r="E845" s="13"/>
      <c r="F845" s="13"/>
      <c r="G845" s="147"/>
      <c r="H845" s="13"/>
      <c r="I845" s="13"/>
      <c r="J845" s="13"/>
      <c r="K845" s="13"/>
      <c r="L845" s="13"/>
      <c r="M845" s="13"/>
      <c r="N845" s="149"/>
      <c r="O845" s="13"/>
      <c r="P845" s="149"/>
      <c r="R845" s="132"/>
      <c r="T845" s="13"/>
    </row>
    <row r="846" spans="1:20" ht="12.75" customHeight="1" x14ac:dyDescent="0.2">
      <c r="A846" s="137"/>
      <c r="B846" s="148"/>
      <c r="C846" s="148"/>
      <c r="D846" s="148"/>
      <c r="E846" s="13"/>
      <c r="F846" s="13"/>
      <c r="G846" s="147"/>
      <c r="H846" s="13"/>
      <c r="I846" s="13"/>
      <c r="J846" s="13"/>
      <c r="K846" s="13"/>
      <c r="L846" s="13"/>
      <c r="M846" s="13"/>
      <c r="N846" s="149"/>
      <c r="O846" s="13"/>
      <c r="P846" s="149"/>
      <c r="R846" s="132"/>
      <c r="T846" s="13"/>
    </row>
    <row r="847" spans="1:20" ht="12.75" customHeight="1" x14ac:dyDescent="0.2">
      <c r="A847" s="137"/>
      <c r="B847" s="148"/>
      <c r="C847" s="148"/>
      <c r="D847" s="148"/>
      <c r="E847" s="13"/>
      <c r="F847" s="13"/>
      <c r="G847" s="147"/>
      <c r="H847" s="13"/>
      <c r="I847" s="13"/>
      <c r="J847" s="13"/>
      <c r="K847" s="13"/>
      <c r="L847" s="13"/>
      <c r="M847" s="13"/>
      <c r="N847" s="149"/>
      <c r="O847" s="13"/>
      <c r="P847" s="149"/>
      <c r="R847" s="132"/>
      <c r="T847" s="13"/>
    </row>
    <row r="848" spans="1:20" ht="12.75" customHeight="1" x14ac:dyDescent="0.2">
      <c r="A848" s="137"/>
      <c r="B848" s="148"/>
      <c r="C848" s="148"/>
      <c r="D848" s="148"/>
      <c r="E848" s="13"/>
      <c r="F848" s="13"/>
      <c r="G848" s="147"/>
      <c r="H848" s="13"/>
      <c r="I848" s="13"/>
      <c r="J848" s="13"/>
      <c r="K848" s="13"/>
      <c r="L848" s="13"/>
      <c r="M848" s="13"/>
      <c r="N848" s="149"/>
      <c r="O848" s="13"/>
      <c r="P848" s="149"/>
      <c r="R848" s="132"/>
      <c r="T848" s="13"/>
    </row>
    <row r="849" spans="1:20" ht="12.75" customHeight="1" x14ac:dyDescent="0.2">
      <c r="A849" s="137"/>
      <c r="B849" s="148"/>
      <c r="C849" s="148"/>
      <c r="D849" s="148"/>
      <c r="E849" s="13"/>
      <c r="F849" s="13"/>
      <c r="G849" s="147"/>
      <c r="H849" s="13"/>
      <c r="I849" s="13"/>
      <c r="J849" s="13"/>
      <c r="K849" s="13"/>
      <c r="L849" s="13"/>
      <c r="M849" s="13"/>
      <c r="N849" s="149"/>
      <c r="O849" s="13"/>
      <c r="P849" s="149"/>
      <c r="R849" s="132"/>
      <c r="T849" s="13"/>
    </row>
    <row r="850" spans="1:20" ht="12.75" customHeight="1" x14ac:dyDescent="0.2">
      <c r="A850" s="137"/>
      <c r="B850" s="148"/>
      <c r="C850" s="148"/>
      <c r="D850" s="148"/>
      <c r="E850" s="13"/>
      <c r="F850" s="13"/>
      <c r="G850" s="147"/>
      <c r="H850" s="13"/>
      <c r="I850" s="13"/>
      <c r="J850" s="13"/>
      <c r="K850" s="13"/>
      <c r="L850" s="13"/>
      <c r="M850" s="13"/>
      <c r="N850" s="149"/>
      <c r="O850" s="13"/>
      <c r="P850" s="149"/>
      <c r="R850" s="132"/>
      <c r="T850" s="13"/>
    </row>
    <row r="851" spans="1:20" ht="12.75" customHeight="1" x14ac:dyDescent="0.2">
      <c r="A851" s="137"/>
      <c r="B851" s="148"/>
      <c r="C851" s="148"/>
      <c r="D851" s="148"/>
      <c r="E851" s="13"/>
      <c r="F851" s="13"/>
      <c r="G851" s="147"/>
      <c r="H851" s="13"/>
      <c r="I851" s="13"/>
      <c r="J851" s="13"/>
      <c r="K851" s="13"/>
      <c r="L851" s="13"/>
      <c r="M851" s="13"/>
      <c r="N851" s="149"/>
      <c r="O851" s="13"/>
      <c r="P851" s="149"/>
      <c r="R851" s="132"/>
      <c r="T851" s="13"/>
    </row>
    <row r="852" spans="1:20" ht="12.75" customHeight="1" x14ac:dyDescent="0.2">
      <c r="A852" s="137"/>
      <c r="B852" s="148"/>
      <c r="C852" s="148"/>
      <c r="D852" s="148"/>
      <c r="E852" s="13"/>
      <c r="F852" s="13"/>
      <c r="G852" s="147"/>
      <c r="H852" s="13"/>
      <c r="I852" s="13"/>
      <c r="J852" s="13"/>
      <c r="K852" s="13"/>
      <c r="L852" s="13"/>
      <c r="M852" s="13"/>
      <c r="N852" s="149"/>
      <c r="O852" s="13"/>
      <c r="P852" s="149"/>
      <c r="R852" s="132"/>
      <c r="T852" s="13"/>
    </row>
    <row r="853" spans="1:20" ht="12.75" customHeight="1" x14ac:dyDescent="0.2">
      <c r="A853" s="137"/>
      <c r="B853" s="148"/>
      <c r="C853" s="148"/>
      <c r="D853" s="148"/>
      <c r="E853" s="13"/>
      <c r="F853" s="13"/>
      <c r="G853" s="147"/>
      <c r="H853" s="13"/>
      <c r="I853" s="13"/>
      <c r="J853" s="13"/>
      <c r="K853" s="13"/>
      <c r="L853" s="13"/>
      <c r="M853" s="13"/>
      <c r="N853" s="149"/>
      <c r="O853" s="13"/>
      <c r="P853" s="149"/>
      <c r="R853" s="132"/>
      <c r="T853" s="13"/>
    </row>
    <row r="854" spans="1:20" ht="12.75" customHeight="1" x14ac:dyDescent="0.2">
      <c r="A854" s="137"/>
      <c r="B854" s="148"/>
      <c r="C854" s="148"/>
      <c r="D854" s="148"/>
      <c r="E854" s="13"/>
      <c r="F854" s="13"/>
      <c r="G854" s="147"/>
      <c r="H854" s="13"/>
      <c r="I854" s="13"/>
      <c r="J854" s="13"/>
      <c r="K854" s="13"/>
      <c r="L854" s="13"/>
      <c r="M854" s="13"/>
      <c r="N854" s="149"/>
      <c r="O854" s="13"/>
      <c r="P854" s="149"/>
      <c r="R854" s="132"/>
      <c r="T854" s="13"/>
    </row>
    <row r="855" spans="1:20" ht="12.75" customHeight="1" x14ac:dyDescent="0.2">
      <c r="A855" s="137"/>
      <c r="B855" s="148"/>
      <c r="C855" s="148"/>
      <c r="D855" s="148"/>
      <c r="E855" s="13"/>
      <c r="F855" s="13"/>
      <c r="G855" s="147"/>
      <c r="H855" s="13"/>
      <c r="I855" s="13"/>
      <c r="J855" s="13"/>
      <c r="K855" s="13"/>
      <c r="L855" s="13"/>
      <c r="M855" s="13"/>
      <c r="N855" s="149"/>
      <c r="O855" s="13"/>
      <c r="P855" s="149"/>
      <c r="R855" s="132"/>
      <c r="T855" s="13"/>
    </row>
    <row r="856" spans="1:20" ht="12.75" customHeight="1" x14ac:dyDescent="0.2">
      <c r="A856" s="137"/>
      <c r="B856" s="148"/>
      <c r="C856" s="148"/>
      <c r="D856" s="148"/>
      <c r="E856" s="13"/>
      <c r="F856" s="13"/>
      <c r="G856" s="147"/>
      <c r="H856" s="13"/>
      <c r="I856" s="13"/>
      <c r="J856" s="13"/>
      <c r="K856" s="13"/>
      <c r="L856" s="13"/>
      <c r="M856" s="13"/>
      <c r="N856" s="149"/>
      <c r="O856" s="13"/>
      <c r="P856" s="149"/>
      <c r="R856" s="132"/>
      <c r="T856" s="13"/>
    </row>
    <row r="857" spans="1:20" ht="12.75" customHeight="1" x14ac:dyDescent="0.2">
      <c r="A857" s="137"/>
      <c r="B857" s="148"/>
      <c r="C857" s="148"/>
      <c r="D857" s="148"/>
      <c r="E857" s="13"/>
      <c r="F857" s="13"/>
      <c r="G857" s="147"/>
      <c r="H857" s="13"/>
      <c r="I857" s="13"/>
      <c r="J857" s="13"/>
      <c r="K857" s="13"/>
      <c r="L857" s="13"/>
      <c r="M857" s="13"/>
      <c r="N857" s="149"/>
      <c r="O857" s="13"/>
      <c r="P857" s="149"/>
      <c r="R857" s="132"/>
      <c r="T857" s="13"/>
    </row>
    <row r="858" spans="1:20" ht="12.75" customHeight="1" x14ac:dyDescent="0.2">
      <c r="A858" s="137"/>
      <c r="B858" s="148"/>
      <c r="C858" s="148"/>
      <c r="D858" s="148"/>
      <c r="E858" s="13"/>
      <c r="F858" s="13"/>
      <c r="G858" s="147"/>
      <c r="H858" s="13"/>
      <c r="I858" s="13"/>
      <c r="J858" s="13"/>
      <c r="K858" s="13"/>
      <c r="L858" s="13"/>
      <c r="M858" s="13"/>
      <c r="N858" s="149"/>
      <c r="O858" s="13"/>
      <c r="P858" s="149"/>
      <c r="R858" s="132"/>
      <c r="T858" s="13"/>
    </row>
    <row r="859" spans="1:20" ht="12.75" customHeight="1" x14ac:dyDescent="0.2">
      <c r="A859" s="137"/>
      <c r="B859" s="148"/>
      <c r="C859" s="148"/>
      <c r="D859" s="148"/>
      <c r="E859" s="13"/>
      <c r="F859" s="13"/>
      <c r="G859" s="147"/>
      <c r="H859" s="13"/>
      <c r="I859" s="13"/>
      <c r="J859" s="13"/>
      <c r="K859" s="13"/>
      <c r="L859" s="13"/>
      <c r="M859" s="13"/>
      <c r="N859" s="149"/>
      <c r="O859" s="13"/>
      <c r="P859" s="149"/>
      <c r="R859" s="132"/>
      <c r="T859" s="13"/>
    </row>
    <row r="860" spans="1:20" ht="12.75" customHeight="1" x14ac:dyDescent="0.2">
      <c r="A860" s="137"/>
      <c r="B860" s="148"/>
      <c r="C860" s="148"/>
      <c r="D860" s="148"/>
      <c r="E860" s="13"/>
      <c r="F860" s="13"/>
      <c r="G860" s="147"/>
      <c r="H860" s="13"/>
      <c r="I860" s="13"/>
      <c r="J860" s="13"/>
      <c r="K860" s="13"/>
      <c r="L860" s="13"/>
      <c r="M860" s="13"/>
      <c r="N860" s="149"/>
      <c r="O860" s="13"/>
      <c r="P860" s="149"/>
      <c r="R860" s="132"/>
      <c r="T860" s="13"/>
    </row>
    <row r="861" spans="1:20" ht="12.75" customHeight="1" x14ac:dyDescent="0.2">
      <c r="A861" s="137"/>
      <c r="B861" s="148"/>
      <c r="C861" s="148"/>
      <c r="D861" s="148"/>
      <c r="E861" s="13"/>
      <c r="F861" s="13"/>
      <c r="G861" s="147"/>
      <c r="H861" s="13"/>
      <c r="I861" s="13"/>
      <c r="J861" s="13"/>
      <c r="K861" s="13"/>
      <c r="L861" s="13"/>
      <c r="M861" s="13"/>
      <c r="N861" s="149"/>
      <c r="O861" s="13"/>
      <c r="P861" s="149"/>
      <c r="R861" s="132"/>
      <c r="T861" s="13"/>
    </row>
    <row r="862" spans="1:20" ht="12.75" customHeight="1" x14ac:dyDescent="0.2">
      <c r="A862" s="137"/>
      <c r="B862" s="148"/>
      <c r="C862" s="148"/>
      <c r="D862" s="148"/>
      <c r="E862" s="13"/>
      <c r="F862" s="13"/>
      <c r="G862" s="147"/>
      <c r="H862" s="13"/>
      <c r="I862" s="13"/>
      <c r="J862" s="13"/>
      <c r="K862" s="13"/>
      <c r="L862" s="13"/>
      <c r="M862" s="13"/>
      <c r="N862" s="149"/>
      <c r="O862" s="13"/>
      <c r="P862" s="149"/>
      <c r="R862" s="132"/>
      <c r="T862" s="13"/>
    </row>
    <row r="863" spans="1:20" ht="12.75" customHeight="1" x14ac:dyDescent="0.2">
      <c r="A863" s="137"/>
      <c r="B863" s="148"/>
      <c r="C863" s="148"/>
      <c r="D863" s="148"/>
      <c r="E863" s="13"/>
      <c r="F863" s="13"/>
      <c r="G863" s="147"/>
      <c r="H863" s="13"/>
      <c r="I863" s="13"/>
      <c r="J863" s="13"/>
      <c r="K863" s="13"/>
      <c r="L863" s="13"/>
      <c r="M863" s="13"/>
      <c r="N863" s="149"/>
      <c r="O863" s="13"/>
      <c r="P863" s="149"/>
      <c r="R863" s="132"/>
      <c r="T863" s="13"/>
    </row>
    <row r="864" spans="1:20" ht="12.75" customHeight="1" x14ac:dyDescent="0.2">
      <c r="A864" s="137"/>
      <c r="B864" s="148"/>
      <c r="C864" s="148"/>
      <c r="D864" s="148"/>
      <c r="E864" s="13"/>
      <c r="F864" s="13"/>
      <c r="G864" s="147"/>
      <c r="H864" s="13"/>
      <c r="I864" s="13"/>
      <c r="J864" s="13"/>
      <c r="K864" s="13"/>
      <c r="L864" s="13"/>
      <c r="M864" s="13"/>
      <c r="N864" s="149"/>
      <c r="O864" s="13"/>
      <c r="P864" s="149"/>
      <c r="R864" s="132"/>
      <c r="T864" s="13"/>
    </row>
    <row r="865" spans="1:20" ht="12.75" customHeight="1" x14ac:dyDescent="0.2">
      <c r="A865" s="137"/>
      <c r="B865" s="148"/>
      <c r="C865" s="148"/>
      <c r="D865" s="148"/>
      <c r="E865" s="13"/>
      <c r="F865" s="13"/>
      <c r="G865" s="147"/>
      <c r="H865" s="13"/>
      <c r="I865" s="13"/>
      <c r="J865" s="13"/>
      <c r="K865" s="13"/>
      <c r="L865" s="13"/>
      <c r="M865" s="13"/>
      <c r="N865" s="149"/>
      <c r="O865" s="13"/>
      <c r="P865" s="149"/>
      <c r="R865" s="132"/>
      <c r="T865" s="13"/>
    </row>
    <row r="866" spans="1:20" ht="12.75" customHeight="1" x14ac:dyDescent="0.2">
      <c r="A866" s="137"/>
      <c r="B866" s="148"/>
      <c r="C866" s="148"/>
      <c r="D866" s="148"/>
      <c r="E866" s="13"/>
      <c r="F866" s="13"/>
      <c r="G866" s="147"/>
      <c r="H866" s="13"/>
      <c r="I866" s="13"/>
      <c r="J866" s="13"/>
      <c r="K866" s="13"/>
      <c r="L866" s="13"/>
      <c r="M866" s="13"/>
      <c r="N866" s="149"/>
      <c r="O866" s="13"/>
      <c r="P866" s="149"/>
      <c r="R866" s="132"/>
      <c r="T866" s="13"/>
    </row>
    <row r="867" spans="1:20" ht="12.75" customHeight="1" x14ac:dyDescent="0.2">
      <c r="A867" s="137"/>
      <c r="B867" s="148"/>
      <c r="C867" s="148"/>
      <c r="D867" s="148"/>
      <c r="E867" s="13"/>
      <c r="F867" s="13"/>
      <c r="G867" s="147"/>
      <c r="H867" s="13"/>
      <c r="I867" s="13"/>
      <c r="J867" s="13"/>
      <c r="K867" s="13"/>
      <c r="L867" s="13"/>
      <c r="M867" s="13"/>
      <c r="N867" s="149"/>
      <c r="O867" s="13"/>
      <c r="P867" s="149"/>
      <c r="R867" s="132"/>
      <c r="T867" s="13"/>
    </row>
    <row r="868" spans="1:20" ht="12.75" customHeight="1" x14ac:dyDescent="0.2">
      <c r="A868" s="137"/>
      <c r="B868" s="148"/>
      <c r="C868" s="148"/>
      <c r="D868" s="148"/>
      <c r="E868" s="13"/>
      <c r="F868" s="13"/>
      <c r="G868" s="147"/>
      <c r="H868" s="13"/>
      <c r="I868" s="13"/>
      <c r="J868" s="13"/>
      <c r="K868" s="13"/>
      <c r="L868" s="13"/>
      <c r="M868" s="13"/>
      <c r="N868" s="149"/>
      <c r="O868" s="13"/>
      <c r="P868" s="149"/>
      <c r="R868" s="132"/>
      <c r="T868" s="13"/>
    </row>
    <row r="869" spans="1:20" ht="12.75" customHeight="1" x14ac:dyDescent="0.2">
      <c r="A869" s="137"/>
      <c r="B869" s="148"/>
      <c r="C869" s="148"/>
      <c r="D869" s="148"/>
      <c r="E869" s="13"/>
      <c r="F869" s="13"/>
      <c r="G869" s="147"/>
      <c r="H869" s="13"/>
      <c r="I869" s="13"/>
      <c r="J869" s="13"/>
      <c r="K869" s="13"/>
      <c r="L869" s="13"/>
      <c r="M869" s="13"/>
      <c r="N869" s="149"/>
      <c r="O869" s="13"/>
      <c r="P869" s="149"/>
      <c r="R869" s="132"/>
      <c r="T869" s="13"/>
    </row>
    <row r="870" spans="1:20" ht="12.75" customHeight="1" x14ac:dyDescent="0.2">
      <c r="A870" s="137"/>
      <c r="B870" s="148"/>
      <c r="C870" s="148"/>
      <c r="D870" s="148"/>
      <c r="E870" s="13"/>
      <c r="F870" s="13"/>
      <c r="G870" s="147"/>
      <c r="H870" s="13"/>
      <c r="I870" s="13"/>
      <c r="J870" s="13"/>
      <c r="K870" s="13"/>
      <c r="L870" s="13"/>
      <c r="M870" s="13"/>
      <c r="N870" s="149"/>
      <c r="O870" s="13"/>
      <c r="P870" s="149"/>
      <c r="R870" s="132"/>
      <c r="T870" s="13"/>
    </row>
    <row r="871" spans="1:20" ht="12.75" customHeight="1" x14ac:dyDescent="0.2">
      <c r="A871" s="137"/>
      <c r="B871" s="148"/>
      <c r="C871" s="148"/>
      <c r="D871" s="148"/>
      <c r="E871" s="13"/>
      <c r="F871" s="13"/>
      <c r="G871" s="147"/>
      <c r="H871" s="13"/>
      <c r="I871" s="13"/>
      <c r="J871" s="13"/>
      <c r="K871" s="13"/>
      <c r="L871" s="13"/>
      <c r="M871" s="13"/>
      <c r="N871" s="149"/>
      <c r="O871" s="13"/>
      <c r="P871" s="149"/>
      <c r="R871" s="132"/>
      <c r="T871" s="13"/>
    </row>
    <row r="872" spans="1:20" ht="12.75" customHeight="1" x14ac:dyDescent="0.2">
      <c r="A872" s="137"/>
      <c r="B872" s="148"/>
      <c r="C872" s="148"/>
      <c r="D872" s="148"/>
      <c r="E872" s="13"/>
      <c r="F872" s="13"/>
      <c r="G872" s="147"/>
      <c r="H872" s="13"/>
      <c r="I872" s="13"/>
      <c r="J872" s="13"/>
      <c r="K872" s="13"/>
      <c r="L872" s="13"/>
      <c r="M872" s="13"/>
      <c r="N872" s="149"/>
      <c r="O872" s="13"/>
      <c r="P872" s="149"/>
      <c r="R872" s="132"/>
      <c r="T872" s="13"/>
    </row>
    <row r="873" spans="1:20" ht="12.75" customHeight="1" x14ac:dyDescent="0.2">
      <c r="A873" s="137"/>
      <c r="B873" s="148"/>
      <c r="C873" s="148"/>
      <c r="D873" s="148"/>
      <c r="E873" s="13"/>
      <c r="F873" s="13"/>
      <c r="G873" s="147"/>
      <c r="H873" s="13"/>
      <c r="I873" s="13"/>
      <c r="J873" s="13"/>
      <c r="K873" s="13"/>
      <c r="L873" s="13"/>
      <c r="M873" s="13"/>
      <c r="N873" s="149"/>
      <c r="O873" s="13"/>
      <c r="P873" s="149"/>
      <c r="R873" s="132"/>
      <c r="T873" s="13"/>
    </row>
    <row r="874" spans="1:20" ht="12.75" customHeight="1" x14ac:dyDescent="0.2">
      <c r="A874" s="137"/>
      <c r="B874" s="148"/>
      <c r="C874" s="148"/>
      <c r="D874" s="148"/>
      <c r="E874" s="13"/>
      <c r="F874" s="13"/>
      <c r="G874" s="147"/>
      <c r="H874" s="13"/>
      <c r="I874" s="13"/>
      <c r="J874" s="13"/>
      <c r="K874" s="13"/>
      <c r="L874" s="13"/>
      <c r="M874" s="13"/>
      <c r="N874" s="149"/>
      <c r="O874" s="13"/>
      <c r="P874" s="149"/>
      <c r="R874" s="132"/>
      <c r="T874" s="13"/>
    </row>
    <row r="875" spans="1:20" ht="12.75" customHeight="1" x14ac:dyDescent="0.2">
      <c r="A875" s="137"/>
      <c r="B875" s="148"/>
      <c r="C875" s="148"/>
      <c r="D875" s="148"/>
      <c r="E875" s="13"/>
      <c r="F875" s="13"/>
      <c r="G875" s="147"/>
      <c r="H875" s="13"/>
      <c r="I875" s="13"/>
      <c r="J875" s="13"/>
      <c r="K875" s="13"/>
      <c r="L875" s="13"/>
      <c r="M875" s="13"/>
      <c r="N875" s="149"/>
      <c r="O875" s="13"/>
      <c r="P875" s="149"/>
      <c r="R875" s="132"/>
      <c r="T875" s="13"/>
    </row>
    <row r="876" spans="1:20" ht="12.75" customHeight="1" x14ac:dyDescent="0.2">
      <c r="A876" s="137"/>
      <c r="B876" s="148"/>
      <c r="C876" s="148"/>
      <c r="D876" s="148"/>
      <c r="E876" s="13"/>
      <c r="F876" s="13"/>
      <c r="G876" s="147"/>
      <c r="H876" s="13"/>
      <c r="I876" s="13"/>
      <c r="J876" s="13"/>
      <c r="K876" s="13"/>
      <c r="L876" s="13"/>
      <c r="M876" s="13"/>
      <c r="N876" s="149"/>
      <c r="O876" s="13"/>
      <c r="P876" s="149"/>
      <c r="R876" s="132"/>
      <c r="T876" s="13"/>
    </row>
    <row r="877" spans="1:20" ht="12.75" customHeight="1" x14ac:dyDescent="0.2">
      <c r="A877" s="137"/>
      <c r="B877" s="148"/>
      <c r="C877" s="148"/>
      <c r="D877" s="148"/>
      <c r="E877" s="13"/>
      <c r="F877" s="13"/>
      <c r="G877" s="147"/>
      <c r="H877" s="13"/>
      <c r="I877" s="13"/>
      <c r="J877" s="13"/>
      <c r="K877" s="13"/>
      <c r="L877" s="13"/>
      <c r="M877" s="13"/>
      <c r="N877" s="149"/>
      <c r="O877" s="13"/>
      <c r="P877" s="149"/>
      <c r="R877" s="132"/>
      <c r="T877" s="13"/>
    </row>
    <row r="878" spans="1:20" ht="12.75" customHeight="1" x14ac:dyDescent="0.2">
      <c r="A878" s="137"/>
      <c r="B878" s="148"/>
      <c r="C878" s="148"/>
      <c r="D878" s="148"/>
      <c r="E878" s="13"/>
      <c r="F878" s="13"/>
      <c r="G878" s="147"/>
      <c r="H878" s="13"/>
      <c r="I878" s="13"/>
      <c r="J878" s="13"/>
      <c r="K878" s="13"/>
      <c r="L878" s="13"/>
      <c r="M878" s="13"/>
      <c r="N878" s="149"/>
      <c r="O878" s="13"/>
      <c r="P878" s="149"/>
      <c r="R878" s="132"/>
      <c r="T878" s="13"/>
    </row>
    <row r="879" spans="1:20" ht="12.75" customHeight="1" x14ac:dyDescent="0.2">
      <c r="A879" s="137"/>
      <c r="B879" s="148"/>
      <c r="C879" s="148"/>
      <c r="D879" s="148"/>
      <c r="E879" s="13"/>
      <c r="F879" s="13"/>
      <c r="G879" s="147"/>
      <c r="H879" s="13"/>
      <c r="I879" s="13"/>
      <c r="J879" s="13"/>
      <c r="K879" s="13"/>
      <c r="L879" s="13"/>
      <c r="M879" s="13"/>
      <c r="N879" s="149"/>
      <c r="O879" s="13"/>
      <c r="P879" s="149"/>
      <c r="R879" s="132"/>
      <c r="T879" s="13"/>
    </row>
    <row r="880" spans="1:20" ht="12.75" customHeight="1" x14ac:dyDescent="0.2">
      <c r="A880" s="137"/>
      <c r="B880" s="148"/>
      <c r="C880" s="148"/>
      <c r="D880" s="148"/>
      <c r="E880" s="13"/>
      <c r="F880" s="13"/>
      <c r="G880" s="147"/>
      <c r="H880" s="13"/>
      <c r="I880" s="13"/>
      <c r="J880" s="13"/>
      <c r="K880" s="13"/>
      <c r="L880" s="13"/>
      <c r="M880" s="13"/>
      <c r="N880" s="149"/>
      <c r="O880" s="13"/>
      <c r="P880" s="149"/>
      <c r="R880" s="132"/>
      <c r="T880" s="13"/>
    </row>
    <row r="881" spans="1:20" ht="12.75" customHeight="1" x14ac:dyDescent="0.2">
      <c r="A881" s="137"/>
      <c r="B881" s="148"/>
      <c r="C881" s="148"/>
      <c r="D881" s="148"/>
      <c r="E881" s="13"/>
      <c r="F881" s="13"/>
      <c r="G881" s="147"/>
      <c r="H881" s="13"/>
      <c r="I881" s="13"/>
      <c r="J881" s="13"/>
      <c r="K881" s="13"/>
      <c r="L881" s="13"/>
      <c r="M881" s="13"/>
      <c r="N881" s="149"/>
      <c r="O881" s="13"/>
      <c r="P881" s="149"/>
      <c r="R881" s="132"/>
      <c r="T881" s="13"/>
    </row>
    <row r="882" spans="1:20" ht="12.75" customHeight="1" x14ac:dyDescent="0.2">
      <c r="A882" s="137"/>
      <c r="B882" s="148"/>
      <c r="C882" s="148"/>
      <c r="D882" s="148"/>
      <c r="E882" s="13"/>
      <c r="F882" s="13"/>
      <c r="G882" s="147"/>
      <c r="H882" s="13"/>
      <c r="I882" s="13"/>
      <c r="J882" s="13"/>
      <c r="K882" s="13"/>
      <c r="L882" s="13"/>
      <c r="M882" s="13"/>
      <c r="N882" s="149"/>
      <c r="O882" s="13"/>
      <c r="P882" s="149"/>
      <c r="R882" s="132"/>
      <c r="T882" s="13"/>
    </row>
    <row r="883" spans="1:20" ht="12.75" customHeight="1" x14ac:dyDescent="0.2">
      <c r="A883" s="137"/>
      <c r="B883" s="148"/>
      <c r="C883" s="148"/>
      <c r="D883" s="148"/>
      <c r="E883" s="13"/>
      <c r="F883" s="13"/>
      <c r="G883" s="147"/>
      <c r="H883" s="13"/>
      <c r="I883" s="13"/>
      <c r="J883" s="13"/>
      <c r="K883" s="13"/>
      <c r="L883" s="13"/>
      <c r="M883" s="13"/>
      <c r="N883" s="149"/>
      <c r="O883" s="13"/>
      <c r="P883" s="149"/>
      <c r="R883" s="132"/>
      <c r="T883" s="13"/>
    </row>
    <row r="884" spans="1:20" ht="12.75" customHeight="1" x14ac:dyDescent="0.2">
      <c r="A884" s="137"/>
      <c r="B884" s="148"/>
      <c r="C884" s="148"/>
      <c r="D884" s="148"/>
      <c r="E884" s="13"/>
      <c r="F884" s="13"/>
      <c r="G884" s="147"/>
      <c r="H884" s="13"/>
      <c r="I884" s="13"/>
      <c r="J884" s="13"/>
      <c r="K884" s="13"/>
      <c r="L884" s="13"/>
      <c r="M884" s="13"/>
      <c r="N884" s="149"/>
      <c r="O884" s="13"/>
      <c r="P884" s="149"/>
      <c r="R884" s="132"/>
      <c r="T884" s="13"/>
    </row>
    <row r="885" spans="1:20" ht="12.75" customHeight="1" x14ac:dyDescent="0.2">
      <c r="A885" s="137"/>
      <c r="B885" s="148"/>
      <c r="C885" s="148"/>
      <c r="D885" s="148"/>
      <c r="E885" s="13"/>
      <c r="F885" s="13"/>
      <c r="G885" s="147"/>
      <c r="H885" s="13"/>
      <c r="I885" s="13"/>
      <c r="J885" s="13"/>
      <c r="K885" s="13"/>
      <c r="L885" s="13"/>
      <c r="M885" s="13"/>
      <c r="N885" s="149"/>
      <c r="O885" s="13"/>
      <c r="P885" s="149"/>
      <c r="R885" s="132"/>
      <c r="T885" s="13"/>
    </row>
    <row r="886" spans="1:20" ht="12.75" customHeight="1" x14ac:dyDescent="0.2">
      <c r="A886" s="137"/>
      <c r="B886" s="148"/>
      <c r="C886" s="148"/>
      <c r="D886" s="148"/>
      <c r="E886" s="13"/>
      <c r="F886" s="13"/>
      <c r="G886" s="147"/>
      <c r="H886" s="13"/>
      <c r="I886" s="13"/>
      <c r="J886" s="13"/>
      <c r="K886" s="13"/>
      <c r="L886" s="13"/>
      <c r="M886" s="13"/>
      <c r="N886" s="149"/>
      <c r="O886" s="13"/>
      <c r="P886" s="149"/>
      <c r="R886" s="132"/>
      <c r="T886" s="13"/>
    </row>
    <row r="887" spans="1:20" ht="12.75" customHeight="1" x14ac:dyDescent="0.2">
      <c r="A887" s="137"/>
      <c r="B887" s="148"/>
      <c r="C887" s="148"/>
      <c r="D887" s="148"/>
      <c r="E887" s="13"/>
      <c r="F887" s="13"/>
      <c r="G887" s="147"/>
      <c r="H887" s="13"/>
      <c r="I887" s="13"/>
      <c r="J887" s="13"/>
      <c r="K887" s="13"/>
      <c r="L887" s="13"/>
      <c r="M887" s="13"/>
      <c r="N887" s="149"/>
      <c r="O887" s="13"/>
      <c r="P887" s="149"/>
      <c r="R887" s="132"/>
      <c r="T887" s="13"/>
    </row>
    <row r="888" spans="1:20" ht="12.75" customHeight="1" x14ac:dyDescent="0.2">
      <c r="A888" s="137"/>
      <c r="B888" s="148"/>
      <c r="C888" s="148"/>
      <c r="D888" s="148"/>
      <c r="E888" s="13"/>
      <c r="F888" s="13"/>
      <c r="G888" s="147"/>
      <c r="H888" s="13"/>
      <c r="I888" s="13"/>
      <c r="J888" s="13"/>
      <c r="K888" s="13"/>
      <c r="L888" s="13"/>
      <c r="M888" s="13"/>
      <c r="N888" s="149"/>
      <c r="O888" s="13"/>
      <c r="P888" s="149"/>
      <c r="R888" s="132"/>
      <c r="T888" s="13"/>
    </row>
    <row r="889" spans="1:20" ht="12.75" customHeight="1" x14ac:dyDescent="0.2">
      <c r="A889" s="137"/>
      <c r="B889" s="148"/>
      <c r="C889" s="148"/>
      <c r="D889" s="148"/>
      <c r="E889" s="13"/>
      <c r="F889" s="13"/>
      <c r="G889" s="147"/>
      <c r="H889" s="13"/>
      <c r="I889" s="13"/>
      <c r="J889" s="13"/>
      <c r="K889" s="13"/>
      <c r="L889" s="13"/>
      <c r="M889" s="13"/>
      <c r="N889" s="149"/>
      <c r="O889" s="13"/>
      <c r="P889" s="149"/>
      <c r="R889" s="132"/>
      <c r="T889" s="13"/>
    </row>
    <row r="890" spans="1:20" ht="12.75" customHeight="1" x14ac:dyDescent="0.2">
      <c r="A890" s="137"/>
      <c r="B890" s="148"/>
      <c r="C890" s="148"/>
      <c r="D890" s="148"/>
      <c r="E890" s="13"/>
      <c r="F890" s="13"/>
      <c r="G890" s="147"/>
      <c r="H890" s="13"/>
      <c r="I890" s="13"/>
      <c r="J890" s="13"/>
      <c r="K890" s="13"/>
      <c r="L890" s="13"/>
      <c r="M890" s="13"/>
      <c r="N890" s="149"/>
      <c r="O890" s="13"/>
      <c r="P890" s="149"/>
      <c r="R890" s="132"/>
      <c r="T890" s="13"/>
    </row>
    <row r="891" spans="1:20" ht="12.75" customHeight="1" x14ac:dyDescent="0.2">
      <c r="A891" s="137"/>
      <c r="B891" s="148"/>
      <c r="C891" s="148"/>
      <c r="D891" s="148"/>
      <c r="E891" s="13"/>
      <c r="F891" s="13"/>
      <c r="G891" s="147"/>
      <c r="H891" s="13"/>
      <c r="I891" s="13"/>
      <c r="J891" s="13"/>
      <c r="K891" s="13"/>
      <c r="L891" s="13"/>
      <c r="M891" s="13"/>
      <c r="N891" s="149"/>
      <c r="O891" s="13"/>
      <c r="P891" s="149"/>
      <c r="R891" s="132"/>
      <c r="T891" s="13"/>
    </row>
    <row r="892" spans="1:20" ht="12.75" customHeight="1" x14ac:dyDescent="0.2">
      <c r="A892" s="137"/>
      <c r="B892" s="148"/>
      <c r="C892" s="148"/>
      <c r="D892" s="148"/>
      <c r="E892" s="13"/>
      <c r="F892" s="13"/>
      <c r="G892" s="147"/>
      <c r="H892" s="13"/>
      <c r="I892" s="13"/>
      <c r="J892" s="13"/>
      <c r="K892" s="13"/>
      <c r="L892" s="13"/>
      <c r="M892" s="13"/>
      <c r="N892" s="149"/>
      <c r="O892" s="13"/>
      <c r="P892" s="149"/>
      <c r="R892" s="132"/>
      <c r="T892" s="13"/>
    </row>
    <row r="893" spans="1:20" ht="12.75" customHeight="1" x14ac:dyDescent="0.2">
      <c r="A893" s="137"/>
      <c r="B893" s="148"/>
      <c r="C893" s="148"/>
      <c r="D893" s="148"/>
      <c r="E893" s="13"/>
      <c r="F893" s="13"/>
      <c r="G893" s="147"/>
      <c r="H893" s="13"/>
      <c r="I893" s="13"/>
      <c r="J893" s="13"/>
      <c r="K893" s="13"/>
      <c r="L893" s="13"/>
      <c r="M893" s="13"/>
      <c r="N893" s="149"/>
      <c r="O893" s="13"/>
      <c r="P893" s="149"/>
      <c r="R893" s="132"/>
      <c r="T893" s="13"/>
    </row>
    <row r="894" spans="1:20" ht="12.75" customHeight="1" x14ac:dyDescent="0.2">
      <c r="A894" s="137"/>
      <c r="B894" s="148"/>
      <c r="C894" s="148"/>
      <c r="D894" s="148"/>
      <c r="E894" s="13"/>
      <c r="F894" s="13"/>
      <c r="G894" s="147"/>
      <c r="H894" s="13"/>
      <c r="I894" s="13"/>
      <c r="J894" s="13"/>
      <c r="K894" s="13"/>
      <c r="L894" s="13"/>
      <c r="M894" s="13"/>
      <c r="N894" s="149"/>
      <c r="O894" s="13"/>
      <c r="P894" s="149"/>
      <c r="R894" s="132"/>
      <c r="T894" s="13"/>
    </row>
    <row r="895" spans="1:20" ht="12.75" customHeight="1" x14ac:dyDescent="0.2">
      <c r="A895" s="137"/>
      <c r="B895" s="148"/>
      <c r="C895" s="148"/>
      <c r="D895" s="148"/>
      <c r="E895" s="13"/>
      <c r="F895" s="13"/>
      <c r="G895" s="147"/>
      <c r="H895" s="13"/>
      <c r="I895" s="13"/>
      <c r="J895" s="13"/>
      <c r="K895" s="13"/>
      <c r="L895" s="13"/>
      <c r="M895" s="13"/>
      <c r="N895" s="149"/>
      <c r="O895" s="13"/>
      <c r="P895" s="149"/>
      <c r="R895" s="132"/>
      <c r="T895" s="13"/>
    </row>
    <row r="896" spans="1:20" ht="12.75" customHeight="1" x14ac:dyDescent="0.2">
      <c r="A896" s="137"/>
      <c r="B896" s="148"/>
      <c r="C896" s="148"/>
      <c r="D896" s="148"/>
      <c r="E896" s="13"/>
      <c r="F896" s="13"/>
      <c r="G896" s="147"/>
      <c r="H896" s="13"/>
      <c r="I896" s="13"/>
      <c r="J896" s="13"/>
      <c r="K896" s="13"/>
      <c r="L896" s="13"/>
      <c r="M896" s="13"/>
      <c r="N896" s="149"/>
      <c r="O896" s="13"/>
      <c r="P896" s="149"/>
      <c r="R896" s="132"/>
      <c r="T896" s="13"/>
    </row>
    <row r="897" spans="1:20" ht="12.75" customHeight="1" x14ac:dyDescent="0.2">
      <c r="A897" s="137"/>
      <c r="B897" s="148"/>
      <c r="C897" s="148"/>
      <c r="D897" s="148"/>
      <c r="E897" s="13"/>
      <c r="F897" s="13"/>
      <c r="G897" s="147"/>
      <c r="H897" s="13"/>
      <c r="I897" s="13"/>
      <c r="J897" s="13"/>
      <c r="K897" s="13"/>
      <c r="L897" s="13"/>
      <c r="M897" s="13"/>
      <c r="N897" s="149"/>
      <c r="O897" s="13"/>
      <c r="P897" s="149"/>
      <c r="R897" s="132"/>
      <c r="T897" s="13"/>
    </row>
    <row r="898" spans="1:20" ht="12.75" customHeight="1" x14ac:dyDescent="0.2">
      <c r="A898" s="137"/>
      <c r="B898" s="148"/>
      <c r="C898" s="148"/>
      <c r="D898" s="148"/>
      <c r="E898" s="13"/>
      <c r="F898" s="13"/>
      <c r="G898" s="147"/>
      <c r="H898" s="13"/>
      <c r="I898" s="13"/>
      <c r="J898" s="13"/>
      <c r="K898" s="13"/>
      <c r="L898" s="13"/>
      <c r="M898" s="13"/>
      <c r="N898" s="149"/>
      <c r="O898" s="13"/>
      <c r="P898" s="149"/>
      <c r="R898" s="132"/>
      <c r="T898" s="13"/>
    </row>
    <row r="899" spans="1:20" ht="12.75" customHeight="1" x14ac:dyDescent="0.2">
      <c r="A899" s="137"/>
      <c r="B899" s="148"/>
      <c r="C899" s="148"/>
      <c r="D899" s="148"/>
      <c r="E899" s="13"/>
      <c r="F899" s="13"/>
      <c r="G899" s="147"/>
      <c r="H899" s="13"/>
      <c r="I899" s="13"/>
      <c r="J899" s="13"/>
      <c r="K899" s="13"/>
      <c r="L899" s="13"/>
      <c r="M899" s="13"/>
      <c r="N899" s="149"/>
      <c r="O899" s="13"/>
      <c r="P899" s="149"/>
      <c r="R899" s="132"/>
      <c r="T899" s="13"/>
    </row>
    <row r="900" spans="1:20" ht="12.75" customHeight="1" x14ac:dyDescent="0.2">
      <c r="A900" s="137"/>
      <c r="B900" s="148"/>
      <c r="C900" s="148"/>
      <c r="D900" s="148"/>
      <c r="E900" s="13"/>
      <c r="F900" s="13"/>
      <c r="G900" s="147"/>
      <c r="H900" s="13"/>
      <c r="I900" s="13"/>
      <c r="J900" s="13"/>
      <c r="K900" s="13"/>
      <c r="L900" s="13"/>
      <c r="M900" s="13"/>
      <c r="N900" s="149"/>
      <c r="O900" s="13"/>
      <c r="P900" s="149"/>
      <c r="R900" s="132"/>
      <c r="T900" s="13"/>
    </row>
    <row r="901" spans="1:20" ht="12.75" customHeight="1" x14ac:dyDescent="0.2">
      <c r="A901" s="137"/>
      <c r="B901" s="148"/>
      <c r="C901" s="148"/>
      <c r="D901" s="148"/>
      <c r="E901" s="13"/>
      <c r="F901" s="13"/>
      <c r="G901" s="147"/>
      <c r="H901" s="13"/>
      <c r="I901" s="13"/>
      <c r="J901" s="13"/>
      <c r="K901" s="13"/>
      <c r="L901" s="13"/>
      <c r="M901" s="13"/>
      <c r="N901" s="149"/>
      <c r="O901" s="13"/>
      <c r="P901" s="149"/>
      <c r="R901" s="132"/>
      <c r="T901" s="13"/>
    </row>
    <row r="902" spans="1:20" ht="12.75" customHeight="1" x14ac:dyDescent="0.2">
      <c r="A902" s="137"/>
      <c r="B902" s="148"/>
      <c r="C902" s="148"/>
      <c r="D902" s="148"/>
      <c r="E902" s="13"/>
      <c r="F902" s="13"/>
      <c r="G902" s="147"/>
      <c r="H902" s="13"/>
      <c r="I902" s="13"/>
      <c r="J902" s="13"/>
      <c r="K902" s="13"/>
      <c r="L902" s="13"/>
      <c r="M902" s="13"/>
      <c r="N902" s="149"/>
      <c r="O902" s="13"/>
      <c r="P902" s="149"/>
      <c r="R902" s="132"/>
      <c r="T902" s="13"/>
    </row>
    <row r="903" spans="1:20" ht="12.75" customHeight="1" x14ac:dyDescent="0.2">
      <c r="A903" s="137"/>
      <c r="B903" s="148"/>
      <c r="C903" s="148"/>
      <c r="D903" s="148"/>
      <c r="E903" s="13"/>
      <c r="F903" s="13"/>
      <c r="G903" s="147"/>
      <c r="H903" s="13"/>
      <c r="I903" s="13"/>
      <c r="J903" s="13"/>
      <c r="K903" s="13"/>
      <c r="L903" s="13"/>
      <c r="M903" s="13"/>
      <c r="N903" s="149"/>
      <c r="O903" s="13"/>
      <c r="P903" s="149"/>
      <c r="R903" s="132"/>
      <c r="T903" s="13"/>
    </row>
    <row r="904" spans="1:20" ht="12.75" customHeight="1" x14ac:dyDescent="0.2">
      <c r="A904" s="137"/>
      <c r="B904" s="148"/>
      <c r="C904" s="148"/>
      <c r="D904" s="148"/>
      <c r="E904" s="13"/>
      <c r="F904" s="13"/>
      <c r="G904" s="147"/>
      <c r="H904" s="13"/>
      <c r="I904" s="13"/>
      <c r="J904" s="13"/>
      <c r="K904" s="13"/>
      <c r="L904" s="13"/>
      <c r="M904" s="13"/>
      <c r="N904" s="149"/>
      <c r="O904" s="13"/>
      <c r="P904" s="149"/>
      <c r="R904" s="132"/>
      <c r="T904" s="13"/>
    </row>
    <row r="905" spans="1:20" ht="12.75" customHeight="1" x14ac:dyDescent="0.2">
      <c r="A905" s="137"/>
      <c r="B905" s="148"/>
      <c r="C905" s="148"/>
      <c r="D905" s="148"/>
      <c r="E905" s="13"/>
      <c r="F905" s="13"/>
      <c r="G905" s="147"/>
      <c r="H905" s="13"/>
      <c r="I905" s="13"/>
      <c r="J905" s="13"/>
      <c r="K905" s="13"/>
      <c r="L905" s="13"/>
      <c r="M905" s="13"/>
      <c r="N905" s="149"/>
      <c r="O905" s="13"/>
      <c r="P905" s="149"/>
      <c r="R905" s="132"/>
      <c r="T905" s="13"/>
    </row>
    <row r="906" spans="1:20" ht="12.75" customHeight="1" x14ac:dyDescent="0.2">
      <c r="A906" s="137"/>
      <c r="B906" s="148"/>
      <c r="C906" s="148"/>
      <c r="D906" s="148"/>
      <c r="E906" s="13"/>
      <c r="F906" s="13"/>
      <c r="G906" s="147"/>
      <c r="H906" s="13"/>
      <c r="I906" s="13"/>
      <c r="J906" s="13"/>
      <c r="K906" s="13"/>
      <c r="L906" s="13"/>
      <c r="M906" s="13"/>
      <c r="N906" s="149"/>
      <c r="O906" s="13"/>
      <c r="P906" s="149"/>
      <c r="R906" s="132"/>
      <c r="T906" s="13"/>
    </row>
    <row r="907" spans="1:20" ht="12.75" customHeight="1" x14ac:dyDescent="0.2">
      <c r="A907" s="137"/>
      <c r="B907" s="148"/>
      <c r="C907" s="148"/>
      <c r="D907" s="148"/>
      <c r="E907" s="13"/>
      <c r="F907" s="13"/>
      <c r="G907" s="147"/>
      <c r="H907" s="13"/>
      <c r="I907" s="13"/>
      <c r="J907" s="13"/>
      <c r="K907" s="13"/>
      <c r="L907" s="13"/>
      <c r="M907" s="13"/>
      <c r="N907" s="149"/>
      <c r="O907" s="13"/>
      <c r="P907" s="149"/>
      <c r="R907" s="132"/>
      <c r="T907" s="13"/>
    </row>
    <row r="908" spans="1:20" ht="12.75" customHeight="1" x14ac:dyDescent="0.2">
      <c r="A908" s="137"/>
      <c r="B908" s="148"/>
      <c r="C908" s="148"/>
      <c r="D908" s="148"/>
      <c r="E908" s="13"/>
      <c r="F908" s="13"/>
      <c r="G908" s="147"/>
      <c r="H908" s="13"/>
      <c r="I908" s="13"/>
      <c r="J908" s="13"/>
      <c r="K908" s="13"/>
      <c r="L908" s="13"/>
      <c r="M908" s="13"/>
      <c r="N908" s="149"/>
      <c r="O908" s="13"/>
      <c r="P908" s="149"/>
      <c r="R908" s="132"/>
      <c r="T908" s="13"/>
    </row>
    <row r="909" spans="1:20" ht="12.75" customHeight="1" x14ac:dyDescent="0.2">
      <c r="A909" s="137"/>
      <c r="B909" s="148"/>
      <c r="C909" s="148"/>
      <c r="D909" s="148"/>
      <c r="E909" s="13"/>
      <c r="F909" s="13"/>
      <c r="G909" s="147"/>
      <c r="H909" s="13"/>
      <c r="I909" s="13"/>
      <c r="J909" s="13"/>
      <c r="K909" s="13"/>
      <c r="L909" s="13"/>
      <c r="M909" s="13"/>
      <c r="N909" s="149"/>
      <c r="O909" s="13"/>
      <c r="P909" s="149"/>
      <c r="R909" s="132"/>
      <c r="T909" s="13"/>
    </row>
    <row r="910" spans="1:20" ht="12.75" customHeight="1" x14ac:dyDescent="0.2">
      <c r="A910" s="137"/>
      <c r="B910" s="148"/>
      <c r="C910" s="148"/>
      <c r="D910" s="148"/>
      <c r="E910" s="13"/>
      <c r="F910" s="13"/>
      <c r="G910" s="147"/>
      <c r="H910" s="13"/>
      <c r="I910" s="13"/>
      <c r="J910" s="13"/>
      <c r="K910" s="13"/>
      <c r="L910" s="13"/>
      <c r="M910" s="13"/>
      <c r="N910" s="149"/>
      <c r="O910" s="13"/>
      <c r="P910" s="149"/>
      <c r="R910" s="132"/>
      <c r="T910" s="13"/>
    </row>
    <row r="911" spans="1:20" ht="12.75" customHeight="1" x14ac:dyDescent="0.2">
      <c r="A911" s="137"/>
      <c r="B911" s="148"/>
      <c r="C911" s="148"/>
      <c r="D911" s="148"/>
      <c r="E911" s="13"/>
      <c r="F911" s="13"/>
      <c r="G911" s="147"/>
      <c r="H911" s="13"/>
      <c r="I911" s="13"/>
      <c r="J911" s="13"/>
      <c r="K911" s="13"/>
      <c r="L911" s="13"/>
      <c r="M911" s="13"/>
      <c r="N911" s="149"/>
      <c r="O911" s="13"/>
      <c r="P911" s="149"/>
      <c r="R911" s="132"/>
      <c r="T911" s="13"/>
    </row>
    <row r="912" spans="1:20" ht="12.75" customHeight="1" x14ac:dyDescent="0.2">
      <c r="A912" s="137"/>
      <c r="B912" s="148"/>
      <c r="C912" s="148"/>
      <c r="D912" s="148"/>
      <c r="E912" s="13"/>
      <c r="F912" s="13"/>
      <c r="G912" s="147"/>
      <c r="H912" s="13"/>
      <c r="I912" s="13"/>
      <c r="J912" s="13"/>
      <c r="K912" s="13"/>
      <c r="L912" s="13"/>
      <c r="M912" s="13"/>
      <c r="N912" s="149"/>
      <c r="O912" s="13"/>
      <c r="P912" s="149"/>
      <c r="R912" s="132"/>
      <c r="T912" s="13"/>
    </row>
    <row r="913" spans="1:20" ht="12.75" customHeight="1" x14ac:dyDescent="0.2">
      <c r="A913" s="137"/>
      <c r="B913" s="148"/>
      <c r="C913" s="148"/>
      <c r="D913" s="148"/>
      <c r="E913" s="13"/>
      <c r="F913" s="13"/>
      <c r="G913" s="147"/>
      <c r="H913" s="13"/>
      <c r="I913" s="13"/>
      <c r="J913" s="13"/>
      <c r="K913" s="13"/>
      <c r="L913" s="13"/>
      <c r="M913" s="13"/>
      <c r="N913" s="149"/>
      <c r="O913" s="13"/>
      <c r="P913" s="149"/>
      <c r="R913" s="132"/>
      <c r="T913" s="13"/>
    </row>
    <row r="914" spans="1:20" ht="12.75" customHeight="1" x14ac:dyDescent="0.2">
      <c r="A914" s="137"/>
      <c r="B914" s="148"/>
      <c r="C914" s="148"/>
      <c r="D914" s="148"/>
      <c r="E914" s="13"/>
      <c r="F914" s="13"/>
      <c r="G914" s="147"/>
      <c r="H914" s="13"/>
      <c r="I914" s="13"/>
      <c r="J914" s="13"/>
      <c r="K914" s="13"/>
      <c r="L914" s="13"/>
      <c r="M914" s="13"/>
      <c r="N914" s="149"/>
      <c r="O914" s="13"/>
      <c r="P914" s="149"/>
      <c r="R914" s="132"/>
      <c r="T914" s="13"/>
    </row>
    <row r="915" spans="1:20" ht="12.75" customHeight="1" x14ac:dyDescent="0.2">
      <c r="A915" s="137"/>
      <c r="B915" s="148"/>
      <c r="C915" s="148"/>
      <c r="D915" s="148"/>
      <c r="E915" s="13"/>
      <c r="F915" s="13"/>
      <c r="G915" s="147"/>
      <c r="H915" s="13"/>
      <c r="I915" s="13"/>
      <c r="J915" s="13"/>
      <c r="K915" s="13"/>
      <c r="L915" s="13"/>
      <c r="M915" s="13"/>
      <c r="N915" s="149"/>
      <c r="O915" s="13"/>
      <c r="P915" s="149"/>
      <c r="R915" s="132"/>
      <c r="T915" s="13"/>
    </row>
    <row r="916" spans="1:20" ht="12.75" customHeight="1" x14ac:dyDescent="0.2">
      <c r="A916" s="137"/>
      <c r="B916" s="148"/>
      <c r="C916" s="148"/>
      <c r="D916" s="148"/>
      <c r="E916" s="13"/>
      <c r="F916" s="13"/>
      <c r="G916" s="147"/>
      <c r="H916" s="13"/>
      <c r="I916" s="13"/>
      <c r="J916" s="13"/>
      <c r="K916" s="13"/>
      <c r="L916" s="13"/>
      <c r="M916" s="13"/>
      <c r="N916" s="149"/>
      <c r="O916" s="13"/>
      <c r="P916" s="149"/>
      <c r="R916" s="132"/>
      <c r="T916" s="13"/>
    </row>
    <row r="917" spans="1:20" ht="12.75" customHeight="1" x14ac:dyDescent="0.2">
      <c r="A917" s="137"/>
      <c r="B917" s="148"/>
      <c r="C917" s="148"/>
      <c r="D917" s="148"/>
      <c r="E917" s="13"/>
      <c r="F917" s="13"/>
      <c r="G917" s="147"/>
      <c r="H917" s="13"/>
      <c r="I917" s="13"/>
      <c r="J917" s="13"/>
      <c r="K917" s="13"/>
      <c r="L917" s="13"/>
      <c r="M917" s="13"/>
      <c r="N917" s="149"/>
      <c r="O917" s="13"/>
      <c r="P917" s="149"/>
      <c r="R917" s="132"/>
      <c r="T917" s="13"/>
    </row>
    <row r="918" spans="1:20" ht="12.75" customHeight="1" x14ac:dyDescent="0.2">
      <c r="A918" s="137"/>
      <c r="B918" s="148"/>
      <c r="C918" s="148"/>
      <c r="D918" s="148"/>
      <c r="E918" s="13"/>
      <c r="F918" s="13"/>
      <c r="G918" s="147"/>
      <c r="H918" s="13"/>
      <c r="I918" s="13"/>
      <c r="J918" s="13"/>
      <c r="K918" s="13"/>
      <c r="L918" s="13"/>
      <c r="M918" s="13"/>
      <c r="N918" s="149"/>
      <c r="O918" s="13"/>
      <c r="P918" s="149"/>
      <c r="R918" s="132"/>
      <c r="T918" s="13"/>
    </row>
    <row r="919" spans="1:20" ht="12.75" customHeight="1" x14ac:dyDescent="0.2">
      <c r="A919" s="137"/>
      <c r="B919" s="148"/>
      <c r="C919" s="148"/>
      <c r="D919" s="148"/>
      <c r="E919" s="13"/>
      <c r="F919" s="13"/>
      <c r="G919" s="147"/>
      <c r="H919" s="13"/>
      <c r="I919" s="13"/>
      <c r="J919" s="13"/>
      <c r="K919" s="13"/>
      <c r="L919" s="13"/>
      <c r="M919" s="13"/>
      <c r="N919" s="149"/>
      <c r="O919" s="13"/>
      <c r="P919" s="149"/>
      <c r="R919" s="132"/>
      <c r="T919" s="13"/>
    </row>
    <row r="920" spans="1:20" ht="12.75" customHeight="1" x14ac:dyDescent="0.2">
      <c r="A920" s="137"/>
      <c r="B920" s="148"/>
      <c r="C920" s="148"/>
      <c r="D920" s="148"/>
      <c r="E920" s="13"/>
      <c r="F920" s="13"/>
      <c r="G920" s="147"/>
      <c r="H920" s="13"/>
      <c r="I920" s="13"/>
      <c r="J920" s="13"/>
      <c r="K920" s="13"/>
      <c r="L920" s="13"/>
      <c r="M920" s="13"/>
      <c r="N920" s="149"/>
      <c r="O920" s="13"/>
      <c r="P920" s="149"/>
      <c r="R920" s="132"/>
      <c r="T920" s="13"/>
    </row>
    <row r="921" spans="1:20" ht="12.75" customHeight="1" x14ac:dyDescent="0.2">
      <c r="A921" s="137"/>
      <c r="B921" s="148"/>
      <c r="C921" s="148"/>
      <c r="D921" s="148"/>
      <c r="E921" s="13"/>
      <c r="F921" s="13"/>
      <c r="G921" s="147"/>
      <c r="H921" s="13"/>
      <c r="I921" s="13"/>
      <c r="J921" s="13"/>
      <c r="K921" s="13"/>
      <c r="L921" s="13"/>
      <c r="M921" s="13"/>
      <c r="N921" s="149"/>
      <c r="O921" s="13"/>
      <c r="P921" s="149"/>
      <c r="R921" s="132"/>
      <c r="T921" s="13"/>
    </row>
    <row r="922" spans="1:20" ht="12.75" customHeight="1" x14ac:dyDescent="0.2">
      <c r="A922" s="137"/>
      <c r="B922" s="148"/>
      <c r="C922" s="148"/>
      <c r="D922" s="148"/>
      <c r="E922" s="13"/>
      <c r="F922" s="13"/>
      <c r="G922" s="147"/>
      <c r="H922" s="13"/>
      <c r="I922" s="13"/>
      <c r="J922" s="13"/>
      <c r="K922" s="13"/>
      <c r="L922" s="13"/>
      <c r="M922" s="13"/>
      <c r="N922" s="149"/>
      <c r="O922" s="13"/>
      <c r="P922" s="149"/>
      <c r="R922" s="132"/>
      <c r="T922" s="13"/>
    </row>
    <row r="923" spans="1:20" ht="12.75" customHeight="1" x14ac:dyDescent="0.2">
      <c r="A923" s="137"/>
      <c r="B923" s="148"/>
      <c r="C923" s="148"/>
      <c r="D923" s="148"/>
      <c r="E923" s="13"/>
      <c r="F923" s="13"/>
      <c r="G923" s="147"/>
      <c r="H923" s="13"/>
      <c r="I923" s="13"/>
      <c r="J923" s="13"/>
      <c r="K923" s="13"/>
      <c r="L923" s="13"/>
      <c r="M923" s="13"/>
      <c r="N923" s="149"/>
      <c r="O923" s="13"/>
      <c r="P923" s="149"/>
      <c r="R923" s="132"/>
      <c r="T923" s="13"/>
    </row>
    <row r="924" spans="1:20" ht="12.75" customHeight="1" x14ac:dyDescent="0.2">
      <c r="A924" s="137"/>
      <c r="B924" s="148"/>
      <c r="C924" s="148"/>
      <c r="D924" s="148"/>
      <c r="E924" s="13"/>
      <c r="F924" s="13"/>
      <c r="G924" s="147"/>
      <c r="H924" s="13"/>
      <c r="I924" s="13"/>
      <c r="J924" s="13"/>
      <c r="K924" s="13"/>
      <c r="L924" s="13"/>
      <c r="M924" s="13"/>
      <c r="N924" s="149"/>
      <c r="O924" s="13"/>
      <c r="P924" s="149"/>
      <c r="R924" s="132"/>
      <c r="T924" s="13"/>
    </row>
    <row r="925" spans="1:20" ht="12.75" customHeight="1" x14ac:dyDescent="0.2">
      <c r="A925" s="137"/>
      <c r="B925" s="148"/>
      <c r="C925" s="148"/>
      <c r="D925" s="148"/>
      <c r="E925" s="13"/>
      <c r="F925" s="13"/>
      <c r="G925" s="147"/>
      <c r="H925" s="13"/>
      <c r="I925" s="13"/>
      <c r="J925" s="13"/>
      <c r="K925" s="13"/>
      <c r="L925" s="13"/>
      <c r="M925" s="13"/>
      <c r="N925" s="149"/>
      <c r="O925" s="13"/>
      <c r="P925" s="149"/>
      <c r="R925" s="132"/>
      <c r="T925" s="13"/>
    </row>
    <row r="926" spans="1:20" ht="12.75" customHeight="1" x14ac:dyDescent="0.2">
      <c r="A926" s="137"/>
      <c r="B926" s="148"/>
      <c r="C926" s="148"/>
      <c r="D926" s="148"/>
      <c r="E926" s="13"/>
      <c r="F926" s="13"/>
      <c r="G926" s="147"/>
      <c r="H926" s="13"/>
      <c r="I926" s="13"/>
      <c r="J926" s="13"/>
      <c r="K926" s="13"/>
      <c r="L926" s="13"/>
      <c r="M926" s="13"/>
      <c r="N926" s="149"/>
      <c r="O926" s="13"/>
      <c r="P926" s="149"/>
      <c r="R926" s="132"/>
      <c r="T926" s="13"/>
    </row>
    <row r="927" spans="1:20" ht="12.75" customHeight="1" x14ac:dyDescent="0.2">
      <c r="A927" s="137"/>
      <c r="B927" s="148"/>
      <c r="C927" s="148"/>
      <c r="D927" s="148"/>
      <c r="E927" s="13"/>
      <c r="F927" s="13"/>
      <c r="G927" s="147"/>
      <c r="H927" s="13"/>
      <c r="I927" s="13"/>
      <c r="J927" s="13"/>
      <c r="K927" s="13"/>
      <c r="L927" s="13"/>
      <c r="M927" s="13"/>
      <c r="N927" s="149"/>
      <c r="O927" s="13"/>
      <c r="P927" s="149"/>
      <c r="R927" s="132"/>
      <c r="T927" s="13"/>
    </row>
    <row r="928" spans="1:20" ht="12.75" customHeight="1" x14ac:dyDescent="0.2">
      <c r="A928" s="137"/>
      <c r="B928" s="148"/>
      <c r="C928" s="148"/>
      <c r="D928" s="148"/>
      <c r="E928" s="13"/>
      <c r="F928" s="13"/>
      <c r="G928" s="147"/>
      <c r="H928" s="13"/>
      <c r="I928" s="13"/>
      <c r="J928" s="13"/>
      <c r="K928" s="13"/>
      <c r="L928" s="13"/>
      <c r="M928" s="13"/>
      <c r="N928" s="149"/>
      <c r="O928" s="13"/>
      <c r="P928" s="149"/>
      <c r="R928" s="132"/>
      <c r="T928" s="13"/>
    </row>
    <row r="929" spans="1:20" ht="12.75" customHeight="1" x14ac:dyDescent="0.2">
      <c r="A929" s="137"/>
      <c r="B929" s="148"/>
      <c r="C929" s="148"/>
      <c r="D929" s="148"/>
      <c r="E929" s="13"/>
      <c r="F929" s="13"/>
      <c r="G929" s="147"/>
      <c r="H929" s="13"/>
      <c r="I929" s="13"/>
      <c r="J929" s="13"/>
      <c r="K929" s="13"/>
      <c r="L929" s="13"/>
      <c r="M929" s="13"/>
      <c r="N929" s="149"/>
      <c r="O929" s="13"/>
      <c r="P929" s="149"/>
      <c r="R929" s="132"/>
      <c r="T929" s="13"/>
    </row>
    <row r="930" spans="1:20" ht="12.75" customHeight="1" x14ac:dyDescent="0.2">
      <c r="A930" s="137"/>
      <c r="B930" s="148"/>
      <c r="C930" s="148"/>
      <c r="D930" s="148"/>
      <c r="E930" s="13"/>
      <c r="F930" s="13"/>
      <c r="G930" s="147"/>
      <c r="H930" s="13"/>
      <c r="I930" s="13"/>
      <c r="J930" s="13"/>
      <c r="K930" s="13"/>
      <c r="L930" s="13"/>
      <c r="M930" s="13"/>
      <c r="N930" s="149"/>
      <c r="O930" s="13"/>
      <c r="P930" s="149"/>
      <c r="R930" s="132"/>
      <c r="T930" s="13"/>
    </row>
    <row r="931" spans="1:20" ht="12.75" customHeight="1" x14ac:dyDescent="0.2">
      <c r="A931" s="137"/>
      <c r="B931" s="148"/>
      <c r="C931" s="148"/>
      <c r="D931" s="148"/>
      <c r="E931" s="13"/>
      <c r="F931" s="13"/>
      <c r="G931" s="147"/>
      <c r="H931" s="13"/>
      <c r="I931" s="13"/>
      <c r="J931" s="13"/>
      <c r="K931" s="13"/>
      <c r="L931" s="13"/>
      <c r="M931" s="13"/>
      <c r="N931" s="149"/>
      <c r="O931" s="13"/>
      <c r="P931" s="149"/>
      <c r="R931" s="132"/>
      <c r="T931" s="13"/>
    </row>
    <row r="932" spans="1:20" ht="12.75" customHeight="1" x14ac:dyDescent="0.2">
      <c r="A932" s="137"/>
      <c r="B932" s="148"/>
      <c r="C932" s="148"/>
      <c r="D932" s="148"/>
      <c r="E932" s="13"/>
      <c r="F932" s="13"/>
      <c r="G932" s="147"/>
      <c r="H932" s="13"/>
      <c r="I932" s="13"/>
      <c r="J932" s="13"/>
      <c r="K932" s="13"/>
      <c r="L932" s="13"/>
      <c r="M932" s="13"/>
      <c r="N932" s="149"/>
      <c r="O932" s="13"/>
      <c r="P932" s="149"/>
      <c r="R932" s="132"/>
      <c r="T932" s="13"/>
    </row>
    <row r="933" spans="1:20" ht="12.75" customHeight="1" x14ac:dyDescent="0.2">
      <c r="A933" s="137"/>
      <c r="B933" s="148"/>
      <c r="C933" s="148"/>
      <c r="D933" s="148"/>
      <c r="E933" s="13"/>
      <c r="F933" s="13"/>
      <c r="G933" s="147"/>
      <c r="H933" s="13"/>
      <c r="I933" s="13"/>
      <c r="J933" s="13"/>
      <c r="K933" s="13"/>
      <c r="L933" s="13"/>
      <c r="M933" s="13"/>
      <c r="N933" s="149"/>
      <c r="O933" s="13"/>
      <c r="P933" s="149"/>
      <c r="R933" s="132"/>
      <c r="T933" s="13"/>
    </row>
    <row r="934" spans="1:20" ht="12.75" customHeight="1" x14ac:dyDescent="0.2">
      <c r="A934" s="137"/>
      <c r="B934" s="148"/>
      <c r="C934" s="148"/>
      <c r="D934" s="148"/>
      <c r="E934" s="13"/>
      <c r="F934" s="13"/>
      <c r="G934" s="147"/>
      <c r="H934" s="13"/>
      <c r="I934" s="13"/>
      <c r="J934" s="13"/>
      <c r="K934" s="13"/>
      <c r="L934" s="13"/>
      <c r="M934" s="13"/>
      <c r="N934" s="149"/>
      <c r="O934" s="13"/>
      <c r="P934" s="149"/>
      <c r="R934" s="132"/>
      <c r="T934" s="13"/>
    </row>
    <row r="935" spans="1:20" ht="12.75" customHeight="1" x14ac:dyDescent="0.2">
      <c r="A935" s="137"/>
      <c r="B935" s="148"/>
      <c r="C935" s="148"/>
      <c r="D935" s="148"/>
      <c r="E935" s="13"/>
      <c r="F935" s="13"/>
      <c r="G935" s="147"/>
      <c r="H935" s="13"/>
      <c r="I935" s="13"/>
      <c r="J935" s="13"/>
      <c r="K935" s="13"/>
      <c r="L935" s="13"/>
      <c r="M935" s="13"/>
      <c r="N935" s="149"/>
      <c r="O935" s="13"/>
      <c r="P935" s="149"/>
      <c r="R935" s="132"/>
      <c r="T935" s="13"/>
    </row>
    <row r="936" spans="1:20" ht="12.75" customHeight="1" x14ac:dyDescent="0.2">
      <c r="A936" s="137"/>
      <c r="B936" s="148"/>
      <c r="C936" s="148"/>
      <c r="D936" s="148"/>
      <c r="E936" s="13"/>
      <c r="F936" s="13"/>
      <c r="G936" s="147"/>
      <c r="H936" s="13"/>
      <c r="I936" s="13"/>
      <c r="J936" s="13"/>
      <c r="K936" s="13"/>
      <c r="L936" s="13"/>
      <c r="M936" s="13"/>
      <c r="N936" s="149"/>
      <c r="O936" s="13"/>
      <c r="P936" s="149"/>
      <c r="R936" s="132"/>
      <c r="T936" s="13"/>
    </row>
    <row r="937" spans="1:20" ht="12.75" customHeight="1" x14ac:dyDescent="0.2">
      <c r="A937" s="137"/>
      <c r="B937" s="148"/>
      <c r="C937" s="148"/>
      <c r="D937" s="148"/>
      <c r="E937" s="13"/>
      <c r="F937" s="13"/>
      <c r="G937" s="147"/>
      <c r="H937" s="13"/>
      <c r="I937" s="13"/>
      <c r="J937" s="13"/>
      <c r="K937" s="13"/>
      <c r="L937" s="13"/>
      <c r="M937" s="13"/>
      <c r="N937" s="149"/>
      <c r="O937" s="13"/>
      <c r="P937" s="149"/>
      <c r="R937" s="132"/>
      <c r="T937" s="13"/>
    </row>
    <row r="938" spans="1:20" ht="12.75" customHeight="1" x14ac:dyDescent="0.2">
      <c r="A938" s="137"/>
      <c r="B938" s="148"/>
      <c r="C938" s="148"/>
      <c r="D938" s="148"/>
      <c r="E938" s="13"/>
      <c r="F938" s="13"/>
      <c r="G938" s="147"/>
      <c r="H938" s="13"/>
      <c r="I938" s="13"/>
      <c r="J938" s="13"/>
      <c r="K938" s="13"/>
      <c r="L938" s="13"/>
      <c r="M938" s="13"/>
      <c r="N938" s="149"/>
      <c r="O938" s="13"/>
      <c r="P938" s="149"/>
      <c r="R938" s="132"/>
      <c r="T938" s="13"/>
    </row>
    <row r="939" spans="1:20" ht="12.75" customHeight="1" x14ac:dyDescent="0.2">
      <c r="A939" s="137"/>
      <c r="B939" s="148"/>
      <c r="C939" s="148"/>
      <c r="D939" s="148"/>
      <c r="E939" s="13"/>
      <c r="F939" s="13"/>
      <c r="G939" s="147"/>
      <c r="H939" s="13"/>
      <c r="I939" s="13"/>
      <c r="J939" s="13"/>
      <c r="K939" s="13"/>
      <c r="L939" s="13"/>
      <c r="M939" s="13"/>
      <c r="N939" s="149"/>
      <c r="O939" s="13"/>
      <c r="P939" s="149"/>
      <c r="R939" s="132"/>
      <c r="T939" s="13"/>
    </row>
    <row r="940" spans="1:20" ht="12.75" customHeight="1" x14ac:dyDescent="0.2">
      <c r="A940" s="137"/>
      <c r="B940" s="148"/>
      <c r="C940" s="148"/>
      <c r="D940" s="148"/>
      <c r="E940" s="13"/>
      <c r="F940" s="13"/>
      <c r="G940" s="147"/>
      <c r="H940" s="13"/>
      <c r="I940" s="13"/>
      <c r="J940" s="13"/>
      <c r="K940" s="13"/>
      <c r="L940" s="13"/>
      <c r="M940" s="13"/>
      <c r="N940" s="149"/>
      <c r="O940" s="13"/>
      <c r="P940" s="149"/>
      <c r="R940" s="132"/>
      <c r="T940" s="13"/>
    </row>
    <row r="941" spans="1:20" ht="12.75" customHeight="1" x14ac:dyDescent="0.2">
      <c r="A941" s="137"/>
      <c r="B941" s="148"/>
      <c r="C941" s="148"/>
      <c r="D941" s="148"/>
      <c r="E941" s="13"/>
      <c r="F941" s="13"/>
      <c r="G941" s="147"/>
      <c r="H941" s="13"/>
      <c r="I941" s="13"/>
      <c r="J941" s="13"/>
      <c r="K941" s="13"/>
      <c r="L941" s="13"/>
      <c r="M941" s="13"/>
      <c r="N941" s="149"/>
      <c r="O941" s="13"/>
      <c r="P941" s="149"/>
      <c r="R941" s="132"/>
      <c r="T941" s="13"/>
    </row>
    <row r="942" spans="1:20" ht="12.75" customHeight="1" x14ac:dyDescent="0.2">
      <c r="A942" s="137"/>
      <c r="B942" s="148"/>
      <c r="C942" s="148"/>
      <c r="D942" s="148"/>
      <c r="E942" s="13"/>
      <c r="F942" s="13"/>
      <c r="G942" s="147"/>
      <c r="H942" s="13"/>
      <c r="I942" s="13"/>
      <c r="J942" s="13"/>
      <c r="K942" s="13"/>
      <c r="L942" s="13"/>
      <c r="M942" s="13"/>
      <c r="N942" s="149"/>
      <c r="O942" s="13"/>
      <c r="P942" s="149"/>
      <c r="R942" s="132"/>
      <c r="T942" s="13"/>
    </row>
    <row r="943" spans="1:20" ht="12.75" customHeight="1" x14ac:dyDescent="0.2">
      <c r="A943" s="137"/>
      <c r="B943" s="148"/>
      <c r="C943" s="148"/>
      <c r="D943" s="148"/>
      <c r="E943" s="13"/>
      <c r="F943" s="13"/>
      <c r="G943" s="147"/>
      <c r="H943" s="13"/>
      <c r="I943" s="13"/>
      <c r="J943" s="13"/>
      <c r="K943" s="13"/>
      <c r="L943" s="13"/>
      <c r="M943" s="13"/>
      <c r="N943" s="149"/>
      <c r="O943" s="13"/>
      <c r="P943" s="149"/>
      <c r="R943" s="132"/>
      <c r="T943" s="13"/>
    </row>
    <row r="944" spans="1:20" ht="12.75" customHeight="1" x14ac:dyDescent="0.2">
      <c r="A944" s="137"/>
      <c r="B944" s="148"/>
      <c r="C944" s="148"/>
      <c r="D944" s="148"/>
      <c r="E944" s="13"/>
      <c r="F944" s="13"/>
      <c r="G944" s="147"/>
      <c r="H944" s="13"/>
      <c r="I944" s="13"/>
      <c r="J944" s="13"/>
      <c r="K944" s="13"/>
      <c r="L944" s="13"/>
      <c r="M944" s="13"/>
      <c r="N944" s="149"/>
      <c r="O944" s="13"/>
      <c r="P944" s="149"/>
      <c r="R944" s="132"/>
      <c r="T944" s="13"/>
    </row>
    <row r="945" spans="1:20" ht="12.75" customHeight="1" x14ac:dyDescent="0.2">
      <c r="A945" s="137"/>
      <c r="B945" s="148"/>
      <c r="C945" s="148"/>
      <c r="D945" s="148"/>
      <c r="E945" s="13"/>
      <c r="F945" s="13"/>
      <c r="G945" s="147"/>
      <c r="H945" s="13"/>
      <c r="I945" s="13"/>
      <c r="J945" s="13"/>
      <c r="K945" s="13"/>
      <c r="L945" s="13"/>
      <c r="M945" s="13"/>
      <c r="N945" s="149"/>
      <c r="O945" s="13"/>
      <c r="P945" s="149"/>
      <c r="R945" s="132"/>
      <c r="T945" s="13"/>
    </row>
    <row r="946" spans="1:20" ht="12.75" customHeight="1" x14ac:dyDescent="0.2">
      <c r="A946" s="137"/>
      <c r="B946" s="148"/>
      <c r="C946" s="148"/>
      <c r="D946" s="148"/>
      <c r="E946" s="13"/>
      <c r="F946" s="13"/>
      <c r="G946" s="147"/>
      <c r="H946" s="13"/>
      <c r="I946" s="13"/>
      <c r="J946" s="13"/>
      <c r="K946" s="13"/>
      <c r="L946" s="13"/>
      <c r="M946" s="13"/>
      <c r="N946" s="149"/>
      <c r="O946" s="13"/>
      <c r="P946" s="149"/>
      <c r="R946" s="132"/>
      <c r="T946" s="13"/>
    </row>
    <row r="947" spans="1:20" ht="12.75" customHeight="1" x14ac:dyDescent="0.2">
      <c r="A947" s="137"/>
      <c r="B947" s="148"/>
      <c r="C947" s="148"/>
      <c r="D947" s="148"/>
      <c r="E947" s="13"/>
      <c r="F947" s="13"/>
      <c r="G947" s="147"/>
      <c r="H947" s="13"/>
      <c r="I947" s="13"/>
      <c r="J947" s="13"/>
      <c r="K947" s="13"/>
      <c r="L947" s="13"/>
      <c r="M947" s="13"/>
      <c r="N947" s="149"/>
      <c r="O947" s="13"/>
      <c r="P947" s="149"/>
      <c r="R947" s="132"/>
      <c r="T947" s="13"/>
    </row>
    <row r="948" spans="1:20" ht="12.75" customHeight="1" x14ac:dyDescent="0.2">
      <c r="A948" s="137"/>
      <c r="B948" s="148"/>
      <c r="C948" s="148"/>
      <c r="D948" s="148"/>
      <c r="E948" s="13"/>
      <c r="F948" s="13"/>
      <c r="G948" s="147"/>
      <c r="H948" s="13"/>
      <c r="I948" s="13"/>
      <c r="J948" s="13"/>
      <c r="K948" s="13"/>
      <c r="L948" s="13"/>
      <c r="M948" s="13"/>
      <c r="N948" s="149"/>
      <c r="O948" s="13"/>
      <c r="P948" s="149"/>
      <c r="R948" s="132"/>
      <c r="T948" s="13"/>
    </row>
    <row r="949" spans="1:20" ht="12.75" customHeight="1" x14ac:dyDescent="0.2">
      <c r="A949" s="137"/>
      <c r="B949" s="148"/>
      <c r="C949" s="148"/>
      <c r="D949" s="148"/>
      <c r="E949" s="13"/>
      <c r="F949" s="13"/>
      <c r="G949" s="147"/>
      <c r="H949" s="13"/>
      <c r="I949" s="13"/>
      <c r="J949" s="13"/>
      <c r="K949" s="13"/>
      <c r="L949" s="13"/>
      <c r="M949" s="13"/>
      <c r="N949" s="149"/>
      <c r="O949" s="13"/>
      <c r="P949" s="149"/>
      <c r="R949" s="132"/>
      <c r="T949" s="13"/>
    </row>
    <row r="950" spans="1:20" ht="12.75" customHeight="1" x14ac:dyDescent="0.2">
      <c r="A950" s="137"/>
      <c r="B950" s="148"/>
      <c r="C950" s="148"/>
      <c r="D950" s="148"/>
      <c r="E950" s="13"/>
      <c r="F950" s="13"/>
      <c r="G950" s="147"/>
      <c r="H950" s="13"/>
      <c r="I950" s="13"/>
      <c r="J950" s="13"/>
      <c r="K950" s="13"/>
      <c r="L950" s="13"/>
      <c r="M950" s="13"/>
      <c r="N950" s="149"/>
      <c r="O950" s="13"/>
      <c r="P950" s="149"/>
      <c r="R950" s="132"/>
      <c r="T950" s="13"/>
    </row>
    <row r="951" spans="1:20" ht="12.75" customHeight="1" x14ac:dyDescent="0.2">
      <c r="A951" s="137"/>
      <c r="B951" s="148"/>
      <c r="C951" s="148"/>
      <c r="D951" s="148"/>
      <c r="E951" s="13"/>
      <c r="F951" s="13"/>
      <c r="G951" s="147"/>
      <c r="H951" s="13"/>
      <c r="I951" s="13"/>
      <c r="J951" s="13"/>
      <c r="K951" s="13"/>
      <c r="L951" s="13"/>
      <c r="M951" s="13"/>
      <c r="N951" s="149"/>
      <c r="O951" s="13"/>
      <c r="P951" s="149"/>
      <c r="R951" s="132"/>
      <c r="T951" s="13"/>
    </row>
    <row r="952" spans="1:20" ht="12.75" customHeight="1" x14ac:dyDescent="0.2">
      <c r="A952" s="137"/>
      <c r="B952" s="148"/>
      <c r="C952" s="148"/>
      <c r="D952" s="148"/>
      <c r="E952" s="13"/>
      <c r="F952" s="13"/>
      <c r="G952" s="147"/>
      <c r="H952" s="13"/>
      <c r="I952" s="13"/>
      <c r="J952" s="13"/>
      <c r="K952" s="13"/>
      <c r="L952" s="13"/>
      <c r="M952" s="13"/>
      <c r="N952" s="149"/>
      <c r="O952" s="13"/>
      <c r="P952" s="149"/>
      <c r="R952" s="132"/>
      <c r="T952" s="13"/>
    </row>
    <row r="953" spans="1:20" ht="12.75" customHeight="1" x14ac:dyDescent="0.2">
      <c r="A953" s="137"/>
      <c r="B953" s="148"/>
      <c r="C953" s="148"/>
      <c r="D953" s="148"/>
      <c r="E953" s="13"/>
      <c r="F953" s="13"/>
      <c r="G953" s="147"/>
      <c r="H953" s="13"/>
      <c r="I953" s="13"/>
      <c r="J953" s="13"/>
      <c r="K953" s="13"/>
      <c r="L953" s="13"/>
      <c r="M953" s="13"/>
      <c r="N953" s="149"/>
      <c r="O953" s="13"/>
      <c r="P953" s="149"/>
      <c r="R953" s="132"/>
      <c r="T953" s="13"/>
    </row>
    <row r="954" spans="1:20" ht="12.75" customHeight="1" x14ac:dyDescent="0.2">
      <c r="A954" s="137"/>
      <c r="B954" s="148"/>
      <c r="C954" s="148"/>
      <c r="D954" s="148"/>
      <c r="E954" s="13"/>
      <c r="F954" s="13"/>
      <c r="G954" s="147"/>
      <c r="H954" s="13"/>
      <c r="I954" s="13"/>
      <c r="J954" s="13"/>
      <c r="K954" s="13"/>
      <c r="L954" s="13"/>
      <c r="M954" s="13"/>
      <c r="N954" s="149"/>
      <c r="O954" s="13"/>
      <c r="P954" s="149"/>
      <c r="R954" s="132"/>
      <c r="T954" s="13"/>
    </row>
    <row r="955" spans="1:20" ht="12.75" customHeight="1" x14ac:dyDescent="0.2">
      <c r="A955" s="137"/>
      <c r="B955" s="148"/>
      <c r="C955" s="148"/>
      <c r="D955" s="148"/>
      <c r="E955" s="13"/>
      <c r="F955" s="13"/>
      <c r="G955" s="147"/>
      <c r="H955" s="13"/>
      <c r="I955" s="13"/>
      <c r="J955" s="13"/>
      <c r="K955" s="13"/>
      <c r="L955" s="13"/>
      <c r="M955" s="13"/>
      <c r="N955" s="149"/>
      <c r="O955" s="13"/>
      <c r="P955" s="149"/>
      <c r="R955" s="132"/>
      <c r="T955" s="13"/>
    </row>
    <row r="956" spans="1:20" ht="12.75" customHeight="1" x14ac:dyDescent="0.2">
      <c r="A956" s="137"/>
      <c r="B956" s="148"/>
      <c r="C956" s="148"/>
      <c r="D956" s="148"/>
      <c r="E956" s="13"/>
      <c r="F956" s="13"/>
      <c r="G956" s="147"/>
      <c r="H956" s="13"/>
      <c r="I956" s="13"/>
      <c r="J956" s="13"/>
      <c r="K956" s="13"/>
      <c r="L956" s="13"/>
      <c r="M956" s="13"/>
      <c r="N956" s="149"/>
      <c r="O956" s="13"/>
      <c r="P956" s="149"/>
      <c r="R956" s="132"/>
      <c r="T956" s="13"/>
    </row>
    <row r="957" spans="1:20" ht="12.75" customHeight="1" x14ac:dyDescent="0.2">
      <c r="A957" s="137"/>
      <c r="B957" s="148"/>
      <c r="C957" s="148"/>
      <c r="D957" s="148"/>
      <c r="E957" s="13"/>
      <c r="F957" s="13"/>
      <c r="G957" s="147"/>
      <c r="H957" s="13"/>
      <c r="I957" s="13"/>
      <c r="J957" s="13"/>
      <c r="K957" s="13"/>
      <c r="L957" s="13"/>
      <c r="M957" s="13"/>
      <c r="N957" s="149"/>
      <c r="O957" s="13"/>
      <c r="P957" s="149"/>
      <c r="R957" s="132"/>
      <c r="T957" s="13"/>
    </row>
    <row r="958" spans="1:20" ht="12.75" customHeight="1" x14ac:dyDescent="0.2">
      <c r="A958" s="137"/>
      <c r="B958" s="148"/>
      <c r="C958" s="148"/>
      <c r="D958" s="148"/>
      <c r="E958" s="13"/>
      <c r="F958" s="13"/>
      <c r="G958" s="147"/>
      <c r="H958" s="13"/>
      <c r="I958" s="13"/>
      <c r="J958" s="13"/>
      <c r="K958" s="13"/>
      <c r="L958" s="13"/>
      <c r="M958" s="13"/>
      <c r="N958" s="149"/>
      <c r="O958" s="13"/>
      <c r="P958" s="149"/>
      <c r="R958" s="132"/>
      <c r="T958" s="13"/>
    </row>
    <row r="959" spans="1:20" ht="12.75" customHeight="1" x14ac:dyDescent="0.2">
      <c r="A959" s="137"/>
      <c r="B959" s="148"/>
      <c r="C959" s="148"/>
      <c r="D959" s="148"/>
      <c r="E959" s="13"/>
      <c r="F959" s="13"/>
      <c r="G959" s="147"/>
      <c r="H959" s="13"/>
      <c r="I959" s="13"/>
      <c r="J959" s="13"/>
      <c r="K959" s="13"/>
      <c r="L959" s="13"/>
      <c r="M959" s="13"/>
      <c r="N959" s="149"/>
      <c r="O959" s="13"/>
      <c r="P959" s="149"/>
      <c r="R959" s="132"/>
      <c r="T959" s="13"/>
    </row>
    <row r="960" spans="1:20" ht="12.75" customHeight="1" x14ac:dyDescent="0.2">
      <c r="A960" s="137"/>
      <c r="B960" s="148"/>
      <c r="C960" s="148"/>
      <c r="D960" s="148"/>
      <c r="E960" s="13"/>
      <c r="F960" s="13"/>
      <c r="G960" s="147"/>
      <c r="H960" s="13"/>
      <c r="I960" s="13"/>
      <c r="J960" s="13"/>
      <c r="K960" s="13"/>
      <c r="L960" s="13"/>
      <c r="M960" s="13"/>
      <c r="N960" s="149"/>
      <c r="O960" s="13"/>
      <c r="P960" s="149"/>
      <c r="R960" s="132"/>
      <c r="T960" s="13"/>
    </row>
    <row r="961" spans="1:20" ht="12.75" customHeight="1" x14ac:dyDescent="0.2">
      <c r="A961" s="137"/>
      <c r="B961" s="148"/>
      <c r="C961" s="148"/>
      <c r="D961" s="148"/>
      <c r="E961" s="13"/>
      <c r="F961" s="13"/>
      <c r="G961" s="147"/>
      <c r="H961" s="13"/>
      <c r="I961" s="13"/>
      <c r="J961" s="13"/>
      <c r="K961" s="13"/>
      <c r="L961" s="13"/>
      <c r="M961" s="13"/>
      <c r="N961" s="149"/>
      <c r="O961" s="13"/>
      <c r="P961" s="149"/>
      <c r="R961" s="132"/>
      <c r="T961" s="13"/>
    </row>
    <row r="962" spans="1:20" ht="12.75" customHeight="1" x14ac:dyDescent="0.2">
      <c r="A962" s="137"/>
      <c r="B962" s="148"/>
      <c r="C962" s="148"/>
      <c r="D962" s="148"/>
      <c r="E962" s="13"/>
      <c r="F962" s="13"/>
      <c r="G962" s="147"/>
      <c r="H962" s="13"/>
      <c r="I962" s="13"/>
      <c r="J962" s="13"/>
      <c r="K962" s="13"/>
      <c r="L962" s="13"/>
      <c r="M962" s="13"/>
      <c r="N962" s="149"/>
      <c r="O962" s="13"/>
      <c r="P962" s="149"/>
      <c r="R962" s="132"/>
      <c r="T962" s="13"/>
    </row>
    <row r="963" spans="1:20" ht="12.75" customHeight="1" x14ac:dyDescent="0.2">
      <c r="A963" s="137"/>
      <c r="B963" s="148"/>
      <c r="C963" s="148"/>
      <c r="D963" s="148"/>
      <c r="E963" s="13"/>
      <c r="F963" s="13"/>
      <c r="G963" s="147"/>
      <c r="H963" s="13"/>
      <c r="I963" s="13"/>
      <c r="J963" s="13"/>
      <c r="K963" s="13"/>
      <c r="L963" s="13"/>
      <c r="M963" s="13"/>
      <c r="N963" s="149"/>
      <c r="O963" s="13"/>
      <c r="P963" s="149"/>
      <c r="R963" s="132"/>
      <c r="T963" s="13"/>
    </row>
    <row r="964" spans="1:20" ht="12.75" customHeight="1" x14ac:dyDescent="0.2">
      <c r="A964" s="137"/>
      <c r="B964" s="148"/>
      <c r="C964" s="148"/>
      <c r="D964" s="148"/>
      <c r="E964" s="13"/>
      <c r="F964" s="13"/>
      <c r="G964" s="147"/>
      <c r="H964" s="13"/>
      <c r="I964" s="13"/>
      <c r="J964" s="13"/>
      <c r="K964" s="13"/>
      <c r="L964" s="13"/>
      <c r="M964" s="13"/>
      <c r="N964" s="149"/>
      <c r="O964" s="13"/>
      <c r="P964" s="149"/>
      <c r="R964" s="132"/>
      <c r="T964" s="13"/>
    </row>
    <row r="965" spans="1:20" ht="12.75" customHeight="1" x14ac:dyDescent="0.2">
      <c r="A965" s="137"/>
      <c r="B965" s="148"/>
      <c r="C965" s="148"/>
      <c r="D965" s="148"/>
      <c r="E965" s="13"/>
      <c r="F965" s="13"/>
      <c r="G965" s="147"/>
      <c r="H965" s="13"/>
      <c r="I965" s="13"/>
      <c r="J965" s="13"/>
      <c r="K965" s="13"/>
      <c r="L965" s="13"/>
      <c r="M965" s="13"/>
      <c r="N965" s="149"/>
      <c r="O965" s="13"/>
      <c r="P965" s="149"/>
      <c r="R965" s="132"/>
      <c r="T965" s="13"/>
    </row>
    <row r="966" spans="1:20" ht="12.75" customHeight="1" x14ac:dyDescent="0.2">
      <c r="A966" s="137"/>
      <c r="B966" s="148"/>
      <c r="C966" s="148"/>
      <c r="D966" s="148"/>
      <c r="E966" s="13"/>
      <c r="F966" s="13"/>
      <c r="G966" s="147"/>
      <c r="H966" s="13"/>
      <c r="I966" s="13"/>
      <c r="J966" s="13"/>
      <c r="K966" s="13"/>
      <c r="L966" s="13"/>
      <c r="M966" s="13"/>
      <c r="N966" s="149"/>
      <c r="O966" s="13"/>
      <c r="P966" s="149"/>
      <c r="R966" s="132"/>
      <c r="T966" s="13"/>
    </row>
    <row r="967" spans="1:20" ht="12.75" customHeight="1" x14ac:dyDescent="0.2">
      <c r="A967" s="137"/>
      <c r="B967" s="148"/>
      <c r="C967" s="148"/>
      <c r="D967" s="148"/>
      <c r="E967" s="13"/>
      <c r="F967" s="13"/>
      <c r="G967" s="147"/>
      <c r="H967" s="13"/>
      <c r="I967" s="13"/>
      <c r="J967" s="13"/>
      <c r="K967" s="13"/>
      <c r="L967" s="13"/>
      <c r="M967" s="13"/>
      <c r="N967" s="149"/>
      <c r="O967" s="13"/>
      <c r="P967" s="149"/>
      <c r="R967" s="132"/>
      <c r="T967" s="13"/>
    </row>
    <row r="968" spans="1:20" ht="12.75" customHeight="1" x14ac:dyDescent="0.2">
      <c r="A968" s="137"/>
      <c r="B968" s="148"/>
      <c r="C968" s="148"/>
      <c r="D968" s="148"/>
      <c r="E968" s="13"/>
      <c r="F968" s="13"/>
      <c r="G968" s="147"/>
      <c r="H968" s="13"/>
      <c r="I968" s="13"/>
      <c r="J968" s="13"/>
      <c r="K968" s="13"/>
      <c r="L968" s="13"/>
      <c r="M968" s="13"/>
      <c r="N968" s="149"/>
      <c r="O968" s="13"/>
      <c r="P968" s="149"/>
      <c r="R968" s="132"/>
      <c r="T968" s="13"/>
    </row>
    <row r="969" spans="1:20" ht="12.75" customHeight="1" x14ac:dyDescent="0.2">
      <c r="A969" s="137"/>
      <c r="B969" s="148"/>
      <c r="C969" s="148"/>
      <c r="D969" s="148"/>
      <c r="E969" s="13"/>
      <c r="F969" s="13"/>
      <c r="G969" s="147"/>
      <c r="H969" s="13"/>
      <c r="I969" s="13"/>
      <c r="J969" s="13"/>
      <c r="K969" s="13"/>
      <c r="L969" s="13"/>
      <c r="M969" s="13"/>
      <c r="N969" s="149"/>
      <c r="O969" s="13"/>
      <c r="P969" s="149"/>
      <c r="R969" s="132"/>
      <c r="T969" s="13"/>
    </row>
    <row r="970" spans="1:20" ht="12.75" customHeight="1" x14ac:dyDescent="0.2">
      <c r="A970" s="137"/>
      <c r="B970" s="148"/>
      <c r="C970" s="148"/>
      <c r="D970" s="148"/>
      <c r="E970" s="13"/>
      <c r="F970" s="13"/>
      <c r="G970" s="147"/>
      <c r="H970" s="13"/>
      <c r="I970" s="13"/>
      <c r="J970" s="13"/>
      <c r="K970" s="13"/>
      <c r="L970" s="13"/>
      <c r="M970" s="13"/>
      <c r="N970" s="149"/>
      <c r="O970" s="13"/>
      <c r="P970" s="149"/>
      <c r="R970" s="132"/>
      <c r="T970" s="13"/>
    </row>
    <row r="971" spans="1:20" ht="12.75" customHeight="1" x14ac:dyDescent="0.2">
      <c r="A971" s="137"/>
      <c r="B971" s="148"/>
      <c r="C971" s="148"/>
      <c r="D971" s="148"/>
      <c r="E971" s="13"/>
      <c r="F971" s="13"/>
      <c r="G971" s="147"/>
      <c r="H971" s="13"/>
      <c r="I971" s="13"/>
      <c r="J971" s="13"/>
      <c r="K971" s="13"/>
      <c r="L971" s="13"/>
      <c r="M971" s="13"/>
      <c r="N971" s="149"/>
      <c r="O971" s="13"/>
      <c r="P971" s="149"/>
      <c r="R971" s="132"/>
      <c r="T971" s="13"/>
    </row>
    <row r="972" spans="1:20" ht="12.75" customHeight="1" x14ac:dyDescent="0.2">
      <c r="A972" s="137"/>
      <c r="B972" s="148"/>
      <c r="C972" s="148"/>
      <c r="D972" s="148"/>
      <c r="E972" s="13"/>
      <c r="F972" s="13"/>
      <c r="G972" s="147"/>
      <c r="H972" s="13"/>
      <c r="I972" s="13"/>
      <c r="J972" s="13"/>
      <c r="K972" s="13"/>
      <c r="L972" s="13"/>
      <c r="M972" s="13"/>
      <c r="N972" s="149"/>
      <c r="O972" s="13"/>
      <c r="P972" s="149"/>
      <c r="R972" s="132"/>
      <c r="T972" s="13"/>
    </row>
    <row r="973" spans="1:20" ht="12.75" customHeight="1" x14ac:dyDescent="0.2">
      <c r="A973" s="137"/>
      <c r="B973" s="148"/>
      <c r="C973" s="148"/>
      <c r="D973" s="148"/>
      <c r="E973" s="13"/>
      <c r="F973" s="13"/>
      <c r="G973" s="147"/>
      <c r="H973" s="13"/>
      <c r="I973" s="13"/>
      <c r="J973" s="13"/>
      <c r="K973" s="13"/>
      <c r="L973" s="13"/>
      <c r="M973" s="13"/>
      <c r="N973" s="149"/>
      <c r="O973" s="13"/>
      <c r="P973" s="149"/>
      <c r="R973" s="132"/>
      <c r="T973" s="13"/>
    </row>
    <row r="974" spans="1:20" ht="12.75" customHeight="1" x14ac:dyDescent="0.2">
      <c r="A974" s="137"/>
      <c r="B974" s="148"/>
      <c r="C974" s="148"/>
      <c r="D974" s="148"/>
      <c r="E974" s="13"/>
      <c r="F974" s="13"/>
      <c r="G974" s="147"/>
      <c r="H974" s="13"/>
      <c r="I974" s="13"/>
      <c r="J974" s="13"/>
      <c r="K974" s="13"/>
      <c r="L974" s="13"/>
      <c r="M974" s="13"/>
      <c r="N974" s="149"/>
      <c r="O974" s="13"/>
      <c r="P974" s="149"/>
      <c r="R974" s="132"/>
      <c r="T974" s="13"/>
    </row>
    <row r="975" spans="1:20" ht="12.75" customHeight="1" x14ac:dyDescent="0.2">
      <c r="A975" s="137"/>
      <c r="B975" s="148"/>
      <c r="C975" s="148"/>
      <c r="D975" s="148"/>
      <c r="E975" s="13"/>
      <c r="F975" s="13"/>
      <c r="G975" s="147"/>
      <c r="H975" s="13"/>
      <c r="I975" s="13"/>
      <c r="J975" s="13"/>
      <c r="K975" s="13"/>
      <c r="L975" s="13"/>
      <c r="M975" s="13"/>
      <c r="N975" s="149"/>
      <c r="O975" s="13"/>
      <c r="P975" s="149"/>
      <c r="R975" s="132"/>
      <c r="T975" s="13"/>
    </row>
    <row r="976" spans="1:20" ht="12.75" customHeight="1" x14ac:dyDescent="0.2">
      <c r="A976" s="137"/>
      <c r="B976" s="148"/>
      <c r="C976" s="148"/>
      <c r="D976" s="148"/>
      <c r="E976" s="13"/>
      <c r="F976" s="13"/>
      <c r="G976" s="147"/>
      <c r="H976" s="13"/>
      <c r="I976" s="13"/>
      <c r="J976" s="13"/>
      <c r="K976" s="13"/>
      <c r="L976" s="13"/>
      <c r="M976" s="13"/>
      <c r="N976" s="149"/>
      <c r="O976" s="13"/>
      <c r="P976" s="149"/>
      <c r="R976" s="132"/>
      <c r="T976" s="13"/>
    </row>
    <row r="977" spans="1:20" ht="12.75" customHeight="1" x14ac:dyDescent="0.2">
      <c r="A977" s="137"/>
      <c r="B977" s="148"/>
      <c r="C977" s="148"/>
      <c r="D977" s="148"/>
      <c r="E977" s="13"/>
      <c r="F977" s="13"/>
      <c r="G977" s="147"/>
      <c r="H977" s="13"/>
      <c r="I977" s="13"/>
      <c r="J977" s="13"/>
      <c r="K977" s="13"/>
      <c r="L977" s="13"/>
      <c r="M977" s="13"/>
      <c r="N977" s="149"/>
      <c r="O977" s="13"/>
      <c r="P977" s="149"/>
      <c r="R977" s="132"/>
      <c r="T977" s="13"/>
    </row>
    <row r="978" spans="1:20" ht="12.75" customHeight="1" x14ac:dyDescent="0.2">
      <c r="A978" s="137"/>
      <c r="B978" s="148"/>
      <c r="C978" s="148"/>
      <c r="D978" s="148"/>
      <c r="E978" s="13"/>
      <c r="F978" s="13"/>
      <c r="G978" s="147"/>
      <c r="H978" s="13"/>
      <c r="I978" s="13"/>
      <c r="J978" s="13"/>
      <c r="K978" s="13"/>
      <c r="L978" s="13"/>
      <c r="M978" s="13"/>
      <c r="N978" s="149"/>
      <c r="O978" s="13"/>
      <c r="P978" s="149"/>
      <c r="R978" s="132"/>
      <c r="T978" s="13"/>
    </row>
    <row r="979" spans="1:20" ht="12.75" customHeight="1" x14ac:dyDescent="0.2">
      <c r="A979" s="137"/>
      <c r="B979" s="148"/>
      <c r="C979" s="148"/>
      <c r="D979" s="148"/>
      <c r="E979" s="13"/>
      <c r="F979" s="13"/>
      <c r="G979" s="147"/>
      <c r="H979" s="13"/>
      <c r="I979" s="13"/>
      <c r="J979" s="13"/>
      <c r="K979" s="13"/>
      <c r="L979" s="13"/>
      <c r="M979" s="13"/>
      <c r="N979" s="149"/>
      <c r="O979" s="13"/>
      <c r="P979" s="149"/>
      <c r="R979" s="132"/>
      <c r="T979" s="13"/>
    </row>
    <row r="980" spans="1:20" ht="12.75" customHeight="1" x14ac:dyDescent="0.2">
      <c r="A980" s="137"/>
      <c r="B980" s="148"/>
      <c r="C980" s="148"/>
      <c r="D980" s="148"/>
      <c r="E980" s="13"/>
      <c r="F980" s="13"/>
      <c r="G980" s="147"/>
      <c r="H980" s="13"/>
      <c r="I980" s="13"/>
      <c r="J980" s="13"/>
      <c r="K980" s="13"/>
      <c r="L980" s="13"/>
      <c r="M980" s="13"/>
      <c r="N980" s="149"/>
      <c r="O980" s="13"/>
      <c r="P980" s="149"/>
      <c r="R980" s="132"/>
      <c r="T980" s="13"/>
    </row>
    <row r="981" spans="1:20" ht="12.75" customHeight="1" x14ac:dyDescent="0.2">
      <c r="A981" s="137"/>
      <c r="B981" s="148"/>
      <c r="C981" s="148"/>
      <c r="D981" s="148"/>
      <c r="E981" s="13"/>
      <c r="F981" s="13"/>
      <c r="G981" s="147"/>
      <c r="H981" s="13"/>
      <c r="I981" s="13"/>
      <c r="J981" s="13"/>
      <c r="K981" s="13"/>
      <c r="L981" s="13"/>
      <c r="M981" s="13"/>
      <c r="N981" s="149"/>
      <c r="O981" s="13"/>
      <c r="P981" s="149"/>
      <c r="R981" s="132"/>
      <c r="T981" s="13"/>
    </row>
    <row r="982" spans="1:20" ht="12.75" customHeight="1" x14ac:dyDescent="0.2">
      <c r="A982" s="137"/>
      <c r="B982" s="148"/>
      <c r="C982" s="148"/>
      <c r="D982" s="148"/>
      <c r="E982" s="13"/>
      <c r="F982" s="13"/>
      <c r="G982" s="147"/>
      <c r="H982" s="13"/>
      <c r="I982" s="13"/>
      <c r="J982" s="13"/>
      <c r="K982" s="13"/>
      <c r="L982" s="13"/>
      <c r="M982" s="13"/>
      <c r="N982" s="149"/>
      <c r="O982" s="13"/>
      <c r="P982" s="149"/>
      <c r="R982" s="132"/>
      <c r="T982" s="13"/>
    </row>
    <row r="983" spans="1:20" ht="12.75" customHeight="1" x14ac:dyDescent="0.2">
      <c r="A983" s="137"/>
      <c r="B983" s="148"/>
      <c r="C983" s="148"/>
      <c r="D983" s="148"/>
      <c r="E983" s="13"/>
      <c r="F983" s="13"/>
      <c r="G983" s="147"/>
      <c r="H983" s="13"/>
      <c r="I983" s="13"/>
      <c r="J983" s="13"/>
      <c r="K983" s="13"/>
      <c r="L983" s="13"/>
      <c r="M983" s="13"/>
      <c r="N983" s="149"/>
      <c r="O983" s="13"/>
      <c r="P983" s="149"/>
      <c r="R983" s="132"/>
      <c r="T983" s="13"/>
    </row>
    <row r="984" spans="1:20" ht="12.75" customHeight="1" x14ac:dyDescent="0.2">
      <c r="A984" s="137"/>
      <c r="B984" s="148"/>
      <c r="C984" s="148"/>
      <c r="D984" s="148"/>
      <c r="E984" s="13"/>
      <c r="F984" s="13"/>
      <c r="G984" s="147"/>
      <c r="H984" s="13"/>
      <c r="I984" s="13"/>
      <c r="J984" s="13"/>
      <c r="K984" s="13"/>
      <c r="L984" s="13"/>
      <c r="M984" s="13"/>
      <c r="N984" s="149"/>
      <c r="O984" s="13"/>
      <c r="P984" s="149"/>
      <c r="R984" s="132"/>
      <c r="T984" s="13"/>
    </row>
    <row r="985" spans="1:20" ht="12.75" customHeight="1" x14ac:dyDescent="0.2">
      <c r="A985" s="137"/>
      <c r="B985" s="148"/>
      <c r="C985" s="148"/>
      <c r="D985" s="148"/>
      <c r="E985" s="13"/>
      <c r="F985" s="13"/>
      <c r="G985" s="147"/>
      <c r="H985" s="13"/>
      <c r="I985" s="13"/>
      <c r="J985" s="13"/>
      <c r="K985" s="13"/>
      <c r="L985" s="13"/>
      <c r="M985" s="13"/>
      <c r="N985" s="149"/>
      <c r="O985" s="13"/>
      <c r="P985" s="149"/>
      <c r="R985" s="132"/>
      <c r="T985" s="13"/>
    </row>
    <row r="986" spans="1:20" ht="12.75" customHeight="1" x14ac:dyDescent="0.2">
      <c r="A986" s="137"/>
      <c r="B986" s="148"/>
      <c r="C986" s="148"/>
      <c r="D986" s="148"/>
      <c r="E986" s="13"/>
      <c r="F986" s="13"/>
      <c r="G986" s="147"/>
      <c r="H986" s="13"/>
      <c r="I986" s="13"/>
      <c r="J986" s="13"/>
      <c r="K986" s="13"/>
      <c r="L986" s="13"/>
      <c r="M986" s="13"/>
      <c r="N986" s="149"/>
      <c r="O986" s="13"/>
      <c r="P986" s="149"/>
      <c r="R986" s="132"/>
      <c r="T986" s="13"/>
    </row>
    <row r="987" spans="1:20" ht="12.75" customHeight="1" x14ac:dyDescent="0.2">
      <c r="A987" s="137"/>
      <c r="B987" s="148"/>
      <c r="C987" s="148"/>
      <c r="D987" s="148"/>
      <c r="E987" s="13"/>
      <c r="F987" s="13"/>
      <c r="G987" s="147"/>
      <c r="H987" s="13"/>
      <c r="I987" s="13"/>
      <c r="J987" s="13"/>
      <c r="K987" s="13"/>
      <c r="L987" s="13"/>
      <c r="M987" s="13"/>
      <c r="N987" s="149"/>
      <c r="O987" s="13"/>
      <c r="P987" s="149"/>
      <c r="R987" s="132"/>
      <c r="T987" s="13"/>
    </row>
    <row r="988" spans="1:20" ht="12.75" customHeight="1" x14ac:dyDescent="0.2">
      <c r="A988" s="137"/>
      <c r="B988" s="148"/>
      <c r="C988" s="148"/>
      <c r="D988" s="148"/>
      <c r="E988" s="13"/>
      <c r="F988" s="13"/>
      <c r="G988" s="147"/>
      <c r="H988" s="13"/>
      <c r="I988" s="13"/>
      <c r="J988" s="13"/>
      <c r="K988" s="13"/>
      <c r="L988" s="13"/>
      <c r="M988" s="13"/>
      <c r="N988" s="149"/>
      <c r="O988" s="13"/>
      <c r="P988" s="149"/>
      <c r="R988" s="132"/>
      <c r="T988" s="13"/>
    </row>
    <row r="989" spans="1:20" ht="12.75" customHeight="1" x14ac:dyDescent="0.2">
      <c r="A989" s="137"/>
      <c r="B989" s="148"/>
      <c r="C989" s="148"/>
      <c r="D989" s="148"/>
      <c r="E989" s="13"/>
      <c r="F989" s="13"/>
      <c r="G989" s="147"/>
      <c r="H989" s="13"/>
      <c r="I989" s="13"/>
      <c r="J989" s="13"/>
      <c r="K989" s="13"/>
      <c r="L989" s="13"/>
      <c r="M989" s="13"/>
      <c r="N989" s="149"/>
      <c r="O989" s="13"/>
      <c r="P989" s="149"/>
      <c r="R989" s="132"/>
      <c r="T989" s="13"/>
    </row>
    <row r="990" spans="1:20" ht="12.75" customHeight="1" x14ac:dyDescent="0.2">
      <c r="A990" s="137"/>
      <c r="B990" s="148"/>
      <c r="C990" s="148"/>
      <c r="D990" s="148"/>
      <c r="E990" s="13"/>
      <c r="F990" s="13"/>
      <c r="G990" s="147"/>
      <c r="H990" s="13"/>
      <c r="I990" s="13"/>
      <c r="J990" s="13"/>
      <c r="K990" s="13"/>
      <c r="L990" s="13"/>
      <c r="M990" s="13"/>
      <c r="N990" s="149"/>
      <c r="O990" s="13"/>
      <c r="P990" s="149"/>
      <c r="R990" s="132"/>
      <c r="T990" s="13"/>
    </row>
    <row r="991" spans="1:20" ht="12.75" customHeight="1" x14ac:dyDescent="0.2">
      <c r="A991" s="137"/>
      <c r="B991" s="148"/>
      <c r="C991" s="148"/>
      <c r="D991" s="148"/>
      <c r="E991" s="13"/>
      <c r="F991" s="13"/>
      <c r="G991" s="147"/>
      <c r="H991" s="13"/>
      <c r="I991" s="13"/>
      <c r="J991" s="13"/>
      <c r="K991" s="13"/>
      <c r="L991" s="13"/>
      <c r="M991" s="13"/>
      <c r="N991" s="149"/>
      <c r="O991" s="13"/>
      <c r="P991" s="149"/>
      <c r="R991" s="132"/>
      <c r="T991" s="13"/>
    </row>
    <row r="992" spans="1:20" ht="12.75" customHeight="1" x14ac:dyDescent="0.2">
      <c r="A992" s="137"/>
      <c r="B992" s="148"/>
      <c r="C992" s="148"/>
      <c r="D992" s="148"/>
      <c r="E992" s="13"/>
      <c r="F992" s="13"/>
      <c r="G992" s="147"/>
      <c r="H992" s="13"/>
      <c r="I992" s="13"/>
      <c r="J992" s="13"/>
      <c r="K992" s="13"/>
      <c r="L992" s="13"/>
      <c r="M992" s="13"/>
      <c r="N992" s="149"/>
      <c r="O992" s="13"/>
      <c r="P992" s="149"/>
      <c r="R992" s="132"/>
      <c r="T992" s="13"/>
    </row>
    <row r="993" spans="1:20" ht="12.75" customHeight="1" x14ac:dyDescent="0.2">
      <c r="A993" s="137"/>
      <c r="B993" s="148"/>
      <c r="C993" s="148"/>
      <c r="D993" s="148"/>
      <c r="E993" s="13"/>
      <c r="F993" s="13"/>
      <c r="G993" s="147"/>
      <c r="H993" s="13"/>
      <c r="I993" s="13"/>
      <c r="J993" s="13"/>
      <c r="K993" s="13"/>
      <c r="L993" s="13"/>
      <c r="M993" s="13"/>
      <c r="N993" s="149"/>
      <c r="O993" s="13"/>
      <c r="P993" s="149"/>
      <c r="R993" s="132"/>
      <c r="T993" s="13"/>
    </row>
    <row r="994" spans="1:20" ht="12.75" customHeight="1" x14ac:dyDescent="0.2">
      <c r="A994" s="137"/>
      <c r="B994" s="148"/>
      <c r="C994" s="148"/>
      <c r="D994" s="148"/>
      <c r="E994" s="13"/>
      <c r="F994" s="13"/>
      <c r="G994" s="147"/>
      <c r="H994" s="13"/>
      <c r="I994" s="13"/>
      <c r="J994" s="13"/>
      <c r="K994" s="13"/>
      <c r="L994" s="13"/>
      <c r="M994" s="13"/>
      <c r="N994" s="149"/>
      <c r="O994" s="13"/>
      <c r="P994" s="149"/>
      <c r="R994" s="132"/>
      <c r="T994" s="13"/>
    </row>
    <row r="995" spans="1:20" ht="12.75" customHeight="1" x14ac:dyDescent="0.2">
      <c r="A995" s="137"/>
      <c r="B995" s="148"/>
      <c r="C995" s="148"/>
      <c r="D995" s="148"/>
      <c r="E995" s="13"/>
      <c r="F995" s="13"/>
      <c r="G995" s="147"/>
      <c r="H995" s="13"/>
      <c r="I995" s="13"/>
      <c r="J995" s="13"/>
      <c r="K995" s="13"/>
      <c r="L995" s="13"/>
      <c r="M995" s="13"/>
      <c r="N995" s="149"/>
      <c r="O995" s="13"/>
      <c r="P995" s="149"/>
      <c r="R995" s="132"/>
      <c r="T995" s="13"/>
    </row>
    <row r="996" spans="1:20" ht="12.75" customHeight="1" x14ac:dyDescent="0.2">
      <c r="A996" s="137"/>
      <c r="B996" s="148"/>
      <c r="C996" s="148"/>
      <c r="D996" s="148"/>
      <c r="E996" s="13"/>
      <c r="F996" s="13"/>
      <c r="G996" s="147"/>
      <c r="H996" s="13"/>
      <c r="I996" s="13"/>
      <c r="J996" s="13"/>
      <c r="K996" s="13"/>
      <c r="L996" s="13"/>
      <c r="M996" s="13"/>
      <c r="N996" s="149"/>
      <c r="O996" s="13"/>
      <c r="P996" s="149"/>
      <c r="R996" s="132"/>
      <c r="T996" s="13"/>
    </row>
    <row r="997" spans="1:20" ht="12.75" customHeight="1" x14ac:dyDescent="0.2">
      <c r="A997" s="137"/>
      <c r="B997" s="148"/>
      <c r="C997" s="148"/>
      <c r="D997" s="148"/>
      <c r="E997" s="13"/>
      <c r="F997" s="13"/>
      <c r="G997" s="147"/>
      <c r="H997" s="13"/>
      <c r="I997" s="13"/>
      <c r="J997" s="13"/>
      <c r="K997" s="13"/>
      <c r="L997" s="13"/>
      <c r="M997" s="13"/>
      <c r="N997" s="149"/>
      <c r="O997" s="13"/>
      <c r="P997" s="149"/>
      <c r="R997" s="132"/>
      <c r="T997" s="13"/>
    </row>
    <row r="998" spans="1:20" ht="12.75" customHeight="1" x14ac:dyDescent="0.2">
      <c r="A998" s="137"/>
      <c r="B998" s="148"/>
      <c r="C998" s="148"/>
      <c r="D998" s="148"/>
      <c r="E998" s="13"/>
      <c r="F998" s="13"/>
      <c r="G998" s="147"/>
      <c r="H998" s="13"/>
      <c r="I998" s="13"/>
      <c r="J998" s="13"/>
      <c r="K998" s="13"/>
      <c r="L998" s="13"/>
      <c r="M998" s="13"/>
      <c r="N998" s="149"/>
      <c r="O998" s="13"/>
      <c r="P998" s="149"/>
      <c r="R998" s="132"/>
      <c r="T998" s="13"/>
    </row>
    <row r="999" spans="1:20" ht="12.75" customHeight="1" x14ac:dyDescent="0.2">
      <c r="A999" s="137"/>
      <c r="B999" s="148"/>
      <c r="C999" s="148"/>
      <c r="D999" s="148"/>
      <c r="E999" s="13"/>
      <c r="F999" s="13"/>
      <c r="G999" s="147"/>
      <c r="H999" s="13"/>
      <c r="I999" s="13"/>
      <c r="J999" s="13"/>
      <c r="K999" s="13"/>
      <c r="L999" s="13"/>
      <c r="M999" s="13"/>
      <c r="N999" s="149"/>
      <c r="O999" s="13"/>
      <c r="P999" s="149"/>
      <c r="R999" s="132"/>
      <c r="T999" s="13"/>
    </row>
    <row r="1000" spans="1:20" ht="12.75" customHeight="1" x14ac:dyDescent="0.2">
      <c r="A1000" s="137"/>
      <c r="B1000" s="148"/>
      <c r="C1000" s="148"/>
      <c r="D1000" s="148"/>
      <c r="E1000" s="13"/>
      <c r="F1000" s="13"/>
      <c r="G1000" s="147"/>
      <c r="H1000" s="13"/>
      <c r="I1000" s="13"/>
      <c r="J1000" s="13"/>
      <c r="K1000" s="13"/>
      <c r="L1000" s="13"/>
      <c r="M1000" s="13"/>
      <c r="N1000" s="149"/>
      <c r="O1000" s="13"/>
      <c r="P1000" s="149"/>
      <c r="R1000" s="132"/>
      <c r="T1000" s="13"/>
    </row>
    <row r="1001" spans="1:20" ht="12.75" customHeight="1" x14ac:dyDescent="0.2">
      <c r="A1001" s="137"/>
      <c r="B1001" s="148"/>
      <c r="C1001" s="148"/>
      <c r="D1001" s="148"/>
      <c r="E1001" s="13"/>
      <c r="F1001" s="13"/>
      <c r="G1001" s="147"/>
      <c r="H1001" s="13"/>
      <c r="I1001" s="13"/>
      <c r="J1001" s="13"/>
      <c r="K1001" s="13"/>
      <c r="L1001" s="13"/>
      <c r="M1001" s="13"/>
      <c r="N1001" s="149"/>
      <c r="O1001" s="13"/>
      <c r="P1001" s="149"/>
      <c r="R1001" s="132"/>
      <c r="T1001" s="13"/>
    </row>
    <row r="1002" spans="1:20" ht="12.75" customHeight="1" x14ac:dyDescent="0.2">
      <c r="A1002" s="137"/>
      <c r="B1002" s="148"/>
      <c r="C1002" s="148"/>
      <c r="D1002" s="148"/>
      <c r="E1002" s="13"/>
      <c r="F1002" s="13"/>
      <c r="G1002" s="147"/>
      <c r="H1002" s="13"/>
      <c r="I1002" s="13"/>
      <c r="J1002" s="13"/>
      <c r="K1002" s="13"/>
      <c r="L1002" s="13"/>
      <c r="M1002" s="13"/>
      <c r="N1002" s="149"/>
      <c r="O1002" s="13"/>
      <c r="P1002" s="149"/>
      <c r="R1002" s="132"/>
      <c r="T1002" s="13"/>
    </row>
  </sheetData>
  <autoFilter ref="A3:X125" xr:uid="{00000000-0009-0000-0000-000000000000}"/>
  <mergeCells count="23">
    <mergeCell ref="A100:P100"/>
    <mergeCell ref="A101:P101"/>
    <mergeCell ref="B109:L109"/>
    <mergeCell ref="A1:M2"/>
    <mergeCell ref="N1:O2"/>
    <mergeCell ref="P1:P2"/>
    <mergeCell ref="A6:Q6"/>
    <mergeCell ref="A11:B11"/>
    <mergeCell ref="A13:Q13"/>
    <mergeCell ref="A25:Q25"/>
    <mergeCell ref="A76:B76"/>
    <mergeCell ref="A97:B97"/>
    <mergeCell ref="A99:B99"/>
    <mergeCell ref="A32:Q32"/>
    <mergeCell ref="A39:Q39"/>
    <mergeCell ref="A49:Q49"/>
    <mergeCell ref="A59:Q59"/>
    <mergeCell ref="A78:Q78"/>
    <mergeCell ref="A23:B23"/>
    <mergeCell ref="A30:B30"/>
    <mergeCell ref="A37:B37"/>
    <mergeCell ref="A48:B48"/>
    <mergeCell ref="A57:B57"/>
  </mergeCells>
  <printOptions horizontalCentered="1"/>
  <pageMargins left="0" right="0" top="0" bottom="0" header="0" footer="0"/>
  <pageSetup paperSize="9" scale="81" orientation="landscape" r:id="rId1"/>
  <rowBreaks count="2" manualBreakCount="2">
    <brk id="38" max="16" man="1"/>
    <brk id="58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37"/>
  <sheetViews>
    <sheetView view="pageBreakPreview" topLeftCell="A993" zoomScale="92" zoomScaleNormal="92" zoomScaleSheetLayoutView="92" workbookViewId="0">
      <selection activeCell="K1009" sqref="K1009"/>
    </sheetView>
  </sheetViews>
  <sheetFormatPr defaultColWidth="12.7109375" defaultRowHeight="15" customHeight="1" x14ac:dyDescent="0.2"/>
  <cols>
    <col min="1" max="1" width="1" customWidth="1"/>
    <col min="2" max="2" width="15.7109375" customWidth="1"/>
    <col min="3" max="3" width="8.28515625" customWidth="1"/>
    <col min="4" max="4" width="0.28515625" customWidth="1"/>
    <col min="5" max="5" width="1.7109375" customWidth="1"/>
    <col min="6" max="6" width="18.28515625" customWidth="1"/>
    <col min="7" max="7" width="12" customWidth="1"/>
    <col min="8" max="8" width="2.140625" customWidth="1"/>
    <col min="9" max="9" width="7.140625" customWidth="1"/>
    <col min="10" max="10" width="17.42578125" bestFit="1" customWidth="1"/>
    <col min="11" max="11" width="14.140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4.285156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50"/>
      <c r="B1" s="150"/>
      <c r="C1" s="479" t="s">
        <v>84</v>
      </c>
      <c r="D1" s="435"/>
      <c r="E1" s="435"/>
      <c r="F1" s="435"/>
      <c r="G1" s="435"/>
      <c r="H1" s="435"/>
      <c r="I1" s="435"/>
      <c r="J1" s="151" t="s">
        <v>115</v>
      </c>
      <c r="K1" s="152">
        <v>2024</v>
      </c>
      <c r="L1" s="152"/>
      <c r="M1" s="153"/>
      <c r="N1" s="153"/>
      <c r="O1" s="153"/>
      <c r="P1" s="153"/>
      <c r="Q1" s="153"/>
      <c r="R1" s="154" t="e">
        <f>K17+K32+#REF!+#REF!+#REF!+#REF!+K47+K62+#REF!+K524+#REF!+#REF!+#REF!+K118+K133+#REF!+K148+#REF!+K600+#REF!+K223+K208+#REF!+#REF!+K404+#REF!+K163+#REF!+K193+K88+#REF!+#REF!+K585+K298+K434+K343+K710+K773+K554+#REF!+K479+#REF!+#REF!+K374+#REF!+K283+K539+#REF!+K663+#REF!+K313+K632+K75+K328+K389+K616+#REF!+K238+#REF!+K419+#REF!+K494+K449+#REF!+K464+K253+#REF!+#REF!+#REF!+K103+K178+#REF!-12678</f>
        <v>#REF!</v>
      </c>
      <c r="S1" s="153"/>
      <c r="T1" s="153"/>
      <c r="U1" s="155" t="e">
        <f>K59+K72+K521+K115+K130+#REF!+K145+K536+K160+K190+K597+K235+#REF!+K205+#REF!+K85+K660+K250+K401+K582+K295+K325+K431+K340+K567+#REF!+K310+#REF!+#REF!+K371+K613+#REF!+#REF!+K100+K175+#REF!+#REF!+#REF!+K491+K446+K461+K476+#REF!+#REF!</f>
        <v>#REF!</v>
      </c>
      <c r="V1" s="153"/>
      <c r="W1" s="153"/>
      <c r="X1" s="153"/>
      <c r="Y1" s="153"/>
      <c r="Z1" s="153"/>
      <c r="AA1" s="153"/>
      <c r="AB1" s="153"/>
      <c r="AC1" s="153"/>
    </row>
    <row r="2" spans="1:30" ht="18.75" customHeigh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6" t="s">
        <v>86</v>
      </c>
      <c r="K2" s="150">
        <v>31</v>
      </c>
      <c r="L2" s="150"/>
      <c r="M2" s="153"/>
      <c r="N2" s="153"/>
      <c r="O2" s="153"/>
      <c r="P2" s="153"/>
      <c r="Q2" s="153"/>
      <c r="R2" s="155"/>
      <c r="S2" s="153"/>
      <c r="T2" s="153"/>
      <c r="U2" s="155"/>
      <c r="V2" s="153"/>
      <c r="W2" s="153"/>
      <c r="X2" s="153"/>
      <c r="Y2" s="153"/>
      <c r="Z2" s="153"/>
      <c r="AA2" s="153"/>
      <c r="AB2" s="153"/>
      <c r="AC2" s="153"/>
    </row>
    <row r="3" spans="1:30" ht="18.75" customHeight="1" x14ac:dyDescent="0.3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7" t="s">
        <v>87</v>
      </c>
      <c r="X3" s="158" t="e">
        <f>K63+K76+K89+K104+K119+K134+K149+K164+K179+K194+K209+#REF!+#REF!+K224+K239+K254+K269+K284+K299+K314+K329+#REF!+K344+K359+K375+K390+K405+K420+K435+K450+K465+K480+K495+K510+K525+K540+K555+K586+K601+K617+K633+K649+K664+K679+K695+K711+K726+K741+K758+K774+K790</f>
        <v>#REF!</v>
      </c>
      <c r="Y3" s="153"/>
      <c r="Z3" s="153"/>
      <c r="AA3" s="153"/>
      <c r="AB3" s="153"/>
      <c r="AC3" s="153"/>
    </row>
    <row r="4" spans="1:30" ht="21" customHeight="1" x14ac:dyDescent="0.2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7"/>
      <c r="N4" s="159"/>
      <c r="O4" s="159"/>
      <c r="P4" s="159"/>
      <c r="Q4" s="159"/>
      <c r="R4" s="160"/>
      <c r="S4" s="159"/>
      <c r="T4" s="159"/>
      <c r="U4" s="160"/>
      <c r="V4" s="159"/>
      <c r="W4" s="159" t="s">
        <v>88</v>
      </c>
      <c r="X4" s="158">
        <f>K5</f>
        <v>0</v>
      </c>
      <c r="Y4" s="160">
        <f>K17+K32+K47+K62+K75+K88+K103+K118+K133+K148+K163+K178+K193+K208+K223+K238+K253+K268+K283+K298+K313+K328+K343+K358+K374+K389+K404+K419+K434+K449+K464+K479+K494+K509+K524+K539+K554+K570+K585+K600+K616+K632+K648+K663+K678+K694+K710+K725+K740+K757+K773+K789+K805+K821+K837+K853+K869+K885+K901+K917+K933+K949+K965+K981+K997</f>
        <v>2632714.9193548388</v>
      </c>
      <c r="Z4" s="159"/>
      <c r="AA4" s="157">
        <v>2896178</v>
      </c>
      <c r="AB4" s="157"/>
      <c r="AC4" s="157"/>
    </row>
    <row r="5" spans="1:30" ht="21" customHeight="1" x14ac:dyDescent="0.2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7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7"/>
      <c r="AB5" s="157"/>
      <c r="AC5" s="157"/>
    </row>
    <row r="6" spans="1:30" ht="21" customHeight="1" x14ac:dyDescent="0.2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61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61"/>
      <c r="AB6" s="161"/>
      <c r="AC6" s="161"/>
    </row>
    <row r="7" spans="1:30" ht="19.149999999999999" customHeight="1" thickBot="1" x14ac:dyDescent="0.25">
      <c r="A7" s="447" t="s">
        <v>89</v>
      </c>
      <c r="B7" s="453"/>
      <c r="C7" s="453"/>
      <c r="D7" s="453"/>
      <c r="E7" s="453"/>
      <c r="F7" s="453"/>
      <c r="G7" s="453"/>
      <c r="H7" s="453"/>
      <c r="I7" s="453"/>
      <c r="J7" s="453"/>
      <c r="K7" s="453"/>
      <c r="L7" s="454"/>
      <c r="M7" s="162"/>
      <c r="N7" s="163"/>
      <c r="O7" s="440" t="s">
        <v>90</v>
      </c>
      <c r="P7" s="441"/>
      <c r="Q7" s="441"/>
      <c r="R7" s="442"/>
      <c r="S7" s="164"/>
      <c r="T7" s="440" t="s">
        <v>91</v>
      </c>
      <c r="U7" s="441"/>
      <c r="V7" s="441"/>
      <c r="W7" s="441"/>
      <c r="X7" s="441"/>
      <c r="Y7" s="442"/>
      <c r="Z7" s="165"/>
      <c r="AA7" s="162"/>
      <c r="AB7" s="161"/>
      <c r="AC7" s="161"/>
    </row>
    <row r="8" spans="1:30" ht="19.149999999999999" customHeight="1" x14ac:dyDescent="0.2">
      <c r="A8" s="166"/>
      <c r="B8" s="152"/>
      <c r="C8" s="443" t="s">
        <v>313</v>
      </c>
      <c r="D8" s="435"/>
      <c r="E8" s="435"/>
      <c r="F8" s="435"/>
      <c r="G8" s="167" t="str">
        <f>$J$1</f>
        <v>August</v>
      </c>
      <c r="H8" s="444">
        <f>$K$1</f>
        <v>2024</v>
      </c>
      <c r="I8" s="435"/>
      <c r="J8" s="152"/>
      <c r="K8" s="168"/>
      <c r="L8" s="169"/>
      <c r="M8" s="170"/>
      <c r="N8" s="171"/>
      <c r="O8" s="172" t="s">
        <v>93</v>
      </c>
      <c r="P8" s="172" t="s">
        <v>94</v>
      </c>
      <c r="Q8" s="172" t="s">
        <v>95</v>
      </c>
      <c r="R8" s="172" t="s">
        <v>96</v>
      </c>
      <c r="S8" s="173"/>
      <c r="T8" s="172" t="s">
        <v>93</v>
      </c>
      <c r="U8" s="172" t="s">
        <v>97</v>
      </c>
      <c r="V8" s="172" t="s">
        <v>9</v>
      </c>
      <c r="W8" s="172" t="s">
        <v>10</v>
      </c>
      <c r="X8" s="172" t="s">
        <v>11</v>
      </c>
      <c r="Y8" s="172" t="s">
        <v>98</v>
      </c>
      <c r="Z8" s="174"/>
      <c r="AA8" s="170"/>
      <c r="AB8" s="161"/>
      <c r="AC8" s="161"/>
    </row>
    <row r="9" spans="1:30" ht="19.149999999999999" customHeight="1" x14ac:dyDescent="0.2">
      <c r="A9" s="166"/>
      <c r="B9" s="152"/>
      <c r="C9" s="152"/>
      <c r="D9" s="175"/>
      <c r="E9" s="175"/>
      <c r="F9" s="175"/>
      <c r="G9" s="175"/>
      <c r="H9" s="175"/>
      <c r="I9" s="152"/>
      <c r="J9" s="176" t="s">
        <v>99</v>
      </c>
      <c r="K9" s="154">
        <f>55000+5000+5000+10000</f>
        <v>75000</v>
      </c>
      <c r="L9" s="177"/>
      <c r="M9" s="161"/>
      <c r="N9" s="178"/>
      <c r="O9" s="179" t="s">
        <v>100</v>
      </c>
      <c r="P9" s="179">
        <v>24</v>
      </c>
      <c r="Q9" s="179">
        <v>7</v>
      </c>
      <c r="R9" s="179">
        <f>15-Q9</f>
        <v>8</v>
      </c>
      <c r="S9" s="180"/>
      <c r="T9" s="179" t="s">
        <v>100</v>
      </c>
      <c r="U9" s="181"/>
      <c r="V9" s="181"/>
      <c r="W9" s="181">
        <f>V9+U9</f>
        <v>0</v>
      </c>
      <c r="X9" s="181"/>
      <c r="Y9" s="181">
        <f>W9-X9</f>
        <v>0</v>
      </c>
      <c r="Z9" s="174"/>
      <c r="AA9" s="161"/>
      <c r="AB9" s="161"/>
      <c r="AC9" s="161"/>
    </row>
    <row r="10" spans="1:30" ht="19.149999999999999" customHeight="1" x14ac:dyDescent="0.2">
      <c r="A10" s="166"/>
      <c r="B10" s="152" t="s">
        <v>101</v>
      </c>
      <c r="C10" s="151" t="s">
        <v>26</v>
      </c>
      <c r="D10" s="152"/>
      <c r="E10" s="152"/>
      <c r="F10" s="152"/>
      <c r="G10" s="152"/>
      <c r="H10" s="182"/>
      <c r="I10" s="175"/>
      <c r="J10" s="152"/>
      <c r="K10" s="152"/>
      <c r="L10" s="183"/>
      <c r="M10" s="162"/>
      <c r="N10" s="184"/>
      <c r="O10" s="179" t="s">
        <v>102</v>
      </c>
      <c r="P10" s="179">
        <v>28</v>
      </c>
      <c r="Q10" s="179">
        <v>0</v>
      </c>
      <c r="R10" s="179">
        <f t="shared" ref="R10:R11" si="0">IF(Q10="","",R9-Q10)</f>
        <v>8</v>
      </c>
      <c r="S10" s="159"/>
      <c r="T10" s="179" t="s">
        <v>102</v>
      </c>
      <c r="U10" s="185" t="str">
        <f>IF($J$1="February",Y9,"")</f>
        <v/>
      </c>
      <c r="V10" s="181"/>
      <c r="W10" s="185" t="str">
        <f t="shared" ref="W10:W20" si="1">IF(U10="","",U10+V10)</f>
        <v/>
      </c>
      <c r="X10" s="181"/>
      <c r="Y10" s="185" t="str">
        <f t="shared" ref="Y10:Y20" si="2">IF(W10="","",W10-X10)</f>
        <v/>
      </c>
      <c r="Z10" s="186"/>
      <c r="AA10" s="162"/>
      <c r="AB10" s="161"/>
      <c r="AC10" s="161"/>
    </row>
    <row r="11" spans="1:30" ht="19.149999999999999" customHeight="1" x14ac:dyDescent="0.2">
      <c r="A11" s="166"/>
      <c r="B11" s="187" t="s">
        <v>103</v>
      </c>
      <c r="C11" s="188"/>
      <c r="D11" s="152"/>
      <c r="E11" s="152"/>
      <c r="F11" s="439" t="s">
        <v>91</v>
      </c>
      <c r="G11" s="413"/>
      <c r="H11" s="152"/>
      <c r="I11" s="439" t="s">
        <v>104</v>
      </c>
      <c r="J11" s="412"/>
      <c r="K11" s="413"/>
      <c r="L11" s="189"/>
      <c r="M11" s="161"/>
      <c r="N11" s="178"/>
      <c r="O11" s="179" t="s">
        <v>105</v>
      </c>
      <c r="P11" s="179">
        <v>27</v>
      </c>
      <c r="Q11" s="179">
        <v>4</v>
      </c>
      <c r="R11" s="179">
        <f t="shared" si="0"/>
        <v>4</v>
      </c>
      <c r="S11" s="159"/>
      <c r="T11" s="179">
        <f>R11-S11</f>
        <v>4</v>
      </c>
      <c r="U11" s="185" t="str">
        <f>IF($J$1="March",Y10,"")</f>
        <v/>
      </c>
      <c r="V11" s="181"/>
      <c r="W11" s="185" t="str">
        <f t="shared" si="1"/>
        <v/>
      </c>
      <c r="X11" s="181"/>
      <c r="Y11" s="185" t="str">
        <f t="shared" si="2"/>
        <v/>
      </c>
      <c r="Z11" s="186"/>
      <c r="AA11" s="161"/>
      <c r="AB11" s="161"/>
      <c r="AC11" s="161"/>
    </row>
    <row r="12" spans="1:30" ht="19.149999999999999" customHeight="1" x14ac:dyDescent="0.2">
      <c r="A12" s="166"/>
      <c r="B12" s="152"/>
      <c r="C12" s="152"/>
      <c r="D12" s="152"/>
      <c r="E12" s="152"/>
      <c r="F12" s="152"/>
      <c r="G12" s="152"/>
      <c r="H12" s="190"/>
      <c r="I12" s="152"/>
      <c r="J12" s="152"/>
      <c r="K12" s="152"/>
      <c r="L12" s="191"/>
      <c r="M12" s="161"/>
      <c r="N12" s="178"/>
      <c r="O12" s="179" t="s">
        <v>106</v>
      </c>
      <c r="P12" s="179">
        <v>24</v>
      </c>
      <c r="Q12" s="179">
        <v>6</v>
      </c>
      <c r="R12" s="179">
        <v>0</v>
      </c>
      <c r="S12" s="159"/>
      <c r="T12" s="179" t="s">
        <v>106</v>
      </c>
      <c r="U12" s="185" t="str">
        <f>IF($J$1="April",Y11,"")</f>
        <v/>
      </c>
      <c r="V12" s="181"/>
      <c r="W12" s="185" t="str">
        <f t="shared" si="1"/>
        <v/>
      </c>
      <c r="X12" s="181"/>
      <c r="Y12" s="185" t="str">
        <f t="shared" si="2"/>
        <v/>
      </c>
      <c r="Z12" s="186"/>
      <c r="AA12" s="161"/>
      <c r="AB12" s="161"/>
      <c r="AC12" s="161"/>
    </row>
    <row r="13" spans="1:30" ht="19.149999999999999" customHeight="1" x14ac:dyDescent="0.2">
      <c r="A13" s="166"/>
      <c r="B13" s="445" t="s">
        <v>90</v>
      </c>
      <c r="C13" s="413"/>
      <c r="D13" s="152"/>
      <c r="E13" s="152"/>
      <c r="F13" s="192" t="s">
        <v>107</v>
      </c>
      <c r="G13" s="193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90"/>
      <c r="I13" s="194">
        <f>K2</f>
        <v>31</v>
      </c>
      <c r="J13" s="195" t="s">
        <v>108</v>
      </c>
      <c r="K13" s="196">
        <f>K9/$K$2*I13</f>
        <v>75000</v>
      </c>
      <c r="L13" s="197"/>
      <c r="M13" s="161"/>
      <c r="N13" s="178"/>
      <c r="O13" s="179" t="s">
        <v>109</v>
      </c>
      <c r="P13" s="179">
        <v>31</v>
      </c>
      <c r="Q13" s="179">
        <v>0</v>
      </c>
      <c r="R13" s="179">
        <f t="shared" ref="R13:R17" si="3">IF(Q13="","",R12-Q13)</f>
        <v>0</v>
      </c>
      <c r="S13" s="159"/>
      <c r="T13" s="179" t="s">
        <v>109</v>
      </c>
      <c r="U13" s="185" t="str">
        <f>IF($J$1="May",Y12,"")</f>
        <v/>
      </c>
      <c r="V13" s="181"/>
      <c r="W13" s="185" t="str">
        <f t="shared" si="1"/>
        <v/>
      </c>
      <c r="X13" s="181"/>
      <c r="Y13" s="185" t="str">
        <f t="shared" si="2"/>
        <v/>
      </c>
      <c r="Z13" s="186"/>
      <c r="AA13" s="161"/>
      <c r="AB13" s="161"/>
      <c r="AC13" s="161"/>
      <c r="AD13">
        <v>65</v>
      </c>
    </row>
    <row r="14" spans="1:30" ht="19.149999999999999" customHeight="1" x14ac:dyDescent="0.2">
      <c r="A14" s="166"/>
      <c r="B14" s="198"/>
      <c r="C14" s="198"/>
      <c r="D14" s="152"/>
      <c r="E14" s="152"/>
      <c r="F14" s="192" t="s">
        <v>9</v>
      </c>
      <c r="G14" s="193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90"/>
      <c r="I14" s="194"/>
      <c r="J14" s="195" t="s">
        <v>110</v>
      </c>
      <c r="K14" s="193">
        <f>K9/$K$2/8*I14</f>
        <v>0</v>
      </c>
      <c r="L14" s="199"/>
      <c r="M14" s="161"/>
      <c r="N14" s="178"/>
      <c r="O14" s="179" t="s">
        <v>85</v>
      </c>
      <c r="P14" s="179">
        <v>30</v>
      </c>
      <c r="Q14" s="179">
        <v>0</v>
      </c>
      <c r="R14" s="179">
        <f t="shared" si="3"/>
        <v>0</v>
      </c>
      <c r="S14" s="159"/>
      <c r="T14" s="179" t="s">
        <v>85</v>
      </c>
      <c r="U14" s="185" t="str">
        <f>IF($J$1="June",Y13,"")</f>
        <v/>
      </c>
      <c r="V14" s="181"/>
      <c r="W14" s="185" t="str">
        <f t="shared" si="1"/>
        <v/>
      </c>
      <c r="X14" s="181"/>
      <c r="Y14" s="185" t="str">
        <f t="shared" si="2"/>
        <v/>
      </c>
      <c r="Z14" s="186"/>
      <c r="AA14" s="161"/>
      <c r="AB14" s="161"/>
      <c r="AC14" s="161"/>
    </row>
    <row r="15" spans="1:30" ht="19.149999999999999" customHeight="1" x14ac:dyDescent="0.2">
      <c r="A15" s="166"/>
      <c r="B15" s="192" t="s">
        <v>94</v>
      </c>
      <c r="C15" s="198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152"/>
      <c r="E15" s="152"/>
      <c r="F15" s="192" t="s">
        <v>111</v>
      </c>
      <c r="G15" s="193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90"/>
      <c r="I15" s="446" t="s">
        <v>112</v>
      </c>
      <c r="J15" s="413"/>
      <c r="K15" s="193">
        <f>K13+K14</f>
        <v>75000</v>
      </c>
      <c r="L15" s="199"/>
      <c r="M15" s="161"/>
      <c r="N15" s="178"/>
      <c r="O15" s="179" t="s">
        <v>113</v>
      </c>
      <c r="P15" s="179">
        <v>31</v>
      </c>
      <c r="Q15" s="179">
        <v>1</v>
      </c>
      <c r="R15" s="179">
        <f t="shared" si="3"/>
        <v>-1</v>
      </c>
      <c r="S15" s="159"/>
      <c r="T15" s="179" t="s">
        <v>113</v>
      </c>
      <c r="U15" s="185" t="str">
        <f>IF($J$1="July",Y14,"")</f>
        <v/>
      </c>
      <c r="V15" s="181"/>
      <c r="W15" s="185" t="str">
        <f t="shared" si="1"/>
        <v/>
      </c>
      <c r="X15" s="181"/>
      <c r="Y15" s="185" t="str">
        <f t="shared" si="2"/>
        <v/>
      </c>
      <c r="Z15" s="186"/>
      <c r="AA15" s="161"/>
      <c r="AB15" s="161"/>
      <c r="AC15" s="161"/>
    </row>
    <row r="16" spans="1:30" ht="19.149999999999999" customHeight="1" x14ac:dyDescent="0.2">
      <c r="A16" s="166"/>
      <c r="B16" s="192" t="s">
        <v>95</v>
      </c>
      <c r="C16" s="198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52"/>
      <c r="E16" s="152"/>
      <c r="F16" s="192" t="s">
        <v>11</v>
      </c>
      <c r="G16" s="193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90"/>
      <c r="I16" s="446" t="s">
        <v>114</v>
      </c>
      <c r="J16" s="413"/>
      <c r="K16" s="193">
        <f>G16</f>
        <v>0</v>
      </c>
      <c r="L16" s="199"/>
      <c r="M16" s="161"/>
      <c r="N16" s="178"/>
      <c r="O16" s="179" t="s">
        <v>115</v>
      </c>
      <c r="P16" s="179"/>
      <c r="Q16" s="179"/>
      <c r="R16" s="179" t="str">
        <f t="shared" si="3"/>
        <v/>
      </c>
      <c r="S16" s="159"/>
      <c r="T16" s="179" t="s">
        <v>115</v>
      </c>
      <c r="U16" s="185" t="str">
        <f>IF($J$1="August",Y15,"")</f>
        <v/>
      </c>
      <c r="V16" s="181"/>
      <c r="W16" s="185" t="str">
        <f t="shared" si="1"/>
        <v/>
      </c>
      <c r="X16" s="181"/>
      <c r="Y16" s="185" t="str">
        <f t="shared" si="2"/>
        <v/>
      </c>
      <c r="Z16" s="186"/>
      <c r="AA16" s="161"/>
      <c r="AB16" s="161"/>
      <c r="AC16" s="161"/>
    </row>
    <row r="17" spans="1:29" ht="19.149999999999999" customHeight="1" x14ac:dyDescent="0.2">
      <c r="A17" s="166"/>
      <c r="B17" s="192" t="s">
        <v>116</v>
      </c>
      <c r="C17" s="198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152"/>
      <c r="E17" s="152"/>
      <c r="F17" s="192" t="s">
        <v>117</v>
      </c>
      <c r="G17" s="193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52"/>
      <c r="I17" s="439" t="s">
        <v>13</v>
      </c>
      <c r="J17" s="413"/>
      <c r="K17" s="37">
        <f>K15-K16</f>
        <v>75000</v>
      </c>
      <c r="L17" s="183"/>
      <c r="M17" s="161"/>
      <c r="N17" s="178"/>
      <c r="O17" s="179" t="s">
        <v>118</v>
      </c>
      <c r="P17" s="179"/>
      <c r="Q17" s="179"/>
      <c r="R17" s="179" t="str">
        <f t="shared" si="3"/>
        <v/>
      </c>
      <c r="S17" s="159"/>
      <c r="T17" s="179" t="s">
        <v>118</v>
      </c>
      <c r="U17" s="185" t="str">
        <f>IF($J$1="September",Y16,"")</f>
        <v/>
      </c>
      <c r="V17" s="181"/>
      <c r="W17" s="185" t="str">
        <f t="shared" si="1"/>
        <v/>
      </c>
      <c r="X17" s="181"/>
      <c r="Y17" s="185" t="str">
        <f t="shared" si="2"/>
        <v/>
      </c>
      <c r="Z17" s="186"/>
      <c r="AA17" s="161"/>
      <c r="AB17" s="161"/>
      <c r="AC17" s="161"/>
    </row>
    <row r="18" spans="1:29" ht="19.149999999999999" customHeight="1" x14ac:dyDescent="0.2">
      <c r="A18" s="166"/>
      <c r="B18" s="152"/>
      <c r="C18" s="152"/>
      <c r="D18" s="152"/>
      <c r="E18" s="152"/>
      <c r="F18" s="152"/>
      <c r="G18" s="152"/>
      <c r="H18" s="152"/>
      <c r="I18" s="434"/>
      <c r="J18" s="435"/>
      <c r="K18" s="154"/>
      <c r="L18" s="189"/>
      <c r="M18" s="161"/>
      <c r="N18" s="178"/>
      <c r="O18" s="179" t="s">
        <v>119</v>
      </c>
      <c r="P18" s="179"/>
      <c r="Q18" s="179"/>
      <c r="R18" s="179">
        <v>0</v>
      </c>
      <c r="S18" s="159"/>
      <c r="T18" s="179" t="s">
        <v>119</v>
      </c>
      <c r="U18" s="185" t="str">
        <f>IF($J$1="October",Y17,"")</f>
        <v/>
      </c>
      <c r="V18" s="181"/>
      <c r="W18" s="185" t="str">
        <f t="shared" si="1"/>
        <v/>
      </c>
      <c r="X18" s="181"/>
      <c r="Y18" s="185" t="str">
        <f t="shared" si="2"/>
        <v/>
      </c>
      <c r="Z18" s="186"/>
      <c r="AA18" s="161"/>
      <c r="AB18" s="161"/>
      <c r="AC18" s="161"/>
    </row>
    <row r="19" spans="1:29" ht="19.149999999999999" customHeight="1" x14ac:dyDescent="0.3">
      <c r="A19" s="166"/>
      <c r="B19" s="150"/>
      <c r="C19" s="150"/>
      <c r="D19" s="150"/>
      <c r="E19" s="150"/>
      <c r="F19" s="150"/>
      <c r="G19" s="150"/>
      <c r="H19" s="150"/>
      <c r="I19" s="434"/>
      <c r="J19" s="434"/>
      <c r="K19" s="154"/>
      <c r="L19" s="189"/>
      <c r="M19" s="161"/>
      <c r="N19" s="178"/>
      <c r="O19" s="179" t="s">
        <v>120</v>
      </c>
      <c r="P19" s="179"/>
      <c r="Q19" s="179"/>
      <c r="R19" s="179">
        <v>0</v>
      </c>
      <c r="S19" s="159"/>
      <c r="T19" s="179" t="s">
        <v>120</v>
      </c>
      <c r="U19" s="185" t="str">
        <f>IF($J$1="November",Y18,"")</f>
        <v/>
      </c>
      <c r="V19" s="181"/>
      <c r="W19" s="185" t="str">
        <f t="shared" si="1"/>
        <v/>
      </c>
      <c r="X19" s="181"/>
      <c r="Y19" s="185" t="str">
        <f t="shared" si="2"/>
        <v/>
      </c>
      <c r="Z19" s="186"/>
      <c r="AA19" s="161"/>
      <c r="AB19" s="161"/>
      <c r="AC19" s="161"/>
    </row>
    <row r="20" spans="1:29" ht="19.149999999999999" customHeight="1" thickBot="1" x14ac:dyDescent="0.35">
      <c r="A20" s="200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M20" s="161"/>
      <c r="N20" s="178"/>
      <c r="O20" s="179" t="s">
        <v>121</v>
      </c>
      <c r="P20" s="179"/>
      <c r="Q20" s="179"/>
      <c r="R20" s="179" t="str">
        <f>IF(Q20="","",R19-Q20)</f>
        <v/>
      </c>
      <c r="S20" s="159"/>
      <c r="T20" s="179" t="s">
        <v>121</v>
      </c>
      <c r="U20" s="185" t="str">
        <f>IF($J$1="December",Y19,"")</f>
        <v/>
      </c>
      <c r="V20" s="181"/>
      <c r="W20" s="185" t="str">
        <f t="shared" si="1"/>
        <v/>
      </c>
      <c r="X20" s="181"/>
      <c r="Y20" s="185" t="str">
        <f t="shared" si="2"/>
        <v/>
      </c>
      <c r="Z20" s="186"/>
      <c r="AA20" s="161"/>
      <c r="AB20" s="161"/>
      <c r="AC20" s="161"/>
    </row>
    <row r="21" spans="1:29" ht="23.25" thickBot="1" x14ac:dyDescent="0.25">
      <c r="A21" s="203"/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4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4"/>
      <c r="AB21" s="204"/>
      <c r="AC21" s="204"/>
    </row>
    <row r="22" spans="1:29" ht="23.25" thickBot="1" x14ac:dyDescent="0.25">
      <c r="A22" s="447" t="s">
        <v>89</v>
      </c>
      <c r="B22" s="453"/>
      <c r="C22" s="453"/>
      <c r="D22" s="453"/>
      <c r="E22" s="453"/>
      <c r="F22" s="453"/>
      <c r="G22" s="453"/>
      <c r="H22" s="453"/>
      <c r="I22" s="453"/>
      <c r="J22" s="453"/>
      <c r="K22" s="453"/>
      <c r="L22" s="454"/>
      <c r="M22" s="162"/>
      <c r="N22" s="184"/>
      <c r="O22" s="480" t="s">
        <v>90</v>
      </c>
      <c r="P22" s="412"/>
      <c r="Q22" s="412"/>
      <c r="R22" s="413"/>
      <c r="S22" s="159"/>
      <c r="T22" s="480" t="s">
        <v>91</v>
      </c>
      <c r="U22" s="412"/>
      <c r="V22" s="412"/>
      <c r="W22" s="412"/>
      <c r="X22" s="412"/>
      <c r="Y22" s="413"/>
      <c r="Z22" s="206"/>
      <c r="AA22" s="162"/>
      <c r="AB22" s="161"/>
      <c r="AC22" s="161"/>
    </row>
    <row r="23" spans="1:29" ht="22.5" x14ac:dyDescent="0.2">
      <c r="A23" s="166"/>
      <c r="B23" s="152"/>
      <c r="C23" s="443" t="s">
        <v>122</v>
      </c>
      <c r="D23" s="435"/>
      <c r="E23" s="435"/>
      <c r="F23" s="435"/>
      <c r="G23" s="167" t="str">
        <f>$J$1</f>
        <v>August</v>
      </c>
      <c r="H23" s="444">
        <f>$K$1</f>
        <v>2024</v>
      </c>
      <c r="I23" s="435"/>
      <c r="J23" s="152"/>
      <c r="K23" s="168"/>
      <c r="L23" s="169"/>
      <c r="M23" s="170"/>
      <c r="N23" s="171"/>
      <c r="O23" s="172" t="s">
        <v>93</v>
      </c>
      <c r="P23" s="172" t="s">
        <v>94</v>
      </c>
      <c r="Q23" s="172" t="s">
        <v>95</v>
      </c>
      <c r="R23" s="172" t="s">
        <v>96</v>
      </c>
      <c r="S23" s="173"/>
      <c r="T23" s="172" t="s">
        <v>93</v>
      </c>
      <c r="U23" s="172" t="s">
        <v>97</v>
      </c>
      <c r="V23" s="172" t="s">
        <v>9</v>
      </c>
      <c r="W23" s="172" t="s">
        <v>10</v>
      </c>
      <c r="X23" s="172" t="s">
        <v>11</v>
      </c>
      <c r="Y23" s="172" t="s">
        <v>98</v>
      </c>
      <c r="Z23" s="174"/>
      <c r="AA23" s="170"/>
      <c r="AB23" s="161"/>
      <c r="AC23" s="161"/>
    </row>
    <row r="24" spans="1:29" ht="22.5" x14ac:dyDescent="0.2">
      <c r="A24" s="166"/>
      <c r="B24" s="152"/>
      <c r="C24" s="152"/>
      <c r="D24" s="175"/>
      <c r="E24" s="175"/>
      <c r="F24" s="175"/>
      <c r="G24" s="175"/>
      <c r="H24" s="175"/>
      <c r="I24" s="152"/>
      <c r="J24" s="176" t="s">
        <v>99</v>
      </c>
      <c r="K24" s="154">
        <v>6000</v>
      </c>
      <c r="L24" s="177"/>
      <c r="M24" s="161"/>
      <c r="N24" s="178"/>
      <c r="O24" s="179" t="s">
        <v>100</v>
      </c>
      <c r="P24" s="179"/>
      <c r="Q24" s="179"/>
      <c r="R24" s="179"/>
      <c r="S24" s="180"/>
      <c r="T24" s="179" t="s">
        <v>100</v>
      </c>
      <c r="U24" s="181"/>
      <c r="V24" s="181"/>
      <c r="W24" s="181">
        <f>V24+U24</f>
        <v>0</v>
      </c>
      <c r="X24" s="181"/>
      <c r="Y24" s="181">
        <f>W24-X24</f>
        <v>0</v>
      </c>
      <c r="Z24" s="174"/>
      <c r="AA24" s="161"/>
      <c r="AB24" s="161"/>
      <c r="AC24" s="161"/>
    </row>
    <row r="25" spans="1:29" ht="22.5" x14ac:dyDescent="0.2">
      <c r="A25" s="166"/>
      <c r="B25" s="152" t="s">
        <v>101</v>
      </c>
      <c r="C25" s="151" t="s">
        <v>310</v>
      </c>
      <c r="D25" s="152"/>
      <c r="E25" s="152"/>
      <c r="F25" s="152"/>
      <c r="G25" s="152"/>
      <c r="H25" s="182"/>
      <c r="I25" s="175"/>
      <c r="J25" s="152"/>
      <c r="K25" s="152"/>
      <c r="L25" s="183"/>
      <c r="M25" s="162"/>
      <c r="N25" s="184"/>
      <c r="O25" s="179" t="s">
        <v>102</v>
      </c>
      <c r="P25" s="179"/>
      <c r="Q25" s="179"/>
      <c r="R25" s="179"/>
      <c r="S25" s="159"/>
      <c r="T25" s="179" t="s">
        <v>102</v>
      </c>
      <c r="U25" s="185">
        <f>Y24</f>
        <v>0</v>
      </c>
      <c r="V25" s="181">
        <v>1000</v>
      </c>
      <c r="W25" s="185">
        <f t="shared" ref="W25:W26" si="4">IF(U25="","",U25+V25)</f>
        <v>1000</v>
      </c>
      <c r="X25" s="181">
        <v>1000</v>
      </c>
      <c r="Y25" s="185">
        <f t="shared" ref="Y25:Y35" si="5">IF(W25="","",W25-X25)</f>
        <v>0</v>
      </c>
      <c r="Z25" s="186"/>
      <c r="AA25" s="162"/>
      <c r="AB25" s="161"/>
      <c r="AC25" s="161"/>
    </row>
    <row r="26" spans="1:29" ht="22.5" x14ac:dyDescent="0.2">
      <c r="A26" s="166"/>
      <c r="B26" s="187" t="s">
        <v>103</v>
      </c>
      <c r="C26" s="188"/>
      <c r="D26" s="152"/>
      <c r="E26" s="152"/>
      <c r="F26" s="439" t="s">
        <v>91</v>
      </c>
      <c r="G26" s="413"/>
      <c r="H26" s="152"/>
      <c r="I26" s="439" t="s">
        <v>104</v>
      </c>
      <c r="J26" s="412"/>
      <c r="K26" s="413"/>
      <c r="L26" s="189"/>
      <c r="M26" s="161"/>
      <c r="N26" s="178"/>
      <c r="O26" s="179" t="s">
        <v>105</v>
      </c>
      <c r="P26" s="179"/>
      <c r="Q26" s="179"/>
      <c r="R26" s="179" t="str">
        <f t="shared" ref="R26:R31" si="6">IF(Q26="","",R25-Q26)</f>
        <v/>
      </c>
      <c r="S26" s="159"/>
      <c r="T26" s="179" t="s">
        <v>105</v>
      </c>
      <c r="U26" s="185"/>
      <c r="V26" s="181"/>
      <c r="W26" s="185" t="str">
        <f t="shared" si="4"/>
        <v/>
      </c>
      <c r="X26" s="181"/>
      <c r="Y26" s="185" t="str">
        <f t="shared" si="5"/>
        <v/>
      </c>
      <c r="Z26" s="186"/>
      <c r="AA26" s="161"/>
      <c r="AB26" s="161"/>
      <c r="AC26" s="161"/>
    </row>
    <row r="27" spans="1:29" ht="22.5" x14ac:dyDescent="0.2">
      <c r="A27" s="166"/>
      <c r="B27" s="152"/>
      <c r="C27" s="152"/>
      <c r="D27" s="152"/>
      <c r="E27" s="152"/>
      <c r="F27" s="152"/>
      <c r="G27" s="152"/>
      <c r="H27" s="190"/>
      <c r="I27" s="152"/>
      <c r="J27" s="152"/>
      <c r="K27" s="152"/>
      <c r="L27" s="191"/>
      <c r="M27" s="161"/>
      <c r="N27" s="178"/>
      <c r="O27" s="179" t="s">
        <v>106</v>
      </c>
      <c r="P27" s="179"/>
      <c r="Q27" s="179"/>
      <c r="R27" s="179" t="str">
        <f t="shared" si="6"/>
        <v/>
      </c>
      <c r="S27" s="159"/>
      <c r="T27" s="179" t="s">
        <v>106</v>
      </c>
      <c r="U27" s="185"/>
      <c r="V27" s="181"/>
      <c r="W27" s="185">
        <f>V27+U27</f>
        <v>0</v>
      </c>
      <c r="X27" s="181"/>
      <c r="Y27" s="185">
        <f t="shared" si="5"/>
        <v>0</v>
      </c>
      <c r="Z27" s="186"/>
      <c r="AA27" s="161"/>
      <c r="AB27" s="161"/>
      <c r="AC27" s="161"/>
    </row>
    <row r="28" spans="1:29" ht="22.5" x14ac:dyDescent="0.2">
      <c r="A28" s="166"/>
      <c r="B28" s="445" t="s">
        <v>90</v>
      </c>
      <c r="C28" s="413"/>
      <c r="D28" s="152"/>
      <c r="E28" s="152"/>
      <c r="F28" s="192" t="s">
        <v>107</v>
      </c>
      <c r="G28" s="193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90"/>
      <c r="I28" s="194"/>
      <c r="J28" s="195" t="s">
        <v>108</v>
      </c>
      <c r="K28" s="196">
        <v>6000</v>
      </c>
      <c r="L28" s="197"/>
      <c r="M28" s="161"/>
      <c r="N28" s="178"/>
      <c r="O28" s="179" t="s">
        <v>109</v>
      </c>
      <c r="P28" s="179"/>
      <c r="Q28" s="179"/>
      <c r="R28" s="179" t="str">
        <f t="shared" si="6"/>
        <v/>
      </c>
      <c r="S28" s="159"/>
      <c r="T28" s="179" t="s">
        <v>109</v>
      </c>
      <c r="U28" s="185">
        <f t="shared" ref="U28:U29" si="7">Y27</f>
        <v>0</v>
      </c>
      <c r="V28" s="181"/>
      <c r="W28" s="185">
        <f t="shared" ref="W28:W35" si="8">IF(U28="","",U28+V28)</f>
        <v>0</v>
      </c>
      <c r="X28" s="181"/>
      <c r="Y28" s="185">
        <f t="shared" si="5"/>
        <v>0</v>
      </c>
      <c r="Z28" s="186"/>
      <c r="AA28" s="161"/>
      <c r="AB28" s="161"/>
      <c r="AC28" s="161"/>
    </row>
    <row r="29" spans="1:29" ht="22.5" x14ac:dyDescent="0.2">
      <c r="A29" s="166"/>
      <c r="B29" s="198"/>
      <c r="C29" s="198"/>
      <c r="D29" s="152"/>
      <c r="E29" s="152"/>
      <c r="F29" s="192" t="s">
        <v>9</v>
      </c>
      <c r="G29" s="19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90"/>
      <c r="I29" s="194"/>
      <c r="J29" s="195" t="s">
        <v>110</v>
      </c>
      <c r="K29" s="193">
        <f>K24/$K$2/8*I29</f>
        <v>0</v>
      </c>
      <c r="L29" s="199"/>
      <c r="M29" s="161"/>
      <c r="N29" s="178"/>
      <c r="O29" s="179" t="s">
        <v>85</v>
      </c>
      <c r="P29" s="179"/>
      <c r="Q29" s="179"/>
      <c r="R29" s="179" t="str">
        <f t="shared" si="6"/>
        <v/>
      </c>
      <c r="S29" s="159"/>
      <c r="T29" s="179" t="s">
        <v>85</v>
      </c>
      <c r="U29" s="185">
        <f t="shared" si="7"/>
        <v>0</v>
      </c>
      <c r="V29" s="181"/>
      <c r="W29" s="185">
        <f t="shared" si="8"/>
        <v>0</v>
      </c>
      <c r="X29" s="181">
        <v>5000</v>
      </c>
      <c r="Y29" s="185">
        <f t="shared" si="5"/>
        <v>-5000</v>
      </c>
      <c r="Z29" s="186"/>
      <c r="AA29" s="161"/>
      <c r="AB29" s="161"/>
      <c r="AC29" s="161"/>
    </row>
    <row r="30" spans="1:29" ht="22.5" x14ac:dyDescent="0.2">
      <c r="A30" s="166"/>
      <c r="B30" s="192" t="s">
        <v>94</v>
      </c>
      <c r="C30" s="198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52"/>
      <c r="E30" s="152"/>
      <c r="F30" s="192" t="s">
        <v>111</v>
      </c>
      <c r="G30" s="193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90"/>
      <c r="I30" s="446" t="s">
        <v>112</v>
      </c>
      <c r="J30" s="413"/>
      <c r="K30" s="193">
        <f>K28+K29</f>
        <v>6000</v>
      </c>
      <c r="L30" s="199"/>
      <c r="M30" s="161"/>
      <c r="N30" s="178"/>
      <c r="O30" s="179" t="s">
        <v>113</v>
      </c>
      <c r="P30" s="179"/>
      <c r="Q30" s="179"/>
      <c r="R30" s="179" t="str">
        <f t="shared" si="6"/>
        <v/>
      </c>
      <c r="S30" s="159"/>
      <c r="T30" s="179" t="s">
        <v>113</v>
      </c>
      <c r="U30" s="185"/>
      <c r="V30" s="181"/>
      <c r="W30" s="185" t="str">
        <f t="shared" si="8"/>
        <v/>
      </c>
      <c r="X30" s="181"/>
      <c r="Y30" s="185" t="str">
        <f t="shared" si="5"/>
        <v/>
      </c>
      <c r="Z30" s="186"/>
      <c r="AA30" s="161"/>
      <c r="AB30" s="161"/>
      <c r="AC30" s="161"/>
    </row>
    <row r="31" spans="1:29" ht="22.5" x14ac:dyDescent="0.2">
      <c r="A31" s="166"/>
      <c r="B31" s="192" t="s">
        <v>95</v>
      </c>
      <c r="C31" s="198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52"/>
      <c r="E31" s="152"/>
      <c r="F31" s="192" t="s">
        <v>11</v>
      </c>
      <c r="G31" s="19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90"/>
      <c r="I31" s="446" t="s">
        <v>114</v>
      </c>
      <c r="J31" s="413"/>
      <c r="K31" s="193"/>
      <c r="L31" s="199"/>
      <c r="M31" s="161"/>
      <c r="N31" s="178"/>
      <c r="O31" s="179" t="s">
        <v>115</v>
      </c>
      <c r="P31" s="179"/>
      <c r="Q31" s="179"/>
      <c r="R31" s="179" t="str">
        <f t="shared" si="6"/>
        <v/>
      </c>
      <c r="S31" s="159"/>
      <c r="T31" s="179" t="s">
        <v>115</v>
      </c>
      <c r="U31" s="185"/>
      <c r="V31" s="181"/>
      <c r="W31" s="185" t="str">
        <f t="shared" si="8"/>
        <v/>
      </c>
      <c r="X31" s="181"/>
      <c r="Y31" s="185" t="str">
        <f t="shared" si="5"/>
        <v/>
      </c>
      <c r="Z31" s="186"/>
      <c r="AA31" s="161"/>
      <c r="AB31" s="161"/>
      <c r="AC31" s="161"/>
    </row>
    <row r="32" spans="1:29" ht="22.5" x14ac:dyDescent="0.2">
      <c r="A32" s="166"/>
      <c r="B32" s="192" t="s">
        <v>116</v>
      </c>
      <c r="C32" s="198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52"/>
      <c r="E32" s="152"/>
      <c r="F32" s="192" t="s">
        <v>117</v>
      </c>
      <c r="G32" s="193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52"/>
      <c r="I32" s="439" t="s">
        <v>13</v>
      </c>
      <c r="J32" s="413"/>
      <c r="K32" s="37">
        <f>K30-K31</f>
        <v>6000</v>
      </c>
      <c r="L32" s="183"/>
      <c r="M32" s="161"/>
      <c r="N32" s="178"/>
      <c r="O32" s="179" t="s">
        <v>118</v>
      </c>
      <c r="P32" s="179"/>
      <c r="Q32" s="179"/>
      <c r="R32" s="179">
        <v>0</v>
      </c>
      <c r="S32" s="159"/>
      <c r="T32" s="179" t="s">
        <v>118</v>
      </c>
      <c r="U32" s="185" t="str">
        <f>IF($J$1="September",Y31,"")</f>
        <v/>
      </c>
      <c r="V32" s="181"/>
      <c r="W32" s="185" t="str">
        <f t="shared" si="8"/>
        <v/>
      </c>
      <c r="X32" s="181"/>
      <c r="Y32" s="185" t="str">
        <f t="shared" si="5"/>
        <v/>
      </c>
      <c r="Z32" s="186"/>
      <c r="AA32" s="161"/>
      <c r="AB32" s="161"/>
      <c r="AC32" s="161"/>
    </row>
    <row r="33" spans="1:29" ht="22.5" x14ac:dyDescent="0.2">
      <c r="A33" s="166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89"/>
      <c r="M33" s="161"/>
      <c r="N33" s="178"/>
      <c r="O33" s="179" t="s">
        <v>119</v>
      </c>
      <c r="P33" s="179"/>
      <c r="Q33" s="179"/>
      <c r="R33" s="179">
        <v>0</v>
      </c>
      <c r="S33" s="159"/>
      <c r="T33" s="179" t="s">
        <v>119</v>
      </c>
      <c r="U33" s="185" t="str">
        <f>IF($J$1="October",Y32,"")</f>
        <v/>
      </c>
      <c r="V33" s="181"/>
      <c r="W33" s="185" t="str">
        <f t="shared" si="8"/>
        <v/>
      </c>
      <c r="X33" s="181"/>
      <c r="Y33" s="185" t="str">
        <f t="shared" si="5"/>
        <v/>
      </c>
      <c r="Z33" s="186"/>
      <c r="AA33" s="161"/>
      <c r="AB33" s="161"/>
      <c r="AC33" s="161"/>
    </row>
    <row r="34" spans="1:29" ht="22.5" x14ac:dyDescent="0.3">
      <c r="A34" s="166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89"/>
      <c r="M34" s="161"/>
      <c r="N34" s="178"/>
      <c r="O34" s="179" t="s">
        <v>120</v>
      </c>
      <c r="P34" s="179"/>
      <c r="Q34" s="179"/>
      <c r="R34" s="179" t="str">
        <f t="shared" ref="R34:R35" si="9">IF(Q34="","",R33-Q34)</f>
        <v/>
      </c>
      <c r="S34" s="159"/>
      <c r="T34" s="179" t="s">
        <v>120</v>
      </c>
      <c r="U34" s="185"/>
      <c r="V34" s="181"/>
      <c r="W34" s="185" t="str">
        <f t="shared" si="8"/>
        <v/>
      </c>
      <c r="X34" s="181"/>
      <c r="Y34" s="185" t="str">
        <f t="shared" si="5"/>
        <v/>
      </c>
      <c r="Z34" s="186"/>
      <c r="AA34" s="161"/>
      <c r="AB34" s="161"/>
      <c r="AC34" s="161"/>
    </row>
    <row r="35" spans="1:29" ht="23.25" thickBot="1" x14ac:dyDescent="0.35">
      <c r="A35" s="200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2"/>
      <c r="M35" s="161"/>
      <c r="N35" s="178"/>
      <c r="O35" s="179" t="s">
        <v>121</v>
      </c>
      <c r="P35" s="179"/>
      <c r="Q35" s="179"/>
      <c r="R35" s="179" t="str">
        <f t="shared" si="9"/>
        <v/>
      </c>
      <c r="S35" s="159"/>
      <c r="T35" s="179" t="s">
        <v>121</v>
      </c>
      <c r="U35" s="185"/>
      <c r="V35" s="181"/>
      <c r="W35" s="185" t="str">
        <f t="shared" si="8"/>
        <v/>
      </c>
      <c r="X35" s="181"/>
      <c r="Y35" s="185" t="str">
        <f t="shared" si="5"/>
        <v/>
      </c>
      <c r="Z35" s="186"/>
      <c r="AA35" s="161"/>
      <c r="AB35" s="161"/>
      <c r="AC35" s="161"/>
    </row>
    <row r="36" spans="1:29" ht="23.25" thickBot="1" x14ac:dyDescent="0.25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4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4"/>
      <c r="AB36" s="204"/>
      <c r="AC36" s="204"/>
    </row>
    <row r="37" spans="1:29" ht="23.25" thickBot="1" x14ac:dyDescent="0.25">
      <c r="A37" s="447" t="s">
        <v>89</v>
      </c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4"/>
      <c r="M37" s="162"/>
      <c r="N37" s="163"/>
      <c r="O37" s="440" t="s">
        <v>90</v>
      </c>
      <c r="P37" s="441"/>
      <c r="Q37" s="441"/>
      <c r="R37" s="442"/>
      <c r="S37" s="164"/>
      <c r="T37" s="440" t="s">
        <v>91</v>
      </c>
      <c r="U37" s="441"/>
      <c r="V37" s="441"/>
      <c r="W37" s="441"/>
      <c r="X37" s="441"/>
      <c r="Y37" s="442"/>
      <c r="Z37" s="165"/>
      <c r="AA37" s="162"/>
      <c r="AB37" s="161"/>
      <c r="AC37" s="161"/>
    </row>
    <row r="38" spans="1:29" ht="22.5" x14ac:dyDescent="0.2">
      <c r="A38" s="166"/>
      <c r="B38" s="152"/>
      <c r="C38" s="443" t="s">
        <v>123</v>
      </c>
      <c r="D38" s="435"/>
      <c r="E38" s="435"/>
      <c r="F38" s="435"/>
      <c r="G38" s="167" t="str">
        <f>$J$1</f>
        <v>August</v>
      </c>
      <c r="H38" s="444">
        <f>$K$1</f>
        <v>2024</v>
      </c>
      <c r="I38" s="435"/>
      <c r="J38" s="152"/>
      <c r="K38" s="168"/>
      <c r="L38" s="169"/>
      <c r="M38" s="170"/>
      <c r="N38" s="171"/>
      <c r="O38" s="172" t="s">
        <v>93</v>
      </c>
      <c r="P38" s="172" t="s">
        <v>94</v>
      </c>
      <c r="Q38" s="172" t="s">
        <v>95</v>
      </c>
      <c r="R38" s="172" t="s">
        <v>96</v>
      </c>
      <c r="S38" s="173"/>
      <c r="T38" s="172" t="s">
        <v>93</v>
      </c>
      <c r="U38" s="172" t="s">
        <v>97</v>
      </c>
      <c r="V38" s="172" t="s">
        <v>9</v>
      </c>
      <c r="W38" s="172" t="s">
        <v>10</v>
      </c>
      <c r="X38" s="172" t="s">
        <v>11</v>
      </c>
      <c r="Y38" s="172" t="s">
        <v>98</v>
      </c>
      <c r="Z38" s="174"/>
      <c r="AA38" s="170"/>
      <c r="AB38" s="161"/>
      <c r="AC38" s="161"/>
    </row>
    <row r="39" spans="1:29" ht="22.5" x14ac:dyDescent="0.2">
      <c r="A39" s="166"/>
      <c r="B39" s="152"/>
      <c r="C39" s="152"/>
      <c r="D39" s="175"/>
      <c r="E39" s="175"/>
      <c r="F39" s="175"/>
      <c r="G39" s="175"/>
      <c r="H39" s="175"/>
      <c r="I39" s="152"/>
      <c r="J39" s="176" t="s">
        <v>99</v>
      </c>
      <c r="K39" s="154">
        <v>23000</v>
      </c>
      <c r="L39" s="177"/>
      <c r="M39" s="161"/>
      <c r="N39" s="178"/>
      <c r="O39" s="179" t="s">
        <v>100</v>
      </c>
      <c r="P39" s="179"/>
      <c r="Q39" s="179"/>
      <c r="R39" s="179"/>
      <c r="S39" s="180"/>
      <c r="T39" s="179" t="s">
        <v>100</v>
      </c>
      <c r="U39" s="181"/>
      <c r="V39" s="181">
        <v>15000</v>
      </c>
      <c r="W39" s="181">
        <f t="shared" ref="W39:W41" si="10">V39+U39</f>
        <v>15000</v>
      </c>
      <c r="X39" s="181">
        <v>7000</v>
      </c>
      <c r="Y39" s="181">
        <f>W39-X39</f>
        <v>8000</v>
      </c>
      <c r="Z39" s="174"/>
      <c r="AA39" s="161"/>
      <c r="AB39" s="161"/>
      <c r="AC39" s="161"/>
    </row>
    <row r="40" spans="1:29" ht="22.5" x14ac:dyDescent="0.2">
      <c r="A40" s="166"/>
      <c r="B40" s="152" t="s">
        <v>101</v>
      </c>
      <c r="C40" s="151" t="s">
        <v>124</v>
      </c>
      <c r="D40" s="152"/>
      <c r="E40" s="152"/>
      <c r="F40" s="152"/>
      <c r="G40" s="152"/>
      <c r="H40" s="182"/>
      <c r="I40" s="175"/>
      <c r="J40" s="152"/>
      <c r="K40" s="152"/>
      <c r="L40" s="183"/>
      <c r="M40" s="162"/>
      <c r="N40" s="184"/>
      <c r="O40" s="179" t="s">
        <v>102</v>
      </c>
      <c r="P40" s="179"/>
      <c r="Q40" s="179"/>
      <c r="R40" s="179"/>
      <c r="S40" s="159"/>
      <c r="T40" s="179" t="s">
        <v>102</v>
      </c>
      <c r="U40" s="185">
        <f t="shared" ref="U40:U44" si="11">Y39</f>
        <v>8000</v>
      </c>
      <c r="V40" s="181"/>
      <c r="W40" s="181">
        <f t="shared" si="10"/>
        <v>8000</v>
      </c>
      <c r="X40" s="181">
        <v>1000</v>
      </c>
      <c r="Y40" s="185">
        <f t="shared" ref="Y40:Y50" si="12">IF(W40="","",W40-X40)</f>
        <v>7000</v>
      </c>
      <c r="Z40" s="186"/>
      <c r="AA40" s="162"/>
      <c r="AB40" s="161"/>
      <c r="AC40" s="161"/>
    </row>
    <row r="41" spans="1:29" ht="22.5" x14ac:dyDescent="0.2">
      <c r="A41" s="166"/>
      <c r="B41" s="187" t="s">
        <v>103</v>
      </c>
      <c r="C41" s="188"/>
      <c r="D41" s="152"/>
      <c r="E41" s="152"/>
      <c r="F41" s="439" t="s">
        <v>91</v>
      </c>
      <c r="G41" s="413"/>
      <c r="H41" s="152"/>
      <c r="I41" s="439" t="s">
        <v>104</v>
      </c>
      <c r="J41" s="412"/>
      <c r="K41" s="413"/>
      <c r="L41" s="189"/>
      <c r="M41" s="161"/>
      <c r="N41" s="178"/>
      <c r="O41" s="179" t="s">
        <v>105</v>
      </c>
      <c r="P41" s="179"/>
      <c r="Q41" s="179"/>
      <c r="R41" s="179" t="str">
        <f t="shared" ref="R41:R43" si="13">IF(Q41="","",R40-Q41)</f>
        <v/>
      </c>
      <c r="S41" s="159"/>
      <c r="T41" s="179" t="s">
        <v>105</v>
      </c>
      <c r="U41" s="185">
        <f t="shared" si="11"/>
        <v>7000</v>
      </c>
      <c r="V41" s="181"/>
      <c r="W41" s="181">
        <f t="shared" si="10"/>
        <v>7000</v>
      </c>
      <c r="X41" s="181">
        <v>7000</v>
      </c>
      <c r="Y41" s="185">
        <f t="shared" si="12"/>
        <v>0</v>
      </c>
      <c r="Z41" s="186"/>
      <c r="AA41" s="161"/>
      <c r="AB41" s="161"/>
      <c r="AC41" s="161"/>
    </row>
    <row r="42" spans="1:29" ht="22.5" x14ac:dyDescent="0.2">
      <c r="A42" s="166"/>
      <c r="B42" s="152"/>
      <c r="C42" s="152"/>
      <c r="D42" s="152"/>
      <c r="E42" s="152"/>
      <c r="F42" s="152"/>
      <c r="G42" s="152"/>
      <c r="H42" s="190"/>
      <c r="I42" s="152"/>
      <c r="J42" s="152"/>
      <c r="K42" s="152"/>
      <c r="L42" s="191"/>
      <c r="M42" s="161"/>
      <c r="N42" s="178"/>
      <c r="O42" s="179" t="s">
        <v>106</v>
      </c>
      <c r="P42" s="179"/>
      <c r="Q42" s="179"/>
      <c r="R42" s="179" t="str">
        <f t="shared" si="13"/>
        <v/>
      </c>
      <c r="S42" s="159"/>
      <c r="T42" s="179" t="s">
        <v>106</v>
      </c>
      <c r="U42" s="185">
        <f t="shared" si="11"/>
        <v>0</v>
      </c>
      <c r="V42" s="181">
        <v>2000</v>
      </c>
      <c r="W42" s="185">
        <f t="shared" ref="W42:W50" si="14">IF(U42="","",U42+V42)</f>
        <v>2000</v>
      </c>
      <c r="X42" s="181">
        <v>1000</v>
      </c>
      <c r="Y42" s="185">
        <f t="shared" si="12"/>
        <v>1000</v>
      </c>
      <c r="Z42" s="186"/>
      <c r="AA42" s="161"/>
      <c r="AB42" s="161"/>
      <c r="AC42" s="161"/>
    </row>
    <row r="43" spans="1:29" ht="22.5" x14ac:dyDescent="0.2">
      <c r="A43" s="166"/>
      <c r="B43" s="445" t="s">
        <v>90</v>
      </c>
      <c r="C43" s="413"/>
      <c r="D43" s="152"/>
      <c r="E43" s="152"/>
      <c r="F43" s="192" t="s">
        <v>107</v>
      </c>
      <c r="G43" s="193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0</v>
      </c>
      <c r="H43" s="190"/>
      <c r="I43" s="194">
        <f>IF(C47&gt;=C46,$K$2,C45-C46+C47)</f>
        <v>31</v>
      </c>
      <c r="J43" s="195" t="s">
        <v>108</v>
      </c>
      <c r="K43" s="196">
        <f>K39/$K$2*I43</f>
        <v>23000</v>
      </c>
      <c r="L43" s="197"/>
      <c r="M43" s="161"/>
      <c r="N43" s="178"/>
      <c r="O43" s="179" t="s">
        <v>109</v>
      </c>
      <c r="P43" s="179"/>
      <c r="Q43" s="179"/>
      <c r="R43" s="179" t="str">
        <f t="shared" si="13"/>
        <v/>
      </c>
      <c r="S43" s="159"/>
      <c r="T43" s="179" t="s">
        <v>109</v>
      </c>
      <c r="U43" s="185">
        <f t="shared" si="11"/>
        <v>1000</v>
      </c>
      <c r="V43" s="181"/>
      <c r="W43" s="185">
        <f t="shared" si="14"/>
        <v>1000</v>
      </c>
      <c r="X43" s="181"/>
      <c r="Y43" s="185">
        <f t="shared" si="12"/>
        <v>1000</v>
      </c>
      <c r="Z43" s="186"/>
      <c r="AA43" s="161"/>
      <c r="AB43" s="161"/>
      <c r="AC43" s="161"/>
    </row>
    <row r="44" spans="1:29" ht="22.5" x14ac:dyDescent="0.2">
      <c r="A44" s="166"/>
      <c r="B44" s="198"/>
      <c r="C44" s="198"/>
      <c r="D44" s="152"/>
      <c r="E44" s="152"/>
      <c r="F44" s="192" t="s">
        <v>9</v>
      </c>
      <c r="G44" s="193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90"/>
      <c r="I44" s="194"/>
      <c r="J44" s="195" t="s">
        <v>110</v>
      </c>
      <c r="K44" s="193">
        <f>K39/$K$2/8*I44</f>
        <v>0</v>
      </c>
      <c r="L44" s="199"/>
      <c r="M44" s="161"/>
      <c r="N44" s="178"/>
      <c r="O44" s="179" t="s">
        <v>85</v>
      </c>
      <c r="P44" s="179"/>
      <c r="Q44" s="179"/>
      <c r="R44" s="179">
        <v>0</v>
      </c>
      <c r="S44" s="159"/>
      <c r="T44" s="179" t="s">
        <v>85</v>
      </c>
      <c r="U44" s="185">
        <f t="shared" si="11"/>
        <v>1000</v>
      </c>
      <c r="V44" s="181">
        <f>8000+1000</f>
        <v>9000</v>
      </c>
      <c r="W44" s="185">
        <f t="shared" si="14"/>
        <v>10000</v>
      </c>
      <c r="X44" s="181">
        <v>3000</v>
      </c>
      <c r="Y44" s="185">
        <f t="shared" si="12"/>
        <v>7000</v>
      </c>
      <c r="Z44" s="186"/>
      <c r="AA44" s="161"/>
      <c r="AB44" s="161"/>
      <c r="AC44" s="161"/>
    </row>
    <row r="45" spans="1:29" ht="22.5" x14ac:dyDescent="0.2">
      <c r="A45" s="166"/>
      <c r="B45" s="192" t="s">
        <v>94</v>
      </c>
      <c r="C45" s="198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52"/>
      <c r="E45" s="152"/>
      <c r="F45" s="192" t="s">
        <v>111</v>
      </c>
      <c r="G45" s="193" t="str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/>
      </c>
      <c r="H45" s="190"/>
      <c r="I45" s="446" t="s">
        <v>112</v>
      </c>
      <c r="J45" s="413"/>
      <c r="K45" s="193">
        <f>K43+K44</f>
        <v>23000</v>
      </c>
      <c r="L45" s="199"/>
      <c r="M45" s="161"/>
      <c r="N45" s="178"/>
      <c r="O45" s="179" t="s">
        <v>113</v>
      </c>
      <c r="P45" s="179"/>
      <c r="Q45" s="179"/>
      <c r="R45" s="179" t="str">
        <f t="shared" ref="R45:R46" si="15">IF(Q45="","",R44-Q45)</f>
        <v/>
      </c>
      <c r="S45" s="159"/>
      <c r="T45" s="179" t="s">
        <v>113</v>
      </c>
      <c r="U45" s="185">
        <f>Y44</f>
        <v>7000</v>
      </c>
      <c r="V45" s="181"/>
      <c r="W45" s="185">
        <f t="shared" si="14"/>
        <v>7000</v>
      </c>
      <c r="X45" s="181">
        <v>1000</v>
      </c>
      <c r="Y45" s="185">
        <f t="shared" si="12"/>
        <v>6000</v>
      </c>
      <c r="Z45" s="186"/>
      <c r="AA45" s="161"/>
      <c r="AB45" s="161"/>
      <c r="AC45" s="161"/>
    </row>
    <row r="46" spans="1:29" ht="22.5" x14ac:dyDescent="0.2">
      <c r="A46" s="166"/>
      <c r="B46" s="192" t="s">
        <v>95</v>
      </c>
      <c r="C46" s="198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52"/>
      <c r="E46" s="152"/>
      <c r="F46" s="192" t="s">
        <v>11</v>
      </c>
      <c r="G46" s="193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90"/>
      <c r="I46" s="446" t="s">
        <v>114</v>
      </c>
      <c r="J46" s="413"/>
      <c r="K46" s="193">
        <f>G46</f>
        <v>0</v>
      </c>
      <c r="L46" s="199"/>
      <c r="M46" s="161"/>
      <c r="N46" s="178"/>
      <c r="O46" s="179" t="s">
        <v>115</v>
      </c>
      <c r="P46" s="179"/>
      <c r="Q46" s="179"/>
      <c r="R46" s="179" t="str">
        <f t="shared" si="15"/>
        <v/>
      </c>
      <c r="S46" s="159"/>
      <c r="T46" s="179" t="s">
        <v>115</v>
      </c>
      <c r="U46" s="185"/>
      <c r="V46" s="181"/>
      <c r="W46" s="185" t="str">
        <f t="shared" si="14"/>
        <v/>
      </c>
      <c r="X46" s="181"/>
      <c r="Y46" s="185" t="str">
        <f t="shared" si="12"/>
        <v/>
      </c>
      <c r="Z46" s="186"/>
      <c r="AA46" s="161"/>
      <c r="AB46" s="161"/>
      <c r="AC46" s="161"/>
    </row>
    <row r="47" spans="1:29" ht="37.5" x14ac:dyDescent="0.2">
      <c r="A47" s="166"/>
      <c r="B47" s="207" t="s">
        <v>116</v>
      </c>
      <c r="C47" s="198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52"/>
      <c r="E47" s="152"/>
      <c r="F47" s="207" t="s">
        <v>117</v>
      </c>
      <c r="G47" s="193" t="str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/>
      </c>
      <c r="H47" s="152"/>
      <c r="I47" s="439" t="s">
        <v>13</v>
      </c>
      <c r="J47" s="413"/>
      <c r="K47" s="37">
        <f>K45-K46</f>
        <v>23000</v>
      </c>
      <c r="L47" s="183"/>
      <c r="M47" s="161"/>
      <c r="N47" s="178"/>
      <c r="O47" s="179" t="s">
        <v>118</v>
      </c>
      <c r="P47" s="179"/>
      <c r="Q47" s="179"/>
      <c r="R47" s="179">
        <v>0</v>
      </c>
      <c r="S47" s="159"/>
      <c r="T47" s="179" t="s">
        <v>118</v>
      </c>
      <c r="U47" s="185"/>
      <c r="V47" s="181"/>
      <c r="W47" s="185" t="str">
        <f t="shared" si="14"/>
        <v/>
      </c>
      <c r="X47" s="181"/>
      <c r="Y47" s="185" t="str">
        <f t="shared" si="12"/>
        <v/>
      </c>
      <c r="Z47" s="186"/>
      <c r="AA47" s="161"/>
      <c r="AB47" s="161"/>
      <c r="AC47" s="161"/>
    </row>
    <row r="48" spans="1:29" ht="22.5" x14ac:dyDescent="0.2">
      <c r="A48" s="166"/>
      <c r="B48" s="152"/>
      <c r="C48" s="152"/>
      <c r="D48" s="152"/>
      <c r="E48" s="152"/>
      <c r="F48" s="152"/>
      <c r="G48" s="152"/>
      <c r="H48" s="152"/>
      <c r="I48" s="434"/>
      <c r="J48" s="435"/>
      <c r="K48" s="154"/>
      <c r="L48" s="189"/>
      <c r="M48" s="161"/>
      <c r="N48" s="178"/>
      <c r="O48" s="179" t="s">
        <v>119</v>
      </c>
      <c r="P48" s="179"/>
      <c r="Q48" s="179"/>
      <c r="R48" s="179">
        <v>0</v>
      </c>
      <c r="S48" s="159"/>
      <c r="T48" s="179" t="s">
        <v>119</v>
      </c>
      <c r="U48" s="185"/>
      <c r="V48" s="181"/>
      <c r="W48" s="185" t="str">
        <f t="shared" si="14"/>
        <v/>
      </c>
      <c r="X48" s="181"/>
      <c r="Y48" s="185" t="str">
        <f t="shared" si="12"/>
        <v/>
      </c>
      <c r="Z48" s="186"/>
      <c r="AA48" s="161"/>
      <c r="AB48" s="161"/>
      <c r="AC48" s="161"/>
    </row>
    <row r="49" spans="1:29" ht="22.5" x14ac:dyDescent="0.3">
      <c r="A49" s="166"/>
      <c r="B49" s="150"/>
      <c r="C49" s="150"/>
      <c r="D49" s="150"/>
      <c r="E49" s="150"/>
      <c r="F49" s="150"/>
      <c r="G49" s="150"/>
      <c r="H49" s="150"/>
      <c r="I49" s="434"/>
      <c r="J49" s="434"/>
      <c r="K49" s="154"/>
      <c r="L49" s="189"/>
      <c r="M49" s="161"/>
      <c r="N49" s="178"/>
      <c r="O49" s="179" t="s">
        <v>120</v>
      </c>
      <c r="P49" s="179"/>
      <c r="Q49" s="179"/>
      <c r="R49" s="179" t="str">
        <f t="shared" ref="R49:R50" si="16">IF(Q49="","",R48-Q49)</f>
        <v/>
      </c>
      <c r="S49" s="159"/>
      <c r="T49" s="179" t="s">
        <v>120</v>
      </c>
      <c r="U49" s="185"/>
      <c r="V49" s="181"/>
      <c r="W49" s="185" t="str">
        <f t="shared" si="14"/>
        <v/>
      </c>
      <c r="X49" s="181"/>
      <c r="Y49" s="185" t="str">
        <f t="shared" si="12"/>
        <v/>
      </c>
      <c r="Z49" s="186"/>
      <c r="AA49" s="161"/>
      <c r="AB49" s="161"/>
      <c r="AC49" s="161"/>
    </row>
    <row r="50" spans="1:29" ht="23.25" thickBot="1" x14ac:dyDescent="0.35">
      <c r="A50" s="200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2"/>
      <c r="M50" s="161"/>
      <c r="N50" s="178"/>
      <c r="O50" s="179" t="s">
        <v>121</v>
      </c>
      <c r="P50" s="179"/>
      <c r="Q50" s="179"/>
      <c r="R50" s="179" t="str">
        <f t="shared" si="16"/>
        <v/>
      </c>
      <c r="S50" s="159"/>
      <c r="T50" s="179" t="s">
        <v>121</v>
      </c>
      <c r="U50" s="185"/>
      <c r="V50" s="181"/>
      <c r="W50" s="185" t="str">
        <f t="shared" si="14"/>
        <v/>
      </c>
      <c r="X50" s="181"/>
      <c r="Y50" s="185" t="str">
        <f t="shared" si="12"/>
        <v/>
      </c>
      <c r="Z50" s="186"/>
      <c r="AA50" s="161"/>
      <c r="AB50" s="161"/>
      <c r="AC50" s="161"/>
    </row>
    <row r="51" spans="1:29" ht="23.25" thickBot="1" x14ac:dyDescent="0.25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4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4"/>
      <c r="AB51" s="204"/>
      <c r="AC51" s="204"/>
    </row>
    <row r="52" spans="1:29" ht="23.25" thickBot="1" x14ac:dyDescent="0.25">
      <c r="A52" s="447" t="s">
        <v>89</v>
      </c>
      <c r="B52" s="453"/>
      <c r="C52" s="453"/>
      <c r="D52" s="453"/>
      <c r="E52" s="453"/>
      <c r="F52" s="453"/>
      <c r="G52" s="453"/>
      <c r="H52" s="453"/>
      <c r="I52" s="453"/>
      <c r="J52" s="453"/>
      <c r="K52" s="453"/>
      <c r="L52" s="454"/>
      <c r="M52" s="162"/>
      <c r="N52" s="163"/>
      <c r="O52" s="440" t="s">
        <v>90</v>
      </c>
      <c r="P52" s="441"/>
      <c r="Q52" s="441"/>
      <c r="R52" s="442"/>
      <c r="S52" s="164"/>
      <c r="T52" s="440" t="s">
        <v>91</v>
      </c>
      <c r="U52" s="441"/>
      <c r="V52" s="441"/>
      <c r="W52" s="441"/>
      <c r="X52" s="441"/>
      <c r="Y52" s="442"/>
      <c r="Z52" s="165"/>
      <c r="AA52" s="162"/>
      <c r="AB52" s="161"/>
      <c r="AC52" s="161"/>
    </row>
    <row r="53" spans="1:29" ht="22.5" x14ac:dyDescent="0.2">
      <c r="A53" s="166"/>
      <c r="B53" s="152"/>
      <c r="C53" s="443" t="s">
        <v>125</v>
      </c>
      <c r="D53" s="435"/>
      <c r="E53" s="435"/>
      <c r="F53" s="435"/>
      <c r="G53" s="167" t="str">
        <f>$J$1</f>
        <v>August</v>
      </c>
      <c r="H53" s="444">
        <f>$K$1</f>
        <v>2024</v>
      </c>
      <c r="I53" s="435"/>
      <c r="J53" s="152"/>
      <c r="K53" s="168"/>
      <c r="L53" s="169"/>
      <c r="M53" s="170"/>
      <c r="N53" s="171"/>
      <c r="O53" s="172" t="s">
        <v>93</v>
      </c>
      <c r="P53" s="172" t="s">
        <v>94</v>
      </c>
      <c r="Q53" s="172" t="s">
        <v>95</v>
      </c>
      <c r="R53" s="172" t="s">
        <v>96</v>
      </c>
      <c r="S53" s="173"/>
      <c r="T53" s="172" t="s">
        <v>93</v>
      </c>
      <c r="U53" s="172" t="s">
        <v>97</v>
      </c>
      <c r="V53" s="172" t="s">
        <v>9</v>
      </c>
      <c r="W53" s="172" t="s">
        <v>10</v>
      </c>
      <c r="X53" s="172" t="s">
        <v>11</v>
      </c>
      <c r="Y53" s="172" t="s">
        <v>98</v>
      </c>
      <c r="Z53" s="174"/>
      <c r="AA53" s="170"/>
      <c r="AB53" s="161"/>
      <c r="AC53" s="161"/>
    </row>
    <row r="54" spans="1:29" ht="22.5" x14ac:dyDescent="0.2">
      <c r="A54" s="166"/>
      <c r="B54" s="152"/>
      <c r="C54" s="152"/>
      <c r="D54" s="175"/>
      <c r="E54" s="175"/>
      <c r="F54" s="175"/>
      <c r="G54" s="175"/>
      <c r="H54" s="175"/>
      <c r="I54" s="152"/>
      <c r="J54" s="176" t="s">
        <v>99</v>
      </c>
      <c r="K54" s="154">
        <f>40000+5000+2000+5000</f>
        <v>52000</v>
      </c>
      <c r="L54" s="177"/>
      <c r="M54" s="161"/>
      <c r="N54" s="178"/>
      <c r="O54" s="179" t="s">
        <v>100</v>
      </c>
      <c r="P54" s="179">
        <v>28</v>
      </c>
      <c r="Q54" s="179">
        <v>3</v>
      </c>
      <c r="R54" s="179">
        <f>15-Q54</f>
        <v>12</v>
      </c>
      <c r="S54" s="180"/>
      <c r="T54" s="179" t="s">
        <v>100</v>
      </c>
      <c r="U54" s="181"/>
      <c r="V54" s="181"/>
      <c r="W54" s="181">
        <f>V54+U54</f>
        <v>0</v>
      </c>
      <c r="X54" s="181"/>
      <c r="Y54" s="181">
        <f>W54-X54</f>
        <v>0</v>
      </c>
      <c r="Z54" s="174"/>
      <c r="AA54" s="161"/>
      <c r="AB54" s="161"/>
      <c r="AC54" s="161"/>
    </row>
    <row r="55" spans="1:29" ht="22.5" x14ac:dyDescent="0.2">
      <c r="A55" s="166"/>
      <c r="B55" s="152" t="s">
        <v>101</v>
      </c>
      <c r="C55" s="151" t="s">
        <v>126</v>
      </c>
      <c r="D55" s="152"/>
      <c r="E55" s="152"/>
      <c r="F55" s="152"/>
      <c r="G55" s="152"/>
      <c r="H55" s="182"/>
      <c r="I55" s="175"/>
      <c r="J55" s="152"/>
      <c r="K55" s="152"/>
      <c r="L55" s="183"/>
      <c r="M55" s="162"/>
      <c r="N55" s="184"/>
      <c r="O55" s="179" t="s">
        <v>102</v>
      </c>
      <c r="P55" s="179">
        <v>29</v>
      </c>
      <c r="Q55" s="179">
        <v>0</v>
      </c>
      <c r="R55" s="179">
        <f t="shared" ref="R55:R63" si="17">IF(Q55="","",R54-Q55)</f>
        <v>12</v>
      </c>
      <c r="S55" s="159"/>
      <c r="T55" s="179" t="s">
        <v>102</v>
      </c>
      <c r="U55" s="185">
        <f t="shared" ref="U55:U60" si="18">Y54</f>
        <v>0</v>
      </c>
      <c r="V55" s="181"/>
      <c r="W55" s="185">
        <f t="shared" ref="W55:W65" si="19">IF(U55="","",U55+V55)</f>
        <v>0</v>
      </c>
      <c r="X55" s="181"/>
      <c r="Y55" s="185">
        <f t="shared" ref="Y55:Y65" si="20">IF(W55="","",W55-X55)</f>
        <v>0</v>
      </c>
      <c r="Z55" s="186"/>
      <c r="AA55" s="162"/>
      <c r="AB55" s="161"/>
      <c r="AC55" s="161"/>
    </row>
    <row r="56" spans="1:29" ht="22.5" x14ac:dyDescent="0.2">
      <c r="A56" s="166"/>
      <c r="B56" s="187" t="s">
        <v>103</v>
      </c>
      <c r="C56" s="188"/>
      <c r="D56" s="152"/>
      <c r="E56" s="152"/>
      <c r="F56" s="439" t="s">
        <v>91</v>
      </c>
      <c r="G56" s="413"/>
      <c r="H56" s="152"/>
      <c r="I56" s="439" t="s">
        <v>104</v>
      </c>
      <c r="J56" s="412"/>
      <c r="K56" s="413"/>
      <c r="L56" s="189"/>
      <c r="M56" s="161"/>
      <c r="N56" s="178"/>
      <c r="O56" s="179" t="s">
        <v>105</v>
      </c>
      <c r="P56" s="179">
        <v>30</v>
      </c>
      <c r="Q56" s="179">
        <v>1</v>
      </c>
      <c r="R56" s="179">
        <f t="shared" si="17"/>
        <v>11</v>
      </c>
      <c r="S56" s="159"/>
      <c r="T56" s="179" t="s">
        <v>105</v>
      </c>
      <c r="U56" s="185">
        <f t="shared" si="18"/>
        <v>0</v>
      </c>
      <c r="V56" s="181"/>
      <c r="W56" s="185">
        <f t="shared" si="19"/>
        <v>0</v>
      </c>
      <c r="X56" s="181"/>
      <c r="Y56" s="185">
        <f t="shared" si="20"/>
        <v>0</v>
      </c>
      <c r="Z56" s="186"/>
      <c r="AA56" s="161"/>
      <c r="AB56" s="161"/>
      <c r="AC56" s="161"/>
    </row>
    <row r="57" spans="1:29" ht="22.5" x14ac:dyDescent="0.2">
      <c r="A57" s="166"/>
      <c r="B57" s="152"/>
      <c r="C57" s="152"/>
      <c r="D57" s="152"/>
      <c r="E57" s="152"/>
      <c r="F57" s="152"/>
      <c r="G57" s="152"/>
      <c r="H57" s="190"/>
      <c r="I57" s="152"/>
      <c r="J57" s="152"/>
      <c r="K57" s="152"/>
      <c r="L57" s="191"/>
      <c r="M57" s="161"/>
      <c r="N57" s="178"/>
      <c r="O57" s="179" t="s">
        <v>106</v>
      </c>
      <c r="P57" s="179">
        <v>29</v>
      </c>
      <c r="Q57" s="179">
        <v>1</v>
      </c>
      <c r="R57" s="179">
        <f t="shared" si="17"/>
        <v>10</v>
      </c>
      <c r="S57" s="159"/>
      <c r="T57" s="179" t="s">
        <v>106</v>
      </c>
      <c r="U57" s="185">
        <f t="shared" si="18"/>
        <v>0</v>
      </c>
      <c r="V57" s="181"/>
      <c r="W57" s="185">
        <f t="shared" si="19"/>
        <v>0</v>
      </c>
      <c r="X57" s="181"/>
      <c r="Y57" s="185">
        <f t="shared" si="20"/>
        <v>0</v>
      </c>
      <c r="Z57" s="186"/>
      <c r="AA57" s="161"/>
      <c r="AB57" s="161"/>
      <c r="AC57" s="161"/>
    </row>
    <row r="58" spans="1:29" ht="22.5" x14ac:dyDescent="0.2">
      <c r="A58" s="166"/>
      <c r="B58" s="445" t="s">
        <v>90</v>
      </c>
      <c r="C58" s="413"/>
      <c r="D58" s="152"/>
      <c r="E58" s="152"/>
      <c r="F58" s="192" t="s">
        <v>107</v>
      </c>
      <c r="G58" s="193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190"/>
      <c r="I58" s="194">
        <f>IF(C62&gt;0,$K$2,C60)</f>
        <v>31</v>
      </c>
      <c r="J58" s="195" t="s">
        <v>108</v>
      </c>
      <c r="K58" s="196">
        <f>K54/$K$2*I58</f>
        <v>52000</v>
      </c>
      <c r="L58" s="197"/>
      <c r="M58" s="161"/>
      <c r="N58" s="178"/>
      <c r="O58" s="179" t="s">
        <v>109</v>
      </c>
      <c r="P58" s="179">
        <v>31</v>
      </c>
      <c r="Q58" s="179">
        <v>0</v>
      </c>
      <c r="R58" s="179">
        <f t="shared" si="17"/>
        <v>10</v>
      </c>
      <c r="S58" s="159"/>
      <c r="T58" s="179" t="s">
        <v>109</v>
      </c>
      <c r="U58" s="185">
        <f t="shared" si="18"/>
        <v>0</v>
      </c>
      <c r="V58" s="181"/>
      <c r="W58" s="185">
        <f t="shared" si="19"/>
        <v>0</v>
      </c>
      <c r="X58" s="181"/>
      <c r="Y58" s="185">
        <f t="shared" si="20"/>
        <v>0</v>
      </c>
      <c r="Z58" s="186"/>
      <c r="AA58" s="161"/>
      <c r="AB58" s="161"/>
      <c r="AC58" s="161"/>
    </row>
    <row r="59" spans="1:29" ht="22.5" x14ac:dyDescent="0.2">
      <c r="A59" s="166"/>
      <c r="B59" s="198"/>
      <c r="C59" s="198"/>
      <c r="D59" s="152"/>
      <c r="E59" s="152"/>
      <c r="F59" s="192" t="s">
        <v>9</v>
      </c>
      <c r="G59" s="193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90"/>
      <c r="I59" s="194">
        <v>25</v>
      </c>
      <c r="J59" s="195" t="s">
        <v>110</v>
      </c>
      <c r="K59" s="263">
        <f>K54/$K$2/8*I59</f>
        <v>5241.9354838709678</v>
      </c>
      <c r="L59" s="199"/>
      <c r="M59" s="161"/>
      <c r="N59" s="178"/>
      <c r="O59" s="179" t="s">
        <v>85</v>
      </c>
      <c r="P59" s="179">
        <v>30</v>
      </c>
      <c r="Q59" s="179">
        <v>0</v>
      </c>
      <c r="R59" s="179">
        <f t="shared" si="17"/>
        <v>10</v>
      </c>
      <c r="S59" s="159"/>
      <c r="T59" s="179" t="s">
        <v>85</v>
      </c>
      <c r="U59" s="185">
        <f t="shared" si="18"/>
        <v>0</v>
      </c>
      <c r="V59" s="181"/>
      <c r="W59" s="185">
        <f t="shared" si="19"/>
        <v>0</v>
      </c>
      <c r="X59" s="181"/>
      <c r="Y59" s="185">
        <f t="shared" si="20"/>
        <v>0</v>
      </c>
      <c r="Z59" s="186"/>
      <c r="AA59" s="161"/>
      <c r="AB59" s="161"/>
      <c r="AC59" s="161"/>
    </row>
    <row r="60" spans="1:29" ht="22.5" x14ac:dyDescent="0.2">
      <c r="A60" s="166"/>
      <c r="B60" s="192" t="s">
        <v>94</v>
      </c>
      <c r="C60" s="198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0</v>
      </c>
      <c r="D60" s="152"/>
      <c r="E60" s="152"/>
      <c r="F60" s="192" t="s">
        <v>111</v>
      </c>
      <c r="G60" s="193" t="str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/>
      </c>
      <c r="H60" s="190"/>
      <c r="I60" s="446" t="s">
        <v>112</v>
      </c>
      <c r="J60" s="413"/>
      <c r="K60" s="193">
        <f>K58+K59</f>
        <v>57241.93548387097</v>
      </c>
      <c r="L60" s="199"/>
      <c r="M60" s="161"/>
      <c r="N60" s="178"/>
      <c r="O60" s="179" t="s">
        <v>113</v>
      </c>
      <c r="P60" s="179">
        <v>30</v>
      </c>
      <c r="Q60" s="179">
        <v>1</v>
      </c>
      <c r="R60" s="179">
        <f t="shared" si="17"/>
        <v>9</v>
      </c>
      <c r="S60" s="159"/>
      <c r="T60" s="179" t="s">
        <v>113</v>
      </c>
      <c r="U60" s="185">
        <f t="shared" si="18"/>
        <v>0</v>
      </c>
      <c r="V60" s="181">
        <v>30000</v>
      </c>
      <c r="W60" s="185">
        <f t="shared" si="19"/>
        <v>30000</v>
      </c>
      <c r="X60" s="181"/>
      <c r="Y60" s="185">
        <f t="shared" si="20"/>
        <v>30000</v>
      </c>
      <c r="Z60" s="186"/>
      <c r="AA60" s="161"/>
      <c r="AB60" s="161"/>
      <c r="AC60" s="161"/>
    </row>
    <row r="61" spans="1:29" ht="22.5" x14ac:dyDescent="0.2">
      <c r="A61" s="166"/>
      <c r="B61" s="192" t="s">
        <v>95</v>
      </c>
      <c r="C61" s="198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152"/>
      <c r="E61" s="152"/>
      <c r="F61" s="192" t="s">
        <v>11</v>
      </c>
      <c r="G61" s="193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190"/>
      <c r="I61" s="446" t="s">
        <v>114</v>
      </c>
      <c r="J61" s="413"/>
      <c r="K61" s="193">
        <f>G61</f>
        <v>0</v>
      </c>
      <c r="L61" s="199"/>
      <c r="M61" s="161"/>
      <c r="N61" s="178"/>
      <c r="O61" s="179" t="s">
        <v>115</v>
      </c>
      <c r="P61" s="179"/>
      <c r="Q61" s="179"/>
      <c r="R61" s="179" t="str">
        <f t="shared" si="17"/>
        <v/>
      </c>
      <c r="S61" s="159"/>
      <c r="T61" s="179" t="s">
        <v>115</v>
      </c>
      <c r="U61" s="185"/>
      <c r="V61" s="181"/>
      <c r="W61" s="185" t="str">
        <f t="shared" si="19"/>
        <v/>
      </c>
      <c r="X61" s="181"/>
      <c r="Y61" s="185" t="str">
        <f t="shared" si="20"/>
        <v/>
      </c>
      <c r="Z61" s="186"/>
      <c r="AA61" s="161"/>
      <c r="AB61" s="161"/>
      <c r="AC61" s="161"/>
    </row>
    <row r="62" spans="1:29" ht="25.15" customHeight="1" x14ac:dyDescent="0.2">
      <c r="A62" s="166"/>
      <c r="B62" s="207" t="s">
        <v>116</v>
      </c>
      <c r="C62" s="198" t="str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/>
      </c>
      <c r="D62" s="152"/>
      <c r="E62" s="152"/>
      <c r="F62" s="207" t="s">
        <v>117</v>
      </c>
      <c r="G62" s="193" t="str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/>
      </c>
      <c r="H62" s="152"/>
      <c r="I62" s="439" t="s">
        <v>13</v>
      </c>
      <c r="J62" s="413"/>
      <c r="K62" s="37">
        <f>K60-K61</f>
        <v>57241.93548387097</v>
      </c>
      <c r="L62" s="183"/>
      <c r="M62" s="161"/>
      <c r="N62" s="178"/>
      <c r="O62" s="179" t="s">
        <v>118</v>
      </c>
      <c r="P62" s="179"/>
      <c r="Q62" s="179"/>
      <c r="R62" s="179" t="str">
        <f t="shared" si="17"/>
        <v/>
      </c>
      <c r="S62" s="159"/>
      <c r="T62" s="179" t="s">
        <v>118</v>
      </c>
      <c r="U62" s="185">
        <v>0</v>
      </c>
      <c r="V62" s="181"/>
      <c r="W62" s="185">
        <f t="shared" si="19"/>
        <v>0</v>
      </c>
      <c r="X62" s="181"/>
      <c r="Y62" s="185">
        <f t="shared" si="20"/>
        <v>0</v>
      </c>
      <c r="Z62" s="186"/>
      <c r="AA62" s="161"/>
      <c r="AB62" s="161"/>
      <c r="AC62" s="161"/>
    </row>
    <row r="63" spans="1:29" ht="22.5" x14ac:dyDescent="0.2">
      <c r="A63" s="166"/>
      <c r="B63" s="152"/>
      <c r="C63" s="152"/>
      <c r="D63" s="152"/>
      <c r="E63" s="152"/>
      <c r="F63" s="152"/>
      <c r="G63" s="152"/>
      <c r="H63" s="152"/>
      <c r="I63" s="434"/>
      <c r="J63" s="435"/>
      <c r="K63" s="154"/>
      <c r="L63" s="189"/>
      <c r="M63" s="161"/>
      <c r="N63" s="178"/>
      <c r="O63" s="179" t="s">
        <v>119</v>
      </c>
      <c r="P63" s="179"/>
      <c r="Q63" s="179"/>
      <c r="R63" s="179" t="str">
        <f t="shared" si="17"/>
        <v/>
      </c>
      <c r="S63" s="159"/>
      <c r="T63" s="179" t="s">
        <v>119</v>
      </c>
      <c r="U63" s="185">
        <f t="shared" ref="U63:U65" si="21">Y62</f>
        <v>0</v>
      </c>
      <c r="V63" s="181"/>
      <c r="W63" s="185">
        <f t="shared" si="19"/>
        <v>0</v>
      </c>
      <c r="X63" s="181"/>
      <c r="Y63" s="185">
        <f t="shared" si="20"/>
        <v>0</v>
      </c>
      <c r="Z63" s="186"/>
      <c r="AA63" s="161"/>
      <c r="AB63" s="161"/>
      <c r="AC63" s="161"/>
    </row>
    <row r="64" spans="1:29" ht="23.25" thickBot="1" x14ac:dyDescent="0.25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161"/>
      <c r="N64" s="178"/>
      <c r="O64" s="179" t="s">
        <v>120</v>
      </c>
      <c r="P64" s="179"/>
      <c r="Q64" s="179"/>
      <c r="R64" s="179"/>
      <c r="S64" s="159"/>
      <c r="T64" s="179" t="s">
        <v>120</v>
      </c>
      <c r="U64" s="185">
        <f t="shared" si="21"/>
        <v>0</v>
      </c>
      <c r="V64" s="181"/>
      <c r="W64" s="185">
        <f t="shared" si="19"/>
        <v>0</v>
      </c>
      <c r="X64" s="181"/>
      <c r="Y64" s="185">
        <f t="shared" si="20"/>
        <v>0</v>
      </c>
      <c r="Z64" s="186"/>
      <c r="AA64" s="161"/>
      <c r="AB64" s="161"/>
      <c r="AC64" s="161"/>
    </row>
    <row r="65" spans="1:29" ht="23.25" thickBot="1" x14ac:dyDescent="0.25">
      <c r="A65" s="447" t="s">
        <v>89</v>
      </c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4"/>
      <c r="M65" s="161"/>
      <c r="N65" s="178"/>
      <c r="O65" s="179" t="s">
        <v>121</v>
      </c>
      <c r="P65" s="179"/>
      <c r="Q65" s="179"/>
      <c r="R65" s="179" t="str">
        <f>IF(Q65="","",R64-Q65)</f>
        <v/>
      </c>
      <c r="S65" s="159"/>
      <c r="T65" s="179" t="s">
        <v>121</v>
      </c>
      <c r="U65" s="185">
        <f t="shared" si="21"/>
        <v>0</v>
      </c>
      <c r="V65" s="181"/>
      <c r="W65" s="185">
        <f t="shared" si="19"/>
        <v>0</v>
      </c>
      <c r="X65" s="181"/>
      <c r="Y65" s="185">
        <f t="shared" si="20"/>
        <v>0</v>
      </c>
      <c r="Z65" s="186"/>
      <c r="AA65" s="161"/>
      <c r="AB65" s="161"/>
      <c r="AC65" s="161"/>
    </row>
    <row r="66" spans="1:29" ht="23.25" thickBot="1" x14ac:dyDescent="0.25">
      <c r="A66" s="166"/>
      <c r="B66" s="152"/>
      <c r="C66" s="443" t="s">
        <v>127</v>
      </c>
      <c r="D66" s="435"/>
      <c r="E66" s="435"/>
      <c r="F66" s="435"/>
      <c r="G66" s="167" t="str">
        <f>$J$1</f>
        <v>August</v>
      </c>
      <c r="H66" s="444">
        <f>$K$1</f>
        <v>2024</v>
      </c>
      <c r="I66" s="435"/>
      <c r="J66" s="152"/>
      <c r="K66" s="168"/>
      <c r="L66" s="169"/>
      <c r="M66" s="204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4"/>
      <c r="AB66" s="204"/>
      <c r="AC66" s="204"/>
    </row>
    <row r="67" spans="1:29" ht="22.5" x14ac:dyDescent="0.2">
      <c r="A67" s="166"/>
      <c r="B67" s="152"/>
      <c r="C67" s="152"/>
      <c r="D67" s="175"/>
      <c r="E67" s="175"/>
      <c r="F67" s="175"/>
      <c r="G67" s="175"/>
      <c r="H67" s="175"/>
      <c r="I67" s="152"/>
      <c r="J67" s="176" t="s">
        <v>99</v>
      </c>
      <c r="K67" s="154">
        <f>50000+15000+15000+10000</f>
        <v>90000</v>
      </c>
      <c r="L67" s="177"/>
      <c r="M67" s="162"/>
      <c r="N67" s="163"/>
      <c r="O67" s="440" t="s">
        <v>90</v>
      </c>
      <c r="P67" s="441"/>
      <c r="Q67" s="441"/>
      <c r="R67" s="442"/>
      <c r="S67" s="164"/>
      <c r="T67" s="440" t="s">
        <v>91</v>
      </c>
      <c r="U67" s="441"/>
      <c r="V67" s="441"/>
      <c r="W67" s="441"/>
      <c r="X67" s="441"/>
      <c r="Y67" s="442"/>
      <c r="Z67" s="165"/>
      <c r="AA67" s="161"/>
      <c r="AB67" s="161"/>
      <c r="AC67" s="161"/>
    </row>
    <row r="68" spans="1:29" ht="22.5" x14ac:dyDescent="0.2">
      <c r="A68" s="166"/>
      <c r="B68" s="152" t="s">
        <v>101</v>
      </c>
      <c r="C68" s="151" t="s">
        <v>128</v>
      </c>
      <c r="D68" s="152"/>
      <c r="E68" s="152"/>
      <c r="F68" s="152"/>
      <c r="G68" s="152"/>
      <c r="H68" s="182"/>
      <c r="I68" s="175"/>
      <c r="J68" s="152"/>
      <c r="K68" s="152"/>
      <c r="L68" s="183"/>
      <c r="M68" s="170"/>
      <c r="N68" s="171"/>
      <c r="O68" s="172" t="s">
        <v>93</v>
      </c>
      <c r="P68" s="172" t="s">
        <v>94</v>
      </c>
      <c r="Q68" s="172" t="s">
        <v>95</v>
      </c>
      <c r="R68" s="172" t="s">
        <v>96</v>
      </c>
      <c r="S68" s="173"/>
      <c r="T68" s="172" t="s">
        <v>93</v>
      </c>
      <c r="U68" s="172" t="s">
        <v>97</v>
      </c>
      <c r="V68" s="172" t="s">
        <v>9</v>
      </c>
      <c r="W68" s="172" t="s">
        <v>10</v>
      </c>
      <c r="X68" s="172" t="s">
        <v>11</v>
      </c>
      <c r="Y68" s="172" t="s">
        <v>98</v>
      </c>
      <c r="Z68" s="174"/>
      <c r="AA68" s="161"/>
      <c r="AB68" s="161"/>
      <c r="AC68" s="161"/>
    </row>
    <row r="69" spans="1:29" ht="22.5" x14ac:dyDescent="0.2">
      <c r="A69" s="166"/>
      <c r="B69" s="187"/>
      <c r="C69" s="188"/>
      <c r="D69" s="152"/>
      <c r="E69" s="152"/>
      <c r="F69" s="439" t="s">
        <v>91</v>
      </c>
      <c r="G69" s="413"/>
      <c r="H69" s="152"/>
      <c r="I69" s="439" t="s">
        <v>104</v>
      </c>
      <c r="J69" s="412"/>
      <c r="K69" s="413"/>
      <c r="L69" s="189"/>
      <c r="M69" s="161"/>
      <c r="N69" s="178"/>
      <c r="O69" s="179" t="s">
        <v>100</v>
      </c>
      <c r="P69" s="179">
        <v>31</v>
      </c>
      <c r="Q69" s="179">
        <v>0</v>
      </c>
      <c r="R69" s="179">
        <v>0</v>
      </c>
      <c r="S69" s="180"/>
      <c r="T69" s="179" t="s">
        <v>100</v>
      </c>
      <c r="U69" s="181">
        <v>40000</v>
      </c>
      <c r="V69" s="181">
        <v>4000</v>
      </c>
      <c r="W69" s="181">
        <f>V69+U69</f>
        <v>44000</v>
      </c>
      <c r="X69" s="181">
        <v>4000</v>
      </c>
      <c r="Y69" s="181">
        <f>W69-X69</f>
        <v>40000</v>
      </c>
      <c r="Z69" s="174"/>
      <c r="AA69" s="161"/>
      <c r="AB69" s="161"/>
      <c r="AC69" s="161"/>
    </row>
    <row r="70" spans="1:29" ht="22.5" x14ac:dyDescent="0.2">
      <c r="A70" s="166"/>
      <c r="B70" s="152"/>
      <c r="C70" s="152"/>
      <c r="D70" s="152"/>
      <c r="E70" s="152"/>
      <c r="F70" s="152"/>
      <c r="G70" s="152"/>
      <c r="H70" s="190"/>
      <c r="I70" s="152"/>
      <c r="J70" s="152"/>
      <c r="K70" s="152"/>
      <c r="L70" s="191"/>
      <c r="M70" s="162"/>
      <c r="N70" s="184"/>
      <c r="O70" s="179" t="s">
        <v>102</v>
      </c>
      <c r="P70" s="179">
        <v>29</v>
      </c>
      <c r="Q70" s="179">
        <v>0</v>
      </c>
      <c r="R70" s="179">
        <v>0</v>
      </c>
      <c r="S70" s="159"/>
      <c r="T70" s="179" t="s">
        <v>102</v>
      </c>
      <c r="U70" s="185">
        <f t="shared" ref="U70:U71" si="22">Y69</f>
        <v>40000</v>
      </c>
      <c r="V70" s="181"/>
      <c r="W70" s="185">
        <f t="shared" ref="W70:W73" si="23">IF(U70="","",U70+V70)</f>
        <v>40000</v>
      </c>
      <c r="X70" s="181">
        <v>3000</v>
      </c>
      <c r="Y70" s="185">
        <f t="shared" ref="Y70:Y80" si="24">IF(W70="","",W70-X70)</f>
        <v>37000</v>
      </c>
      <c r="Z70" s="186"/>
      <c r="AA70" s="161"/>
      <c r="AB70" s="161"/>
      <c r="AC70" s="161"/>
    </row>
    <row r="71" spans="1:29" ht="22.5" x14ac:dyDescent="0.2">
      <c r="A71" s="166"/>
      <c r="B71" s="445" t="s">
        <v>90</v>
      </c>
      <c r="C71" s="413"/>
      <c r="D71" s="152"/>
      <c r="E71" s="152"/>
      <c r="F71" s="192" t="s">
        <v>107</v>
      </c>
      <c r="G71" s="193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33500</v>
      </c>
      <c r="H71" s="190"/>
      <c r="I71" s="194">
        <f>IF(C75&gt;0,$K$2,C73)</f>
        <v>0</v>
      </c>
      <c r="J71" s="195" t="s">
        <v>108</v>
      </c>
      <c r="K71" s="196">
        <f>K67/$K$2*I71</f>
        <v>0</v>
      </c>
      <c r="L71" s="197"/>
      <c r="M71" s="161"/>
      <c r="N71" s="178"/>
      <c r="O71" s="179" t="s">
        <v>105</v>
      </c>
      <c r="P71" s="208">
        <v>30</v>
      </c>
      <c r="Q71" s="208">
        <v>1</v>
      </c>
      <c r="R71" s="179">
        <f>15-Q71</f>
        <v>14</v>
      </c>
      <c r="S71" s="159"/>
      <c r="T71" s="179" t="s">
        <v>105</v>
      </c>
      <c r="U71" s="185">
        <f t="shared" si="22"/>
        <v>37000</v>
      </c>
      <c r="V71" s="181"/>
      <c r="W71" s="185">
        <f t="shared" si="23"/>
        <v>37000</v>
      </c>
      <c r="X71" s="181">
        <v>2000</v>
      </c>
      <c r="Y71" s="185">
        <f t="shared" si="24"/>
        <v>35000</v>
      </c>
      <c r="Z71" s="186"/>
      <c r="AA71" s="161"/>
      <c r="AB71" s="161"/>
      <c r="AC71" s="161"/>
    </row>
    <row r="72" spans="1:29" ht="22.5" x14ac:dyDescent="0.2">
      <c r="A72" s="166"/>
      <c r="B72" s="198"/>
      <c r="C72" s="198"/>
      <c r="D72" s="152"/>
      <c r="E72" s="152"/>
      <c r="F72" s="192" t="s">
        <v>9</v>
      </c>
      <c r="G72" s="193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2" s="190"/>
      <c r="I72" s="194">
        <v>0</v>
      </c>
      <c r="J72" s="195" t="s">
        <v>110</v>
      </c>
      <c r="K72" s="193">
        <f>K67/$K$2/8*I72</f>
        <v>0</v>
      </c>
      <c r="L72" s="199"/>
      <c r="M72" s="161"/>
      <c r="N72" s="178"/>
      <c r="O72" s="179" t="s">
        <v>106</v>
      </c>
      <c r="P72" s="179">
        <v>30</v>
      </c>
      <c r="Q72" s="179">
        <v>0</v>
      </c>
      <c r="R72" s="179">
        <f t="shared" ref="R72:R74" si="25">R71-Q72</f>
        <v>14</v>
      </c>
      <c r="S72" s="159"/>
      <c r="T72" s="179" t="s">
        <v>106</v>
      </c>
      <c r="U72" s="185">
        <f>IF($J$1="March","",Y71)</f>
        <v>35000</v>
      </c>
      <c r="V72" s="181"/>
      <c r="W72" s="185">
        <f t="shared" si="23"/>
        <v>35000</v>
      </c>
      <c r="X72" s="181"/>
      <c r="Y72" s="185">
        <f t="shared" si="24"/>
        <v>35000</v>
      </c>
      <c r="Z72" s="186"/>
      <c r="AA72" s="161"/>
      <c r="AB72" s="161"/>
      <c r="AC72" s="161"/>
    </row>
    <row r="73" spans="1:29" ht="22.5" x14ac:dyDescent="0.2">
      <c r="A73" s="166"/>
      <c r="B73" s="192" t="s">
        <v>94</v>
      </c>
      <c r="C73" s="198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0</v>
      </c>
      <c r="D73" s="152"/>
      <c r="E73" s="152"/>
      <c r="F73" s="192" t="s">
        <v>111</v>
      </c>
      <c r="G73" s="193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33500</v>
      </c>
      <c r="H73" s="190"/>
      <c r="I73" s="446" t="s">
        <v>112</v>
      </c>
      <c r="J73" s="413"/>
      <c r="K73" s="193">
        <f>K71+K72</f>
        <v>0</v>
      </c>
      <c r="L73" s="199"/>
      <c r="M73" s="161"/>
      <c r="N73" s="178"/>
      <c r="O73" s="179" t="s">
        <v>109</v>
      </c>
      <c r="P73" s="179">
        <v>31</v>
      </c>
      <c r="Q73" s="179">
        <v>0</v>
      </c>
      <c r="R73" s="179">
        <f t="shared" si="25"/>
        <v>14</v>
      </c>
      <c r="S73" s="159"/>
      <c r="T73" s="179" t="s">
        <v>109</v>
      </c>
      <c r="U73" s="185">
        <f>IF($J$1="April","",Y72)</f>
        <v>35000</v>
      </c>
      <c r="V73" s="181"/>
      <c r="W73" s="185">
        <f t="shared" si="23"/>
        <v>35000</v>
      </c>
      <c r="X73" s="181"/>
      <c r="Y73" s="185">
        <f t="shared" si="24"/>
        <v>35000</v>
      </c>
      <c r="Z73" s="186"/>
      <c r="AA73" s="161"/>
      <c r="AB73" s="161"/>
      <c r="AC73" s="161"/>
    </row>
    <row r="74" spans="1:29" ht="22.5" x14ac:dyDescent="0.2">
      <c r="A74" s="166"/>
      <c r="B74" s="192" t="s">
        <v>95</v>
      </c>
      <c r="C74" s="198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4" s="152"/>
      <c r="E74" s="152"/>
      <c r="F74" s="192" t="s">
        <v>11</v>
      </c>
      <c r="G74" s="193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4" s="190"/>
      <c r="I74" s="446" t="s">
        <v>114</v>
      </c>
      <c r="J74" s="413"/>
      <c r="K74" s="193">
        <f>G74</f>
        <v>0</v>
      </c>
      <c r="L74" s="199"/>
      <c r="M74" s="161"/>
      <c r="N74" s="178"/>
      <c r="O74" s="179" t="s">
        <v>85</v>
      </c>
      <c r="P74" s="179">
        <v>28</v>
      </c>
      <c r="Q74" s="179">
        <v>2</v>
      </c>
      <c r="R74" s="179">
        <f t="shared" si="25"/>
        <v>12</v>
      </c>
      <c r="S74" s="159"/>
      <c r="T74" s="179" t="s">
        <v>85</v>
      </c>
      <c r="U74" s="185">
        <f>Y73</f>
        <v>35000</v>
      </c>
      <c r="V74" s="181"/>
      <c r="W74" s="185">
        <f>V74+U74</f>
        <v>35000</v>
      </c>
      <c r="X74" s="181">
        <v>1500</v>
      </c>
      <c r="Y74" s="185">
        <f t="shared" si="24"/>
        <v>33500</v>
      </c>
      <c r="Z74" s="186"/>
      <c r="AA74" s="161"/>
      <c r="AB74" s="161"/>
      <c r="AC74" s="161"/>
    </row>
    <row r="75" spans="1:29" ht="37.5" x14ac:dyDescent="0.2">
      <c r="A75" s="166"/>
      <c r="B75" s="207" t="s">
        <v>116</v>
      </c>
      <c r="C75" s="198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5" s="152"/>
      <c r="E75" s="152"/>
      <c r="F75" s="207" t="s">
        <v>117</v>
      </c>
      <c r="G75" s="193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33500</v>
      </c>
      <c r="H75" s="152"/>
      <c r="I75" s="439" t="s">
        <v>13</v>
      </c>
      <c r="J75" s="413"/>
      <c r="K75" s="37">
        <f>K73-K74</f>
        <v>0</v>
      </c>
      <c r="L75" s="183"/>
      <c r="M75" s="161"/>
      <c r="N75" s="178"/>
      <c r="O75" s="179" t="s">
        <v>113</v>
      </c>
      <c r="P75" s="179">
        <v>31</v>
      </c>
      <c r="Q75" s="179">
        <v>0</v>
      </c>
      <c r="R75" s="179">
        <v>0</v>
      </c>
      <c r="S75" s="159"/>
      <c r="T75" s="179" t="s">
        <v>113</v>
      </c>
      <c r="U75" s="185">
        <f>Y74</f>
        <v>33500</v>
      </c>
      <c r="V75" s="181">
        <f>5000+30000</f>
        <v>35000</v>
      </c>
      <c r="W75" s="185">
        <f>V75+U75</f>
        <v>68500</v>
      </c>
      <c r="X75" s="181">
        <v>35000</v>
      </c>
      <c r="Y75" s="185">
        <f t="shared" si="24"/>
        <v>33500</v>
      </c>
      <c r="Z75" s="186"/>
      <c r="AA75" s="161"/>
      <c r="AB75" s="161"/>
      <c r="AC75" s="161"/>
    </row>
    <row r="76" spans="1:29" ht="22.5" x14ac:dyDescent="0.2">
      <c r="A76" s="166"/>
      <c r="B76" s="152"/>
      <c r="C76" s="152"/>
      <c r="D76" s="152"/>
      <c r="E76" s="152"/>
      <c r="F76" s="152"/>
      <c r="G76" s="152"/>
      <c r="H76" s="152"/>
      <c r="I76" s="434"/>
      <c r="J76" s="435"/>
      <c r="K76" s="154"/>
      <c r="L76" s="189"/>
      <c r="M76" s="161"/>
      <c r="N76" s="178"/>
      <c r="O76" s="179" t="s">
        <v>115</v>
      </c>
      <c r="P76" s="179"/>
      <c r="Q76" s="179"/>
      <c r="R76" s="179">
        <v>0</v>
      </c>
      <c r="S76" s="159"/>
      <c r="T76" s="179" t="s">
        <v>115</v>
      </c>
      <c r="U76" s="185">
        <f>IF($J$1="July","",Y75)</f>
        <v>33500</v>
      </c>
      <c r="V76" s="181"/>
      <c r="W76" s="185">
        <f t="shared" ref="W76:W80" si="26">IF(U76="","",U76+V76)</f>
        <v>33500</v>
      </c>
      <c r="X76" s="181"/>
      <c r="Y76" s="185">
        <f t="shared" si="24"/>
        <v>33500</v>
      </c>
      <c r="Z76" s="186"/>
      <c r="AA76" s="161"/>
      <c r="AB76" s="161"/>
      <c r="AC76" s="161"/>
    </row>
    <row r="77" spans="1:29" ht="23.25" thickBot="1" x14ac:dyDescent="0.25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161"/>
      <c r="N77" s="178"/>
      <c r="O77" s="179" t="s">
        <v>118</v>
      </c>
      <c r="P77" s="179"/>
      <c r="Q77" s="179"/>
      <c r="R77" s="179">
        <v>0</v>
      </c>
      <c r="S77" s="159"/>
      <c r="T77" s="179" t="s">
        <v>118</v>
      </c>
      <c r="U77" s="185">
        <f t="shared" ref="U77:U80" si="27">Y76</f>
        <v>33500</v>
      </c>
      <c r="V77" s="181"/>
      <c r="W77" s="185">
        <f t="shared" si="26"/>
        <v>33500</v>
      </c>
      <c r="X77" s="181"/>
      <c r="Y77" s="185">
        <f t="shared" si="24"/>
        <v>33500</v>
      </c>
      <c r="Z77" s="186"/>
      <c r="AA77" s="161"/>
      <c r="AB77" s="161"/>
      <c r="AC77" s="161"/>
    </row>
    <row r="78" spans="1:29" ht="23.25" thickBot="1" x14ac:dyDescent="0.25">
      <c r="A78" s="447" t="s">
        <v>89</v>
      </c>
      <c r="B78" s="453"/>
      <c r="C78" s="453"/>
      <c r="D78" s="453"/>
      <c r="E78" s="453"/>
      <c r="F78" s="453"/>
      <c r="G78" s="453"/>
      <c r="H78" s="453"/>
      <c r="I78" s="453"/>
      <c r="J78" s="453"/>
      <c r="K78" s="453"/>
      <c r="L78" s="454"/>
      <c r="M78" s="161"/>
      <c r="N78" s="178"/>
      <c r="O78" s="179" t="s">
        <v>119</v>
      </c>
      <c r="P78" s="179"/>
      <c r="Q78" s="179"/>
      <c r="R78" s="179">
        <v>0</v>
      </c>
      <c r="S78" s="159"/>
      <c r="T78" s="179" t="s">
        <v>119</v>
      </c>
      <c r="U78" s="185">
        <f t="shared" si="27"/>
        <v>33500</v>
      </c>
      <c r="V78" s="181"/>
      <c r="W78" s="185">
        <f t="shared" si="26"/>
        <v>33500</v>
      </c>
      <c r="X78" s="181"/>
      <c r="Y78" s="185">
        <f t="shared" si="24"/>
        <v>33500</v>
      </c>
      <c r="Z78" s="186"/>
      <c r="AA78" s="161"/>
      <c r="AB78" s="161"/>
      <c r="AC78" s="161"/>
    </row>
    <row r="79" spans="1:29" ht="22.5" x14ac:dyDescent="0.2">
      <c r="A79" s="166"/>
      <c r="B79" s="152"/>
      <c r="C79" s="443" t="s">
        <v>129</v>
      </c>
      <c r="D79" s="435"/>
      <c r="E79" s="435"/>
      <c r="F79" s="435"/>
      <c r="G79" s="167" t="str">
        <f>$J$1</f>
        <v>August</v>
      </c>
      <c r="H79" s="444">
        <f>$K$1</f>
        <v>2024</v>
      </c>
      <c r="I79" s="435"/>
      <c r="J79" s="152"/>
      <c r="K79" s="168"/>
      <c r="L79" s="169"/>
      <c r="M79" s="161"/>
      <c r="N79" s="178"/>
      <c r="O79" s="179" t="s">
        <v>120</v>
      </c>
      <c r="P79" s="179"/>
      <c r="Q79" s="179"/>
      <c r="R79" s="179">
        <v>0</v>
      </c>
      <c r="S79" s="159"/>
      <c r="T79" s="179" t="s">
        <v>120</v>
      </c>
      <c r="U79" s="185">
        <f t="shared" si="27"/>
        <v>33500</v>
      </c>
      <c r="V79" s="181"/>
      <c r="W79" s="185">
        <f t="shared" si="26"/>
        <v>33500</v>
      </c>
      <c r="X79" s="181"/>
      <c r="Y79" s="185">
        <f t="shared" si="24"/>
        <v>33500</v>
      </c>
      <c r="Z79" s="186"/>
      <c r="AA79" s="161"/>
      <c r="AB79" s="161"/>
      <c r="AC79" s="161"/>
    </row>
    <row r="80" spans="1:29" ht="22.5" x14ac:dyDescent="0.2">
      <c r="A80" s="166"/>
      <c r="B80" s="152"/>
      <c r="C80" s="152"/>
      <c r="D80" s="175"/>
      <c r="E80" s="175"/>
      <c r="F80" s="175"/>
      <c r="G80" s="175"/>
      <c r="H80" s="175"/>
      <c r="I80" s="152"/>
      <c r="J80" s="176" t="s">
        <v>99</v>
      </c>
      <c r="K80" s="154">
        <f>45000+5000+20000</f>
        <v>70000</v>
      </c>
      <c r="L80" s="177"/>
      <c r="M80" s="161"/>
      <c r="N80" s="178"/>
      <c r="O80" s="179" t="s">
        <v>121</v>
      </c>
      <c r="P80" s="179"/>
      <c r="Q80" s="179"/>
      <c r="R80" s="179">
        <v>0</v>
      </c>
      <c r="S80" s="159"/>
      <c r="T80" s="179" t="s">
        <v>121</v>
      </c>
      <c r="U80" s="185">
        <f t="shared" si="27"/>
        <v>33500</v>
      </c>
      <c r="V80" s="181"/>
      <c r="W80" s="185">
        <f t="shared" si="26"/>
        <v>33500</v>
      </c>
      <c r="X80" s="181"/>
      <c r="Y80" s="185">
        <f t="shared" si="24"/>
        <v>33500</v>
      </c>
      <c r="Z80" s="186"/>
      <c r="AA80" s="161"/>
      <c r="AB80" s="161"/>
      <c r="AC80" s="161"/>
    </row>
    <row r="81" spans="1:29" ht="18" customHeight="1" thickBot="1" x14ac:dyDescent="0.25">
      <c r="A81" s="166"/>
      <c r="B81" s="152" t="s">
        <v>101</v>
      </c>
      <c r="C81" s="151" t="s">
        <v>130</v>
      </c>
      <c r="D81" s="152"/>
      <c r="E81" s="152"/>
      <c r="F81" s="152"/>
      <c r="G81" s="152"/>
      <c r="H81" s="182"/>
      <c r="I81" s="175"/>
      <c r="J81" s="152"/>
      <c r="K81" s="152"/>
      <c r="L81" s="183"/>
      <c r="M81" s="204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4"/>
      <c r="AB81" s="204"/>
      <c r="AC81" s="204"/>
    </row>
    <row r="82" spans="1:29" ht="18" customHeight="1" x14ac:dyDescent="0.2">
      <c r="A82" s="166"/>
      <c r="B82" s="187" t="s">
        <v>103</v>
      </c>
      <c r="C82" s="188"/>
      <c r="D82" s="152"/>
      <c r="E82" s="152"/>
      <c r="F82" s="439" t="s">
        <v>91</v>
      </c>
      <c r="G82" s="413"/>
      <c r="H82" s="152"/>
      <c r="I82" s="439" t="s">
        <v>104</v>
      </c>
      <c r="J82" s="412"/>
      <c r="K82" s="413"/>
      <c r="L82" s="189"/>
      <c r="M82" s="162"/>
      <c r="N82" s="163"/>
      <c r="O82" s="440" t="s">
        <v>90</v>
      </c>
      <c r="P82" s="441"/>
      <c r="Q82" s="441"/>
      <c r="R82" s="442"/>
      <c r="S82" s="164"/>
      <c r="T82" s="440" t="s">
        <v>91</v>
      </c>
      <c r="U82" s="441"/>
      <c r="V82" s="441"/>
      <c r="W82" s="441"/>
      <c r="X82" s="441"/>
      <c r="Y82" s="442"/>
      <c r="Z82" s="165"/>
      <c r="AA82" s="162"/>
      <c r="AB82" s="161"/>
      <c r="AC82" s="161"/>
    </row>
    <row r="83" spans="1:29" ht="18" customHeight="1" x14ac:dyDescent="0.2">
      <c r="A83" s="166"/>
      <c r="B83" s="152"/>
      <c r="C83" s="152"/>
      <c r="D83" s="152"/>
      <c r="E83" s="152"/>
      <c r="F83" s="152"/>
      <c r="G83" s="152"/>
      <c r="H83" s="190"/>
      <c r="I83" s="152"/>
      <c r="J83" s="152"/>
      <c r="K83" s="152"/>
      <c r="L83" s="191"/>
      <c r="M83" s="170"/>
      <c r="N83" s="171"/>
      <c r="O83" s="172" t="s">
        <v>93</v>
      </c>
      <c r="P83" s="172" t="s">
        <v>94</v>
      </c>
      <c r="Q83" s="172" t="s">
        <v>95</v>
      </c>
      <c r="R83" s="172" t="s">
        <v>96</v>
      </c>
      <c r="S83" s="173"/>
      <c r="T83" s="172" t="s">
        <v>93</v>
      </c>
      <c r="U83" s="172" t="s">
        <v>97</v>
      </c>
      <c r="V83" s="172" t="s">
        <v>9</v>
      </c>
      <c r="W83" s="172" t="s">
        <v>10</v>
      </c>
      <c r="X83" s="172" t="s">
        <v>11</v>
      </c>
      <c r="Y83" s="172" t="s">
        <v>98</v>
      </c>
      <c r="Z83" s="174"/>
      <c r="AA83" s="170"/>
      <c r="AB83" s="161"/>
      <c r="AC83" s="161"/>
    </row>
    <row r="84" spans="1:29" ht="18" customHeight="1" x14ac:dyDescent="0.2">
      <c r="A84" s="166"/>
      <c r="B84" s="445" t="s">
        <v>90</v>
      </c>
      <c r="C84" s="413"/>
      <c r="D84" s="152"/>
      <c r="E84" s="152"/>
      <c r="F84" s="192" t="s">
        <v>107</v>
      </c>
      <c r="G84" s="193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4" s="190"/>
      <c r="I84" s="194">
        <f>IF(C88&gt;0,$K$2,C86)</f>
        <v>31</v>
      </c>
      <c r="J84" s="195" t="s">
        <v>108</v>
      </c>
      <c r="K84" s="196">
        <f>K80/$K$2*I84</f>
        <v>70000</v>
      </c>
      <c r="L84" s="197"/>
      <c r="M84" s="161"/>
      <c r="N84" s="178"/>
      <c r="O84" s="179" t="s">
        <v>100</v>
      </c>
      <c r="P84" s="179"/>
      <c r="Q84" s="179"/>
      <c r="R84" s="179">
        <f>15-Q84</f>
        <v>15</v>
      </c>
      <c r="S84" s="180"/>
      <c r="T84" s="179" t="s">
        <v>100</v>
      </c>
      <c r="U84" s="181"/>
      <c r="V84" s="181"/>
      <c r="W84" s="181">
        <f>V84+U84</f>
        <v>0</v>
      </c>
      <c r="X84" s="181"/>
      <c r="Y84" s="181">
        <f>W84-X84</f>
        <v>0</v>
      </c>
      <c r="Z84" s="174"/>
      <c r="AA84" s="161"/>
      <c r="AB84" s="161"/>
      <c r="AC84" s="161"/>
    </row>
    <row r="85" spans="1:29" ht="18" customHeight="1" x14ac:dyDescent="0.2">
      <c r="A85" s="166"/>
      <c r="B85" s="198"/>
      <c r="C85" s="198"/>
      <c r="D85" s="152"/>
      <c r="E85" s="152"/>
      <c r="F85" s="192" t="s">
        <v>9</v>
      </c>
      <c r="G85" s="193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5" s="190"/>
      <c r="I85" s="194">
        <v>124</v>
      </c>
      <c r="J85" s="195" t="s">
        <v>110</v>
      </c>
      <c r="K85" s="193">
        <f>K80/$K$2/8*I85</f>
        <v>35000</v>
      </c>
      <c r="L85" s="199"/>
      <c r="M85" s="162"/>
      <c r="N85" s="184"/>
      <c r="O85" s="179" t="s">
        <v>102</v>
      </c>
      <c r="P85" s="179">
        <v>28</v>
      </c>
      <c r="Q85" s="179">
        <v>1</v>
      </c>
      <c r="R85" s="179">
        <f t="shared" ref="R85:R95" si="28">IF(Q85="","",R84-Q85)</f>
        <v>14</v>
      </c>
      <c r="S85" s="159"/>
      <c r="T85" s="179" t="s">
        <v>102</v>
      </c>
      <c r="U85" s="185">
        <f t="shared" ref="U85:U95" si="29">Y84</f>
        <v>0</v>
      </c>
      <c r="V85" s="181"/>
      <c r="W85" s="185">
        <f t="shared" ref="W85:W95" si="30">IF(U85="","",U85+V85)</f>
        <v>0</v>
      </c>
      <c r="X85" s="181"/>
      <c r="Y85" s="185">
        <f t="shared" ref="Y85:Y95" si="31">IF(W85="","",W85-X85)</f>
        <v>0</v>
      </c>
      <c r="Z85" s="186"/>
      <c r="AA85" s="162"/>
      <c r="AB85" s="161"/>
      <c r="AC85" s="161"/>
    </row>
    <row r="86" spans="1:29" ht="18" customHeight="1" x14ac:dyDescent="0.2">
      <c r="A86" s="166"/>
      <c r="B86" s="192" t="s">
        <v>94</v>
      </c>
      <c r="C86" s="198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86" s="152"/>
      <c r="E86" s="152"/>
      <c r="F86" s="192" t="s">
        <v>111</v>
      </c>
      <c r="G86" s="193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86" s="190"/>
      <c r="I86" s="446" t="s">
        <v>112</v>
      </c>
      <c r="J86" s="413"/>
      <c r="K86" s="193">
        <f>K84+K85</f>
        <v>105000</v>
      </c>
      <c r="L86" s="199"/>
      <c r="M86" s="161"/>
      <c r="N86" s="178"/>
      <c r="O86" s="179" t="s">
        <v>105</v>
      </c>
      <c r="P86" s="179">
        <v>30</v>
      </c>
      <c r="Q86" s="179">
        <v>1</v>
      </c>
      <c r="R86" s="179">
        <f t="shared" si="28"/>
        <v>13</v>
      </c>
      <c r="S86" s="159"/>
      <c r="T86" s="179" t="s">
        <v>105</v>
      </c>
      <c r="U86" s="185">
        <f t="shared" si="29"/>
        <v>0</v>
      </c>
      <c r="V86" s="181"/>
      <c r="W86" s="185">
        <f t="shared" si="30"/>
        <v>0</v>
      </c>
      <c r="X86" s="181"/>
      <c r="Y86" s="185">
        <f t="shared" si="31"/>
        <v>0</v>
      </c>
      <c r="Z86" s="186"/>
      <c r="AA86" s="161"/>
      <c r="AB86" s="161"/>
      <c r="AC86" s="161"/>
    </row>
    <row r="87" spans="1:29" ht="18" customHeight="1" x14ac:dyDescent="0.2">
      <c r="A87" s="166"/>
      <c r="B87" s="192" t="s">
        <v>95</v>
      </c>
      <c r="C87" s="198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87" s="152"/>
      <c r="E87" s="152"/>
      <c r="F87" s="192" t="s">
        <v>11</v>
      </c>
      <c r="G87" s="193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87" s="190"/>
      <c r="I87" s="446" t="s">
        <v>114</v>
      </c>
      <c r="J87" s="413"/>
      <c r="K87" s="193">
        <f>G87</f>
        <v>0</v>
      </c>
      <c r="L87" s="199"/>
      <c r="M87" s="161"/>
      <c r="N87" s="178"/>
      <c r="O87" s="179" t="s">
        <v>106</v>
      </c>
      <c r="P87" s="179">
        <v>29</v>
      </c>
      <c r="Q87" s="179">
        <v>1</v>
      </c>
      <c r="R87" s="179">
        <f t="shared" si="28"/>
        <v>12</v>
      </c>
      <c r="S87" s="159"/>
      <c r="T87" s="179" t="s">
        <v>106</v>
      </c>
      <c r="U87" s="185">
        <f t="shared" si="29"/>
        <v>0</v>
      </c>
      <c r="V87" s="181"/>
      <c r="W87" s="185">
        <f t="shared" si="30"/>
        <v>0</v>
      </c>
      <c r="X87" s="181"/>
      <c r="Y87" s="185">
        <f t="shared" si="31"/>
        <v>0</v>
      </c>
      <c r="Z87" s="186"/>
      <c r="AA87" s="161"/>
      <c r="AB87" s="161"/>
      <c r="AC87" s="161"/>
    </row>
    <row r="88" spans="1:29" ht="18" customHeight="1" x14ac:dyDescent="0.2">
      <c r="A88" s="166"/>
      <c r="B88" s="207" t="s">
        <v>116</v>
      </c>
      <c r="C88" s="198" t="str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/>
      </c>
      <c r="D88" s="152"/>
      <c r="E88" s="152"/>
      <c r="F88" s="207" t="s">
        <v>117</v>
      </c>
      <c r="G88" s="193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88" s="152"/>
      <c r="I88" s="439" t="s">
        <v>13</v>
      </c>
      <c r="J88" s="413"/>
      <c r="K88" s="37">
        <f>K86-K87</f>
        <v>105000</v>
      </c>
      <c r="L88" s="183"/>
      <c r="M88" s="161"/>
      <c r="N88" s="178"/>
      <c r="O88" s="179" t="s">
        <v>109</v>
      </c>
      <c r="P88" s="179">
        <v>29</v>
      </c>
      <c r="Q88" s="179">
        <v>2</v>
      </c>
      <c r="R88" s="179">
        <f t="shared" si="28"/>
        <v>10</v>
      </c>
      <c r="S88" s="159"/>
      <c r="T88" s="179" t="s">
        <v>109</v>
      </c>
      <c r="U88" s="185">
        <f t="shared" si="29"/>
        <v>0</v>
      </c>
      <c r="V88" s="181"/>
      <c r="W88" s="185">
        <f t="shared" si="30"/>
        <v>0</v>
      </c>
      <c r="X88" s="181"/>
      <c r="Y88" s="185">
        <f t="shared" si="31"/>
        <v>0</v>
      </c>
      <c r="Z88" s="186"/>
      <c r="AA88" s="161"/>
      <c r="AB88" s="161"/>
      <c r="AC88" s="161"/>
    </row>
    <row r="89" spans="1:29" ht="18" customHeight="1" x14ac:dyDescent="0.2">
      <c r="A89" s="166"/>
      <c r="B89" s="152"/>
      <c r="C89" s="152"/>
      <c r="D89" s="152"/>
      <c r="E89" s="152"/>
      <c r="F89" s="152"/>
      <c r="G89" s="152"/>
      <c r="H89" s="152"/>
      <c r="I89" s="434"/>
      <c r="J89" s="435"/>
      <c r="K89" s="154"/>
      <c r="L89" s="189"/>
      <c r="M89" s="161"/>
      <c r="N89" s="178"/>
      <c r="O89" s="179" t="s">
        <v>85</v>
      </c>
      <c r="P89" s="179">
        <v>29</v>
      </c>
      <c r="Q89" s="179">
        <v>1</v>
      </c>
      <c r="R89" s="179">
        <f t="shared" si="28"/>
        <v>9</v>
      </c>
      <c r="S89" s="159"/>
      <c r="T89" s="179" t="s">
        <v>85</v>
      </c>
      <c r="U89" s="185">
        <f t="shared" si="29"/>
        <v>0</v>
      </c>
      <c r="V89" s="181">
        <v>5000</v>
      </c>
      <c r="W89" s="185">
        <f t="shared" si="30"/>
        <v>5000</v>
      </c>
      <c r="X89" s="181">
        <v>5000</v>
      </c>
      <c r="Y89" s="185">
        <f t="shared" si="31"/>
        <v>0</v>
      </c>
      <c r="Z89" s="186"/>
      <c r="AA89" s="161"/>
      <c r="AB89" s="161"/>
      <c r="AC89" s="161"/>
    </row>
    <row r="90" spans="1:29" ht="18" customHeight="1" x14ac:dyDescent="0.3">
      <c r="A90" s="166"/>
      <c r="B90" s="150"/>
      <c r="C90" s="150"/>
      <c r="D90" s="150"/>
      <c r="E90" s="150"/>
      <c r="F90" s="150"/>
      <c r="G90" s="150"/>
      <c r="H90" s="150"/>
      <c r="I90" s="434"/>
      <c r="J90" s="435"/>
      <c r="K90" s="154"/>
      <c r="L90" s="189"/>
      <c r="M90" s="161"/>
      <c r="N90" s="178"/>
      <c r="O90" s="179" t="s">
        <v>113</v>
      </c>
      <c r="P90" s="179">
        <v>30</v>
      </c>
      <c r="Q90" s="179">
        <v>1</v>
      </c>
      <c r="R90" s="179">
        <f t="shared" si="28"/>
        <v>8</v>
      </c>
      <c r="S90" s="159"/>
      <c r="T90" s="179" t="s">
        <v>113</v>
      </c>
      <c r="U90" s="185">
        <f t="shared" si="29"/>
        <v>0</v>
      </c>
      <c r="V90" s="181">
        <v>5000</v>
      </c>
      <c r="W90" s="185">
        <f t="shared" si="30"/>
        <v>5000</v>
      </c>
      <c r="X90" s="181">
        <v>5000</v>
      </c>
      <c r="Y90" s="185">
        <f t="shared" si="31"/>
        <v>0</v>
      </c>
      <c r="Z90" s="186"/>
      <c r="AA90" s="161"/>
      <c r="AB90" s="161"/>
      <c r="AC90" s="161"/>
    </row>
    <row r="91" spans="1:29" ht="18" customHeight="1" thickBot="1" x14ac:dyDescent="0.35">
      <c r="A91" s="200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2"/>
      <c r="M91" s="161"/>
      <c r="N91" s="178"/>
      <c r="O91" s="179" t="s">
        <v>115</v>
      </c>
      <c r="P91" s="179"/>
      <c r="Q91" s="179"/>
      <c r="R91" s="179" t="str">
        <f t="shared" si="28"/>
        <v/>
      </c>
      <c r="S91" s="159"/>
      <c r="T91" s="179" t="s">
        <v>115</v>
      </c>
      <c r="U91" s="185">
        <f t="shared" si="29"/>
        <v>0</v>
      </c>
      <c r="V91" s="181"/>
      <c r="W91" s="185">
        <f t="shared" si="30"/>
        <v>0</v>
      </c>
      <c r="X91" s="181"/>
      <c r="Y91" s="185">
        <f t="shared" si="31"/>
        <v>0</v>
      </c>
      <c r="Z91" s="186"/>
      <c r="AA91" s="161"/>
      <c r="AB91" s="161"/>
      <c r="AC91" s="161"/>
    </row>
    <row r="92" spans="1:29" ht="18" customHeight="1" thickBot="1" x14ac:dyDescent="0.25">
      <c r="A92" s="203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161"/>
      <c r="N92" s="178"/>
      <c r="O92" s="179" t="s">
        <v>118</v>
      </c>
      <c r="P92" s="179"/>
      <c r="Q92" s="179"/>
      <c r="R92" s="179" t="str">
        <f t="shared" si="28"/>
        <v/>
      </c>
      <c r="S92" s="159"/>
      <c r="T92" s="179" t="s">
        <v>118</v>
      </c>
      <c r="U92" s="185">
        <f t="shared" si="29"/>
        <v>0</v>
      </c>
      <c r="V92" s="181"/>
      <c r="W92" s="185">
        <f t="shared" si="30"/>
        <v>0</v>
      </c>
      <c r="X92" s="181"/>
      <c r="Y92" s="185">
        <f t="shared" si="31"/>
        <v>0</v>
      </c>
      <c r="Z92" s="186"/>
      <c r="AA92" s="161"/>
      <c r="AB92" s="161"/>
      <c r="AC92" s="161"/>
    </row>
    <row r="93" spans="1:29" ht="18" customHeight="1" thickBot="1" x14ac:dyDescent="0.25">
      <c r="A93" s="447" t="s">
        <v>89</v>
      </c>
      <c r="B93" s="453"/>
      <c r="C93" s="453"/>
      <c r="D93" s="453"/>
      <c r="E93" s="453"/>
      <c r="F93" s="453"/>
      <c r="G93" s="453"/>
      <c r="H93" s="453"/>
      <c r="I93" s="453"/>
      <c r="J93" s="453"/>
      <c r="K93" s="453"/>
      <c r="L93" s="454"/>
      <c r="M93" s="161"/>
      <c r="N93" s="178"/>
      <c r="O93" s="179" t="s">
        <v>119</v>
      </c>
      <c r="P93" s="179"/>
      <c r="Q93" s="179"/>
      <c r="R93" s="179" t="str">
        <f t="shared" si="28"/>
        <v/>
      </c>
      <c r="S93" s="159"/>
      <c r="T93" s="179" t="s">
        <v>119</v>
      </c>
      <c r="U93" s="185">
        <f t="shared" si="29"/>
        <v>0</v>
      </c>
      <c r="V93" s="181"/>
      <c r="W93" s="185">
        <f t="shared" si="30"/>
        <v>0</v>
      </c>
      <c r="X93" s="181"/>
      <c r="Y93" s="185">
        <f t="shared" si="31"/>
        <v>0</v>
      </c>
      <c r="Z93" s="186"/>
      <c r="AA93" s="161"/>
      <c r="AB93" s="161"/>
      <c r="AC93" s="161"/>
    </row>
    <row r="94" spans="1:29" ht="18" customHeight="1" x14ac:dyDescent="0.2">
      <c r="A94" s="166"/>
      <c r="B94" s="152"/>
      <c r="C94" s="443" t="s">
        <v>131</v>
      </c>
      <c r="D94" s="435"/>
      <c r="E94" s="435"/>
      <c r="F94" s="435"/>
      <c r="G94" s="167" t="str">
        <f>$J$1</f>
        <v>August</v>
      </c>
      <c r="H94" s="444">
        <f>$K$1</f>
        <v>2024</v>
      </c>
      <c r="I94" s="435"/>
      <c r="J94" s="152"/>
      <c r="K94" s="168"/>
      <c r="L94" s="169"/>
      <c r="M94" s="161"/>
      <c r="N94" s="178"/>
      <c r="O94" s="179" t="s">
        <v>120</v>
      </c>
      <c r="P94" s="179"/>
      <c r="Q94" s="179"/>
      <c r="R94" s="179" t="str">
        <f t="shared" si="28"/>
        <v/>
      </c>
      <c r="S94" s="159"/>
      <c r="T94" s="179" t="s">
        <v>120</v>
      </c>
      <c r="U94" s="185">
        <f t="shared" si="29"/>
        <v>0</v>
      </c>
      <c r="V94" s="181"/>
      <c r="W94" s="185">
        <f t="shared" si="30"/>
        <v>0</v>
      </c>
      <c r="X94" s="181"/>
      <c r="Y94" s="185">
        <f t="shared" si="31"/>
        <v>0</v>
      </c>
      <c r="Z94" s="186"/>
      <c r="AA94" s="161"/>
      <c r="AB94" s="161"/>
      <c r="AC94" s="161"/>
    </row>
    <row r="95" spans="1:29" ht="18" customHeight="1" x14ac:dyDescent="0.2">
      <c r="A95" s="166"/>
      <c r="B95" s="152"/>
      <c r="C95" s="152"/>
      <c r="D95" s="175"/>
      <c r="E95" s="175"/>
      <c r="F95" s="175"/>
      <c r="G95" s="175"/>
      <c r="H95" s="175"/>
      <c r="I95" s="152"/>
      <c r="J95" s="176" t="s">
        <v>99</v>
      </c>
      <c r="K95" s="154">
        <f>38000+3000+5000</f>
        <v>46000</v>
      </c>
      <c r="L95" s="177"/>
      <c r="M95" s="161"/>
      <c r="N95" s="178"/>
      <c r="O95" s="179" t="s">
        <v>121</v>
      </c>
      <c r="P95" s="179"/>
      <c r="Q95" s="179"/>
      <c r="R95" s="179" t="str">
        <f t="shared" si="28"/>
        <v/>
      </c>
      <c r="S95" s="159"/>
      <c r="T95" s="179" t="s">
        <v>121</v>
      </c>
      <c r="U95" s="185">
        <f t="shared" si="29"/>
        <v>0</v>
      </c>
      <c r="V95" s="181"/>
      <c r="W95" s="185">
        <f t="shared" si="30"/>
        <v>0</v>
      </c>
      <c r="X95" s="181"/>
      <c r="Y95" s="185">
        <f t="shared" si="31"/>
        <v>0</v>
      </c>
      <c r="Z95" s="186"/>
      <c r="AA95" s="161"/>
      <c r="AB95" s="161"/>
      <c r="AC95" s="161"/>
    </row>
    <row r="96" spans="1:29" ht="18" customHeight="1" thickBot="1" x14ac:dyDescent="0.25">
      <c r="A96" s="166"/>
      <c r="B96" s="152" t="s">
        <v>101</v>
      </c>
      <c r="C96" s="151" t="s">
        <v>132</v>
      </c>
      <c r="D96" s="152"/>
      <c r="E96" s="152"/>
      <c r="F96" s="152"/>
      <c r="G96" s="152"/>
      <c r="H96" s="182"/>
      <c r="I96" s="175"/>
      <c r="J96" s="152"/>
      <c r="K96" s="152"/>
      <c r="L96" s="183"/>
      <c r="M96" s="204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4"/>
      <c r="AB96" s="204"/>
      <c r="AC96" s="204"/>
    </row>
    <row r="97" spans="1:29" ht="18" customHeight="1" x14ac:dyDescent="0.2">
      <c r="A97" s="166"/>
      <c r="B97" s="187" t="s">
        <v>103</v>
      </c>
      <c r="C97" s="188"/>
      <c r="D97" s="152"/>
      <c r="E97" s="152"/>
      <c r="F97" s="439" t="s">
        <v>91</v>
      </c>
      <c r="G97" s="413"/>
      <c r="H97" s="152"/>
      <c r="I97" s="439" t="s">
        <v>104</v>
      </c>
      <c r="J97" s="412"/>
      <c r="K97" s="413"/>
      <c r="L97" s="189"/>
      <c r="M97" s="162"/>
      <c r="N97" s="163"/>
      <c r="O97" s="440" t="s">
        <v>90</v>
      </c>
      <c r="P97" s="441"/>
      <c r="Q97" s="441"/>
      <c r="R97" s="442"/>
      <c r="S97" s="164"/>
      <c r="T97" s="440" t="s">
        <v>91</v>
      </c>
      <c r="U97" s="441"/>
      <c r="V97" s="441"/>
      <c r="W97" s="441"/>
      <c r="X97" s="441"/>
      <c r="Y97" s="442"/>
      <c r="Z97" s="165"/>
      <c r="AA97" s="161"/>
      <c r="AB97" s="161"/>
      <c r="AC97" s="161"/>
    </row>
    <row r="98" spans="1:29" ht="18" customHeight="1" x14ac:dyDescent="0.2">
      <c r="A98" s="166"/>
      <c r="B98" s="152"/>
      <c r="C98" s="152"/>
      <c r="D98" s="152"/>
      <c r="E98" s="152"/>
      <c r="F98" s="152"/>
      <c r="G98" s="152"/>
      <c r="H98" s="190"/>
      <c r="I98" s="152"/>
      <c r="J98" s="152"/>
      <c r="K98" s="152"/>
      <c r="L98" s="191"/>
      <c r="M98" s="170"/>
      <c r="N98" s="171"/>
      <c r="O98" s="172" t="s">
        <v>93</v>
      </c>
      <c r="P98" s="172" t="s">
        <v>94</v>
      </c>
      <c r="Q98" s="172" t="s">
        <v>95</v>
      </c>
      <c r="R98" s="172" t="s">
        <v>96</v>
      </c>
      <c r="S98" s="173"/>
      <c r="T98" s="172" t="s">
        <v>93</v>
      </c>
      <c r="U98" s="172" t="s">
        <v>97</v>
      </c>
      <c r="V98" s="172" t="s">
        <v>9</v>
      </c>
      <c r="W98" s="172" t="s">
        <v>10</v>
      </c>
      <c r="X98" s="172" t="s">
        <v>11</v>
      </c>
      <c r="Y98" s="172" t="s">
        <v>98</v>
      </c>
      <c r="Z98" s="174"/>
      <c r="AA98" s="161"/>
      <c r="AB98" s="161"/>
      <c r="AC98" s="161"/>
    </row>
    <row r="99" spans="1:29" ht="18" customHeight="1" x14ac:dyDescent="0.2">
      <c r="A99" s="166"/>
      <c r="B99" s="445" t="s">
        <v>90</v>
      </c>
      <c r="C99" s="413"/>
      <c r="D99" s="152"/>
      <c r="E99" s="152"/>
      <c r="F99" s="192" t="s">
        <v>107</v>
      </c>
      <c r="G99" s="193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0</v>
      </c>
      <c r="H99" s="190"/>
      <c r="I99" s="194">
        <f>IF(C103&gt;0,$K$2,C101)</f>
        <v>0</v>
      </c>
      <c r="J99" s="195" t="s">
        <v>108</v>
      </c>
      <c r="K99" s="196">
        <f>K95/$K$2*I99</f>
        <v>0</v>
      </c>
      <c r="L99" s="197"/>
      <c r="M99" s="161"/>
      <c r="N99" s="178"/>
      <c r="O99" s="179" t="s">
        <v>100</v>
      </c>
      <c r="P99" s="179">
        <v>29</v>
      </c>
      <c r="Q99" s="179">
        <v>2</v>
      </c>
      <c r="R99" s="179">
        <v>5</v>
      </c>
      <c r="S99" s="180"/>
      <c r="T99" s="179" t="s">
        <v>100</v>
      </c>
      <c r="U99" s="181">
        <v>35000</v>
      </c>
      <c r="V99" s="181"/>
      <c r="W99" s="181">
        <f>V99+U99</f>
        <v>35000</v>
      </c>
      <c r="X99" s="181"/>
      <c r="Y99" s="181">
        <f>W99-X99</f>
        <v>35000</v>
      </c>
      <c r="Z99" s="174"/>
      <c r="AA99" s="161"/>
      <c r="AB99" s="161"/>
      <c r="AC99" s="161"/>
    </row>
    <row r="100" spans="1:29" ht="18" customHeight="1" x14ac:dyDescent="0.2">
      <c r="A100" s="166"/>
      <c r="B100" s="198"/>
      <c r="C100" s="198"/>
      <c r="D100" s="152"/>
      <c r="E100" s="152"/>
      <c r="F100" s="192" t="s">
        <v>9</v>
      </c>
      <c r="G100" s="193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0" s="190"/>
      <c r="I100" s="194"/>
      <c r="J100" s="195" t="s">
        <v>110</v>
      </c>
      <c r="K100" s="193">
        <f>K95/$K$2/8*I100</f>
        <v>0</v>
      </c>
      <c r="L100" s="199"/>
      <c r="M100" s="162"/>
      <c r="N100" s="184"/>
      <c r="O100" s="179" t="s">
        <v>102</v>
      </c>
      <c r="P100" s="179">
        <v>28</v>
      </c>
      <c r="Q100" s="179">
        <v>1</v>
      </c>
      <c r="R100" s="179">
        <f t="shared" ref="R100:R102" si="32">IF(Q100="","",R99-Q100)</f>
        <v>4</v>
      </c>
      <c r="S100" s="159"/>
      <c r="T100" s="179" t="s">
        <v>102</v>
      </c>
      <c r="U100" s="185">
        <f t="shared" ref="U100:U101" si="33">Y99</f>
        <v>35000</v>
      </c>
      <c r="V100" s="181"/>
      <c r="W100" s="185">
        <f t="shared" ref="W100:W110" si="34">IF(U100="","",U100+V100)</f>
        <v>35000</v>
      </c>
      <c r="X100" s="181"/>
      <c r="Y100" s="185">
        <f t="shared" ref="Y100:Y110" si="35">IF(W100="","",W100-X100)</f>
        <v>35000</v>
      </c>
      <c r="Z100" s="186"/>
      <c r="AA100" s="161"/>
      <c r="AB100" s="161"/>
      <c r="AC100" s="161"/>
    </row>
    <row r="101" spans="1:29" ht="18" customHeight="1" x14ac:dyDescent="0.2">
      <c r="A101" s="166"/>
      <c r="B101" s="192" t="s">
        <v>94</v>
      </c>
      <c r="C101" s="198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1" s="152"/>
      <c r="E101" s="152"/>
      <c r="F101" s="192" t="s">
        <v>111</v>
      </c>
      <c r="G101" s="193" t="str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/>
      </c>
      <c r="H101" s="190"/>
      <c r="I101" s="446" t="s">
        <v>112</v>
      </c>
      <c r="J101" s="413"/>
      <c r="K101" s="193">
        <f>K99+K100</f>
        <v>0</v>
      </c>
      <c r="L101" s="199"/>
      <c r="M101" s="161"/>
      <c r="N101" s="178"/>
      <c r="O101" s="179" t="s">
        <v>105</v>
      </c>
      <c r="P101" s="179">
        <v>30</v>
      </c>
      <c r="Q101" s="179">
        <v>1</v>
      </c>
      <c r="R101" s="179">
        <f t="shared" si="32"/>
        <v>3</v>
      </c>
      <c r="S101" s="159"/>
      <c r="T101" s="179" t="s">
        <v>105</v>
      </c>
      <c r="U101" s="185">
        <f t="shared" si="33"/>
        <v>35000</v>
      </c>
      <c r="V101" s="181"/>
      <c r="W101" s="185">
        <f t="shared" si="34"/>
        <v>35000</v>
      </c>
      <c r="X101" s="181"/>
      <c r="Y101" s="185">
        <f t="shared" si="35"/>
        <v>35000</v>
      </c>
      <c r="Z101" s="186"/>
      <c r="AA101" s="161"/>
      <c r="AB101" s="161"/>
      <c r="AC101" s="161"/>
    </row>
    <row r="102" spans="1:29" ht="18" customHeight="1" x14ac:dyDescent="0.2">
      <c r="A102" s="166"/>
      <c r="B102" s="192" t="s">
        <v>95</v>
      </c>
      <c r="C102" s="198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2" s="152"/>
      <c r="E102" s="152"/>
      <c r="F102" s="192" t="s">
        <v>11</v>
      </c>
      <c r="G102" s="193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2" s="190"/>
      <c r="I102" s="446" t="s">
        <v>114</v>
      </c>
      <c r="J102" s="413"/>
      <c r="K102" s="193">
        <f>G102</f>
        <v>0</v>
      </c>
      <c r="L102" s="199"/>
      <c r="M102" s="161"/>
      <c r="N102" s="178"/>
      <c r="O102" s="179" t="s">
        <v>106</v>
      </c>
      <c r="P102" s="179">
        <v>28</v>
      </c>
      <c r="Q102" s="179">
        <v>2</v>
      </c>
      <c r="R102" s="179">
        <f t="shared" si="32"/>
        <v>1</v>
      </c>
      <c r="S102" s="159"/>
      <c r="T102" s="179" t="s">
        <v>106</v>
      </c>
      <c r="U102" s="185">
        <f>IF($J$1="March","",Y101)</f>
        <v>35000</v>
      </c>
      <c r="V102" s="181"/>
      <c r="W102" s="185">
        <f t="shared" si="34"/>
        <v>35000</v>
      </c>
      <c r="X102" s="181"/>
      <c r="Y102" s="185">
        <f t="shared" si="35"/>
        <v>35000</v>
      </c>
      <c r="Z102" s="186"/>
      <c r="AA102" s="161"/>
      <c r="AB102" s="161"/>
      <c r="AC102" s="161"/>
    </row>
    <row r="103" spans="1:29" ht="18" customHeight="1" x14ac:dyDescent="0.2">
      <c r="A103" s="166"/>
      <c r="B103" s="207" t="s">
        <v>116</v>
      </c>
      <c r="C103" s="198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3" s="152"/>
      <c r="E103" s="152"/>
      <c r="F103" s="207" t="s">
        <v>117</v>
      </c>
      <c r="G103" s="193" t="str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/>
      </c>
      <c r="H103" s="152"/>
      <c r="I103" s="439" t="s">
        <v>13</v>
      </c>
      <c r="J103" s="413"/>
      <c r="K103" s="37">
        <f>K101-K102</f>
        <v>0</v>
      </c>
      <c r="L103" s="183"/>
      <c r="M103" s="161"/>
      <c r="N103" s="178"/>
      <c r="O103" s="179" t="s">
        <v>109</v>
      </c>
      <c r="P103" s="179">
        <v>31</v>
      </c>
      <c r="Q103" s="179">
        <v>0</v>
      </c>
      <c r="R103" s="179">
        <v>0</v>
      </c>
      <c r="S103" s="159"/>
      <c r="T103" s="179" t="s">
        <v>109</v>
      </c>
      <c r="U103" s="185">
        <f t="shared" ref="U103:U104" si="36">Y102</f>
        <v>35000</v>
      </c>
      <c r="V103" s="181"/>
      <c r="W103" s="185">
        <f t="shared" si="34"/>
        <v>35000</v>
      </c>
      <c r="X103" s="181"/>
      <c r="Y103" s="185">
        <f t="shared" si="35"/>
        <v>35000</v>
      </c>
      <c r="Z103" s="186"/>
      <c r="AA103" s="161"/>
      <c r="AB103" s="161"/>
      <c r="AC103" s="161"/>
    </row>
    <row r="104" spans="1:29" ht="18" customHeight="1" x14ac:dyDescent="0.2">
      <c r="A104" s="166"/>
      <c r="B104" s="152"/>
      <c r="C104" s="152"/>
      <c r="D104" s="152"/>
      <c r="E104" s="152"/>
      <c r="F104" s="152"/>
      <c r="G104" s="152"/>
      <c r="H104" s="152"/>
      <c r="I104" s="434"/>
      <c r="J104" s="435"/>
      <c r="K104" s="154"/>
      <c r="L104" s="189"/>
      <c r="M104" s="161"/>
      <c r="N104" s="178"/>
      <c r="O104" s="179" t="s">
        <v>85</v>
      </c>
      <c r="P104" s="208">
        <v>28</v>
      </c>
      <c r="Q104" s="208">
        <v>2</v>
      </c>
      <c r="R104" s="179">
        <f>15-Q104</f>
        <v>13</v>
      </c>
      <c r="S104" s="159"/>
      <c r="T104" s="179" t="s">
        <v>85</v>
      </c>
      <c r="U104" s="185">
        <f t="shared" si="36"/>
        <v>35000</v>
      </c>
      <c r="V104" s="181">
        <v>5000</v>
      </c>
      <c r="W104" s="185">
        <f t="shared" si="34"/>
        <v>40000</v>
      </c>
      <c r="X104" s="181">
        <v>5000</v>
      </c>
      <c r="Y104" s="185">
        <f t="shared" si="35"/>
        <v>35000</v>
      </c>
      <c r="Z104" s="186"/>
      <c r="AA104" s="161"/>
      <c r="AB104" s="161"/>
      <c r="AC104" s="161"/>
    </row>
    <row r="105" spans="1:29" ht="18" customHeight="1" x14ac:dyDescent="0.3">
      <c r="A105" s="166"/>
      <c r="B105" s="150"/>
      <c r="C105" s="150"/>
      <c r="D105" s="150"/>
      <c r="E105" s="150"/>
      <c r="F105" s="150"/>
      <c r="G105" s="150"/>
      <c r="H105" s="150"/>
      <c r="I105" s="434"/>
      <c r="J105" s="435"/>
      <c r="K105" s="154"/>
      <c r="L105" s="189"/>
      <c r="M105" s="161"/>
      <c r="N105" s="178"/>
      <c r="O105" s="179" t="s">
        <v>113</v>
      </c>
      <c r="P105" s="179">
        <v>31</v>
      </c>
      <c r="Q105" s="179">
        <v>2</v>
      </c>
      <c r="R105" s="179">
        <v>0</v>
      </c>
      <c r="S105" s="159"/>
      <c r="T105" s="179" t="s">
        <v>113</v>
      </c>
      <c r="U105" s="185">
        <f>Y104</f>
        <v>35000</v>
      </c>
      <c r="V105" s="181"/>
      <c r="W105" s="185">
        <f t="shared" si="34"/>
        <v>35000</v>
      </c>
      <c r="X105" s="181"/>
      <c r="Y105" s="185">
        <f t="shared" si="35"/>
        <v>35000</v>
      </c>
      <c r="Z105" s="186"/>
      <c r="AA105" s="161"/>
      <c r="AB105" s="161"/>
      <c r="AC105" s="161"/>
    </row>
    <row r="106" spans="1:29" ht="18" customHeight="1" thickBot="1" x14ac:dyDescent="0.35">
      <c r="A106" s="200"/>
      <c r="B106" s="201"/>
      <c r="C106" s="201"/>
      <c r="D106" s="201"/>
      <c r="E106" s="201"/>
      <c r="F106" s="201" t="s">
        <v>133</v>
      </c>
      <c r="G106" s="201"/>
      <c r="H106" s="201"/>
      <c r="I106" s="201"/>
      <c r="J106" s="201"/>
      <c r="K106" s="201"/>
      <c r="L106" s="202"/>
      <c r="M106" s="161"/>
      <c r="N106" s="178"/>
      <c r="O106" s="179" t="s">
        <v>115</v>
      </c>
      <c r="P106" s="179"/>
      <c r="Q106" s="179"/>
      <c r="R106" s="179">
        <v>0</v>
      </c>
      <c r="S106" s="159"/>
      <c r="T106" s="179" t="s">
        <v>115</v>
      </c>
      <c r="U106" s="185"/>
      <c r="V106" s="181"/>
      <c r="W106" s="185" t="str">
        <f t="shared" si="34"/>
        <v/>
      </c>
      <c r="X106" s="181"/>
      <c r="Y106" s="185" t="str">
        <f t="shared" si="35"/>
        <v/>
      </c>
      <c r="Z106" s="186"/>
      <c r="AA106" s="161"/>
      <c r="AB106" s="161"/>
      <c r="AC106" s="161"/>
    </row>
    <row r="107" spans="1:29" ht="18" customHeight="1" thickBot="1" x14ac:dyDescent="0.25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161"/>
      <c r="N107" s="178"/>
      <c r="O107" s="179" t="s">
        <v>118</v>
      </c>
      <c r="P107" s="179"/>
      <c r="Q107" s="179"/>
      <c r="R107" s="179">
        <v>0</v>
      </c>
      <c r="S107" s="159"/>
      <c r="T107" s="179" t="s">
        <v>118</v>
      </c>
      <c r="U107" s="185"/>
      <c r="V107" s="181"/>
      <c r="W107" s="185" t="str">
        <f t="shared" si="34"/>
        <v/>
      </c>
      <c r="X107" s="181"/>
      <c r="Y107" s="185" t="str">
        <f t="shared" si="35"/>
        <v/>
      </c>
      <c r="Z107" s="186"/>
      <c r="AA107" s="161"/>
      <c r="AB107" s="161"/>
      <c r="AC107" s="161"/>
    </row>
    <row r="108" spans="1:29" ht="18" customHeight="1" thickBot="1" x14ac:dyDescent="0.25">
      <c r="A108" s="447" t="s">
        <v>89</v>
      </c>
      <c r="B108" s="453"/>
      <c r="C108" s="453"/>
      <c r="D108" s="453"/>
      <c r="E108" s="453"/>
      <c r="F108" s="453"/>
      <c r="G108" s="453"/>
      <c r="H108" s="453"/>
      <c r="I108" s="453"/>
      <c r="J108" s="453"/>
      <c r="K108" s="453"/>
      <c r="L108" s="454"/>
      <c r="M108" s="161"/>
      <c r="N108" s="178"/>
      <c r="O108" s="179" t="s">
        <v>119</v>
      </c>
      <c r="P108" s="179"/>
      <c r="Q108" s="179"/>
      <c r="R108" s="179">
        <v>0</v>
      </c>
      <c r="S108" s="159"/>
      <c r="T108" s="179" t="s">
        <v>119</v>
      </c>
      <c r="U108" s="185"/>
      <c r="V108" s="181"/>
      <c r="W108" s="185" t="str">
        <f t="shared" si="34"/>
        <v/>
      </c>
      <c r="X108" s="181"/>
      <c r="Y108" s="185" t="str">
        <f t="shared" si="35"/>
        <v/>
      </c>
      <c r="Z108" s="186"/>
      <c r="AA108" s="161"/>
      <c r="AB108" s="161"/>
      <c r="AC108" s="161"/>
    </row>
    <row r="109" spans="1:29" ht="18" customHeight="1" x14ac:dyDescent="0.2">
      <c r="A109" s="166"/>
      <c r="B109" s="152"/>
      <c r="C109" s="443" t="s">
        <v>134</v>
      </c>
      <c r="D109" s="435"/>
      <c r="E109" s="435"/>
      <c r="F109" s="435"/>
      <c r="G109" s="167" t="str">
        <f>$J$1</f>
        <v>August</v>
      </c>
      <c r="H109" s="444">
        <f>$K$1</f>
        <v>2024</v>
      </c>
      <c r="I109" s="435"/>
      <c r="J109" s="152"/>
      <c r="K109" s="168"/>
      <c r="L109" s="169"/>
      <c r="M109" s="161"/>
      <c r="N109" s="178"/>
      <c r="O109" s="179" t="s">
        <v>120</v>
      </c>
      <c r="P109" s="179"/>
      <c r="Q109" s="179"/>
      <c r="R109" s="179">
        <v>0</v>
      </c>
      <c r="S109" s="159"/>
      <c r="T109" s="179" t="s">
        <v>120</v>
      </c>
      <c r="U109" s="185"/>
      <c r="V109" s="181"/>
      <c r="W109" s="185" t="str">
        <f t="shared" si="34"/>
        <v/>
      </c>
      <c r="X109" s="181"/>
      <c r="Y109" s="185" t="str">
        <f t="shared" si="35"/>
        <v/>
      </c>
      <c r="Z109" s="186"/>
      <c r="AA109" s="161"/>
      <c r="AB109" s="161"/>
      <c r="AC109" s="161"/>
    </row>
    <row r="110" spans="1:29" ht="18" customHeight="1" x14ac:dyDescent="0.2">
      <c r="A110" s="166"/>
      <c r="B110" s="152"/>
      <c r="C110" s="152"/>
      <c r="D110" s="175"/>
      <c r="E110" s="175"/>
      <c r="F110" s="175"/>
      <c r="G110" s="175"/>
      <c r="H110" s="175"/>
      <c r="I110" s="152"/>
      <c r="J110" s="176" t="s">
        <v>99</v>
      </c>
      <c r="K110" s="154">
        <f>35000+3000+5000+17000</f>
        <v>60000</v>
      </c>
      <c r="L110" s="177"/>
      <c r="M110" s="161"/>
      <c r="N110" s="178"/>
      <c r="O110" s="179" t="s">
        <v>121</v>
      </c>
      <c r="P110" s="179"/>
      <c r="Q110" s="179"/>
      <c r="R110" s="179">
        <v>0</v>
      </c>
      <c r="S110" s="159"/>
      <c r="T110" s="179" t="s">
        <v>121</v>
      </c>
      <c r="U110" s="185"/>
      <c r="V110" s="181"/>
      <c r="W110" s="185" t="str">
        <f t="shared" si="34"/>
        <v/>
      </c>
      <c r="X110" s="181"/>
      <c r="Y110" s="185" t="str">
        <f t="shared" si="35"/>
        <v/>
      </c>
      <c r="Z110" s="186"/>
      <c r="AA110" s="161"/>
      <c r="AB110" s="161"/>
      <c r="AC110" s="161"/>
    </row>
    <row r="111" spans="1:29" ht="18" customHeight="1" thickBot="1" x14ac:dyDescent="0.25">
      <c r="A111" s="166"/>
      <c r="B111" s="152" t="s">
        <v>101</v>
      </c>
      <c r="C111" s="151" t="s">
        <v>135</v>
      </c>
      <c r="D111" s="152"/>
      <c r="E111" s="152"/>
      <c r="F111" s="152"/>
      <c r="G111" s="152"/>
      <c r="H111" s="182"/>
      <c r="I111" s="175"/>
      <c r="J111" s="152"/>
      <c r="K111" s="152"/>
      <c r="L111" s="183"/>
      <c r="M111" s="204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4"/>
      <c r="AB111" s="204"/>
      <c r="AC111" s="204"/>
    </row>
    <row r="112" spans="1:29" ht="18" customHeight="1" x14ac:dyDescent="0.2">
      <c r="A112" s="166"/>
      <c r="B112" s="187" t="s">
        <v>103</v>
      </c>
      <c r="C112" s="188" t="s">
        <v>136</v>
      </c>
      <c r="D112" s="152"/>
      <c r="E112" s="152"/>
      <c r="F112" s="439" t="s">
        <v>91</v>
      </c>
      <c r="G112" s="413"/>
      <c r="H112" s="152"/>
      <c r="I112" s="439" t="s">
        <v>104</v>
      </c>
      <c r="J112" s="412"/>
      <c r="K112" s="413"/>
      <c r="L112" s="189"/>
      <c r="M112" s="162"/>
      <c r="N112" s="163"/>
      <c r="O112" s="440" t="s">
        <v>90</v>
      </c>
      <c r="P112" s="441"/>
      <c r="Q112" s="441"/>
      <c r="R112" s="442"/>
      <c r="S112" s="164"/>
      <c r="T112" s="440" t="s">
        <v>91</v>
      </c>
      <c r="U112" s="441"/>
      <c r="V112" s="441"/>
      <c r="W112" s="441"/>
      <c r="X112" s="441"/>
      <c r="Y112" s="442"/>
      <c r="Z112" s="165"/>
      <c r="AA112" s="162"/>
      <c r="AB112" s="161"/>
      <c r="AC112" s="161"/>
    </row>
    <row r="113" spans="1:29" ht="18" customHeight="1" x14ac:dyDescent="0.2">
      <c r="A113" s="166"/>
      <c r="B113" s="152"/>
      <c r="C113" s="152"/>
      <c r="D113" s="152"/>
      <c r="E113" s="152"/>
      <c r="F113" s="152"/>
      <c r="G113" s="152"/>
      <c r="H113" s="190"/>
      <c r="I113" s="152"/>
      <c r="J113" s="152"/>
      <c r="K113" s="152"/>
      <c r="L113" s="191"/>
      <c r="M113" s="170"/>
      <c r="N113" s="171"/>
      <c r="O113" s="172" t="s">
        <v>93</v>
      </c>
      <c r="P113" s="172" t="s">
        <v>94</v>
      </c>
      <c r="Q113" s="172" t="s">
        <v>95</v>
      </c>
      <c r="R113" s="172" t="s">
        <v>96</v>
      </c>
      <c r="S113" s="173"/>
      <c r="T113" s="172" t="s">
        <v>93</v>
      </c>
      <c r="U113" s="172" t="s">
        <v>97</v>
      </c>
      <c r="V113" s="172" t="s">
        <v>9</v>
      </c>
      <c r="W113" s="172" t="s">
        <v>10</v>
      </c>
      <c r="X113" s="172" t="s">
        <v>11</v>
      </c>
      <c r="Y113" s="172" t="s">
        <v>98</v>
      </c>
      <c r="Z113" s="174"/>
      <c r="AA113" s="170"/>
      <c r="AB113" s="161"/>
      <c r="AC113" s="161"/>
    </row>
    <row r="114" spans="1:29" ht="18" customHeight="1" x14ac:dyDescent="0.2">
      <c r="A114" s="166"/>
      <c r="B114" s="445" t="s">
        <v>90</v>
      </c>
      <c r="C114" s="413"/>
      <c r="D114" s="152"/>
      <c r="E114" s="152"/>
      <c r="F114" s="192" t="s">
        <v>107</v>
      </c>
      <c r="G114" s="193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0</v>
      </c>
      <c r="H114" s="190"/>
      <c r="I114" s="194">
        <f>IF(C118&gt;0,$K$2,C116)</f>
        <v>31</v>
      </c>
      <c r="J114" s="195" t="s">
        <v>108</v>
      </c>
      <c r="K114" s="196">
        <f>K110/$K$2*I114</f>
        <v>60000</v>
      </c>
      <c r="L114" s="197"/>
      <c r="M114" s="161"/>
      <c r="N114" s="178"/>
      <c r="O114" s="179" t="s">
        <v>100</v>
      </c>
      <c r="P114" s="179">
        <v>31</v>
      </c>
      <c r="Q114" s="179">
        <v>0</v>
      </c>
      <c r="R114" s="179">
        <f>15-Q114</f>
        <v>15</v>
      </c>
      <c r="S114" s="180"/>
      <c r="T114" s="179" t="s">
        <v>100</v>
      </c>
      <c r="U114" s="181">
        <v>63500</v>
      </c>
      <c r="V114" s="181"/>
      <c r="W114" s="181">
        <f>V114+U114</f>
        <v>63500</v>
      </c>
      <c r="X114" s="181">
        <v>5000</v>
      </c>
      <c r="Y114" s="181">
        <f>W114-X114</f>
        <v>58500</v>
      </c>
      <c r="Z114" s="174"/>
      <c r="AA114" s="161"/>
      <c r="AB114" s="161"/>
      <c r="AC114" s="161"/>
    </row>
    <row r="115" spans="1:29" ht="18" customHeight="1" x14ac:dyDescent="0.2">
      <c r="A115" s="166"/>
      <c r="B115" s="198"/>
      <c r="C115" s="198"/>
      <c r="D115" s="152"/>
      <c r="E115" s="152"/>
      <c r="F115" s="192" t="s">
        <v>9</v>
      </c>
      <c r="G115" s="193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5" s="190"/>
      <c r="I115" s="194">
        <v>21.5</v>
      </c>
      <c r="J115" s="195" t="s">
        <v>110</v>
      </c>
      <c r="K115" s="193">
        <f>K110/$K$2/8*I115</f>
        <v>5201.6129032258068</v>
      </c>
      <c r="L115" s="199"/>
      <c r="M115" s="162"/>
      <c r="N115" s="184"/>
      <c r="O115" s="179" t="s">
        <v>102</v>
      </c>
      <c r="P115" s="179">
        <v>29</v>
      </c>
      <c r="Q115" s="179">
        <v>0</v>
      </c>
      <c r="R115" s="179">
        <f t="shared" ref="R115:R125" si="37">IF(Q115="","",R114-Q115)</f>
        <v>15</v>
      </c>
      <c r="S115" s="159"/>
      <c r="T115" s="179" t="s">
        <v>102</v>
      </c>
      <c r="U115" s="185">
        <f t="shared" ref="U115:U116" si="38">Y114</f>
        <v>58500</v>
      </c>
      <c r="V115" s="181"/>
      <c r="W115" s="185">
        <f t="shared" ref="W115:W125" si="39">IF(U115="","",U115+V115)</f>
        <v>58500</v>
      </c>
      <c r="X115" s="181">
        <v>2500</v>
      </c>
      <c r="Y115" s="185">
        <f t="shared" ref="Y115:Y125" si="40">IF(W115="","",W115-X115)</f>
        <v>56000</v>
      </c>
      <c r="Z115" s="186"/>
      <c r="AA115" s="162"/>
      <c r="AB115" s="161"/>
      <c r="AC115" s="161"/>
    </row>
    <row r="116" spans="1:29" ht="18" customHeight="1" x14ac:dyDescent="0.2">
      <c r="A116" s="166"/>
      <c r="B116" s="192" t="s">
        <v>94</v>
      </c>
      <c r="C116" s="198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16" s="152"/>
      <c r="E116" s="152"/>
      <c r="F116" s="192" t="s">
        <v>111</v>
      </c>
      <c r="G116" s="193" t="str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/>
      </c>
      <c r="H116" s="190"/>
      <c r="I116" s="446" t="s">
        <v>112</v>
      </c>
      <c r="J116" s="413"/>
      <c r="K116" s="193">
        <f>K114+K115</f>
        <v>65201.612903225803</v>
      </c>
      <c r="L116" s="199"/>
      <c r="M116" s="161"/>
      <c r="N116" s="178"/>
      <c r="O116" s="179" t="s">
        <v>105</v>
      </c>
      <c r="P116" s="179">
        <v>30</v>
      </c>
      <c r="Q116" s="179">
        <v>1</v>
      </c>
      <c r="R116" s="179">
        <f t="shared" si="37"/>
        <v>14</v>
      </c>
      <c r="S116" s="159"/>
      <c r="T116" s="179" t="s">
        <v>105</v>
      </c>
      <c r="U116" s="185">
        <f t="shared" si="38"/>
        <v>56000</v>
      </c>
      <c r="V116" s="181">
        <v>4000</v>
      </c>
      <c r="W116" s="185">
        <f t="shared" si="39"/>
        <v>60000</v>
      </c>
      <c r="X116" s="181"/>
      <c r="Y116" s="185">
        <f t="shared" si="40"/>
        <v>60000</v>
      </c>
      <c r="Z116" s="186"/>
      <c r="AA116" s="161"/>
      <c r="AB116" s="161"/>
      <c r="AC116" s="161"/>
    </row>
    <row r="117" spans="1:29" ht="18" customHeight="1" x14ac:dyDescent="0.2">
      <c r="A117" s="166"/>
      <c r="B117" s="192" t="s">
        <v>95</v>
      </c>
      <c r="C117" s="198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17" s="152"/>
      <c r="E117" s="152"/>
      <c r="F117" s="192" t="s">
        <v>11</v>
      </c>
      <c r="G117" s="193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17" s="190"/>
      <c r="I117" s="446" t="s">
        <v>114</v>
      </c>
      <c r="J117" s="413"/>
      <c r="K117" s="193">
        <f>G117</f>
        <v>0</v>
      </c>
      <c r="L117" s="199"/>
      <c r="M117" s="161"/>
      <c r="N117" s="178"/>
      <c r="O117" s="179" t="s">
        <v>106</v>
      </c>
      <c r="P117" s="179">
        <v>29</v>
      </c>
      <c r="Q117" s="179">
        <v>1</v>
      </c>
      <c r="R117" s="179">
        <f t="shared" si="37"/>
        <v>13</v>
      </c>
      <c r="S117" s="159"/>
      <c r="T117" s="179" t="s">
        <v>106</v>
      </c>
      <c r="U117" s="185">
        <f>IF($J$1="March","",Y116)</f>
        <v>60000</v>
      </c>
      <c r="V117" s="181">
        <v>18000</v>
      </c>
      <c r="W117" s="185">
        <f t="shared" si="39"/>
        <v>78000</v>
      </c>
      <c r="X117" s="181">
        <v>5000</v>
      </c>
      <c r="Y117" s="185">
        <f t="shared" si="40"/>
        <v>73000</v>
      </c>
      <c r="Z117" s="186"/>
      <c r="AA117" s="161"/>
      <c r="AB117" s="161"/>
      <c r="AC117" s="161"/>
    </row>
    <row r="118" spans="1:29" ht="18" customHeight="1" x14ac:dyDescent="0.2">
      <c r="A118" s="166"/>
      <c r="B118" s="207" t="s">
        <v>116</v>
      </c>
      <c r="C118" s="198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18" s="152"/>
      <c r="E118" s="152"/>
      <c r="F118" s="207" t="s">
        <v>117</v>
      </c>
      <c r="G118" s="193" t="str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/>
      </c>
      <c r="H118" s="152"/>
      <c r="I118" s="439" t="s">
        <v>13</v>
      </c>
      <c r="J118" s="413"/>
      <c r="K118" s="37">
        <f>K116-K117</f>
        <v>65201.612903225803</v>
      </c>
      <c r="L118" s="183"/>
      <c r="M118" s="161"/>
      <c r="N118" s="178"/>
      <c r="O118" s="179" t="s">
        <v>109</v>
      </c>
      <c r="P118" s="179">
        <v>31</v>
      </c>
      <c r="Q118" s="179">
        <v>0</v>
      </c>
      <c r="R118" s="179">
        <f t="shared" si="37"/>
        <v>13</v>
      </c>
      <c r="S118" s="159"/>
      <c r="T118" s="179" t="s">
        <v>109</v>
      </c>
      <c r="U118" s="185">
        <f t="shared" ref="U118:U119" si="41">Y117</f>
        <v>73000</v>
      </c>
      <c r="V118" s="181">
        <v>5000</v>
      </c>
      <c r="W118" s="185">
        <f t="shared" si="39"/>
        <v>78000</v>
      </c>
      <c r="X118" s="181">
        <v>5000</v>
      </c>
      <c r="Y118" s="185">
        <f t="shared" si="40"/>
        <v>73000</v>
      </c>
      <c r="Z118" s="186"/>
      <c r="AA118" s="161"/>
      <c r="AB118" s="161"/>
      <c r="AC118" s="161"/>
    </row>
    <row r="119" spans="1:29" ht="18" customHeight="1" x14ac:dyDescent="0.2">
      <c r="A119" s="166"/>
      <c r="B119" s="152"/>
      <c r="C119" s="152"/>
      <c r="D119" s="152"/>
      <c r="E119" s="152"/>
      <c r="F119" s="152"/>
      <c r="G119" s="152"/>
      <c r="H119" s="152"/>
      <c r="I119" s="434"/>
      <c r="J119" s="435"/>
      <c r="K119" s="154"/>
      <c r="L119" s="189"/>
      <c r="M119" s="161"/>
      <c r="N119" s="178"/>
      <c r="O119" s="179" t="s">
        <v>85</v>
      </c>
      <c r="P119" s="179">
        <v>28</v>
      </c>
      <c r="Q119" s="179">
        <v>2</v>
      </c>
      <c r="R119" s="179">
        <f t="shared" si="37"/>
        <v>11</v>
      </c>
      <c r="S119" s="159"/>
      <c r="T119" s="179" t="s">
        <v>85</v>
      </c>
      <c r="U119" s="185">
        <f t="shared" si="41"/>
        <v>73000</v>
      </c>
      <c r="V119" s="181"/>
      <c r="W119" s="185">
        <f t="shared" si="39"/>
        <v>73000</v>
      </c>
      <c r="X119" s="181">
        <v>5000</v>
      </c>
      <c r="Y119" s="185">
        <f t="shared" si="40"/>
        <v>68000</v>
      </c>
      <c r="Z119" s="186"/>
      <c r="AA119" s="161"/>
      <c r="AB119" s="161"/>
      <c r="AC119" s="161"/>
    </row>
    <row r="120" spans="1:29" ht="18" customHeight="1" x14ac:dyDescent="0.3">
      <c r="A120" s="166"/>
      <c r="B120" s="150"/>
      <c r="C120" s="150"/>
      <c r="D120" s="150"/>
      <c r="E120" s="150"/>
      <c r="F120" s="150"/>
      <c r="G120" s="150"/>
      <c r="H120" s="150"/>
      <c r="I120" s="434"/>
      <c r="J120" s="435"/>
      <c r="K120" s="154"/>
      <c r="L120" s="189"/>
      <c r="M120" s="161"/>
      <c r="N120" s="178"/>
      <c r="O120" s="179" t="s">
        <v>113</v>
      </c>
      <c r="P120" s="179">
        <v>31</v>
      </c>
      <c r="Q120" s="179">
        <v>0</v>
      </c>
      <c r="R120" s="179">
        <f t="shared" si="37"/>
        <v>11</v>
      </c>
      <c r="S120" s="159"/>
      <c r="T120" s="179" t="s">
        <v>113</v>
      </c>
      <c r="U120" s="185">
        <f>Y119</f>
        <v>68000</v>
      </c>
      <c r="V120" s="181"/>
      <c r="W120" s="185">
        <f t="shared" si="39"/>
        <v>68000</v>
      </c>
      <c r="X120" s="181">
        <v>5000</v>
      </c>
      <c r="Y120" s="185">
        <f t="shared" si="40"/>
        <v>63000</v>
      </c>
      <c r="Z120" s="186"/>
      <c r="AA120" s="161"/>
      <c r="AB120" s="161"/>
      <c r="AC120" s="161"/>
    </row>
    <row r="121" spans="1:29" ht="18" customHeight="1" thickBot="1" x14ac:dyDescent="0.35">
      <c r="A121" s="200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2"/>
      <c r="M121" s="161"/>
      <c r="N121" s="178"/>
      <c r="O121" s="179" t="s">
        <v>115</v>
      </c>
      <c r="P121" s="179"/>
      <c r="Q121" s="179"/>
      <c r="R121" s="179" t="str">
        <f t="shared" si="37"/>
        <v/>
      </c>
      <c r="S121" s="159"/>
      <c r="T121" s="179" t="s">
        <v>115</v>
      </c>
      <c r="U121" s="185"/>
      <c r="V121" s="181"/>
      <c r="W121" s="185" t="str">
        <f t="shared" si="39"/>
        <v/>
      </c>
      <c r="X121" s="181"/>
      <c r="Y121" s="185" t="str">
        <f t="shared" si="40"/>
        <v/>
      </c>
      <c r="Z121" s="186"/>
      <c r="AA121" s="161"/>
      <c r="AB121" s="161"/>
      <c r="AC121" s="161"/>
    </row>
    <row r="122" spans="1:29" ht="18" customHeight="1" thickBot="1" x14ac:dyDescent="0.25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161"/>
      <c r="N122" s="178"/>
      <c r="O122" s="179" t="s">
        <v>118</v>
      </c>
      <c r="P122" s="179"/>
      <c r="Q122" s="179"/>
      <c r="R122" s="179" t="str">
        <f t="shared" si="37"/>
        <v/>
      </c>
      <c r="S122" s="159"/>
      <c r="T122" s="179" t="s">
        <v>118</v>
      </c>
      <c r="U122" s="185"/>
      <c r="V122" s="181"/>
      <c r="W122" s="185" t="str">
        <f t="shared" si="39"/>
        <v/>
      </c>
      <c r="X122" s="181"/>
      <c r="Y122" s="185" t="str">
        <f t="shared" si="40"/>
        <v/>
      </c>
      <c r="Z122" s="186"/>
      <c r="AA122" s="161"/>
      <c r="AB122" s="161"/>
      <c r="AC122" s="161"/>
    </row>
    <row r="123" spans="1:29" ht="18" customHeight="1" thickBot="1" x14ac:dyDescent="0.25">
      <c r="A123" s="447" t="s">
        <v>89</v>
      </c>
      <c r="B123" s="453"/>
      <c r="C123" s="453"/>
      <c r="D123" s="453"/>
      <c r="E123" s="453"/>
      <c r="F123" s="453"/>
      <c r="G123" s="453"/>
      <c r="H123" s="453"/>
      <c r="I123" s="453"/>
      <c r="J123" s="453"/>
      <c r="K123" s="453"/>
      <c r="L123" s="454"/>
      <c r="M123" s="161"/>
      <c r="N123" s="178"/>
      <c r="O123" s="179" t="s">
        <v>119</v>
      </c>
      <c r="P123" s="179"/>
      <c r="Q123" s="179"/>
      <c r="R123" s="179" t="str">
        <f t="shared" si="37"/>
        <v/>
      </c>
      <c r="S123" s="159"/>
      <c r="T123" s="179" t="s">
        <v>119</v>
      </c>
      <c r="U123" s="185"/>
      <c r="V123" s="181"/>
      <c r="W123" s="185" t="str">
        <f t="shared" si="39"/>
        <v/>
      </c>
      <c r="X123" s="181"/>
      <c r="Y123" s="185" t="str">
        <f t="shared" si="40"/>
        <v/>
      </c>
      <c r="Z123" s="186"/>
      <c r="AA123" s="161"/>
      <c r="AB123" s="161"/>
      <c r="AC123" s="161"/>
    </row>
    <row r="124" spans="1:29" ht="18" customHeight="1" x14ac:dyDescent="0.2">
      <c r="A124" s="166"/>
      <c r="B124" s="152"/>
      <c r="C124" s="443" t="s">
        <v>137</v>
      </c>
      <c r="D124" s="435"/>
      <c r="E124" s="435"/>
      <c r="F124" s="435"/>
      <c r="G124" s="167" t="str">
        <f>$J$1</f>
        <v>August</v>
      </c>
      <c r="H124" s="444">
        <f>$K$1</f>
        <v>2024</v>
      </c>
      <c r="I124" s="435"/>
      <c r="J124" s="152"/>
      <c r="K124" s="168"/>
      <c r="L124" s="169"/>
      <c r="M124" s="161"/>
      <c r="N124" s="178"/>
      <c r="O124" s="179" t="s">
        <v>120</v>
      </c>
      <c r="P124" s="179"/>
      <c r="Q124" s="179"/>
      <c r="R124" s="179" t="str">
        <f t="shared" si="37"/>
        <v/>
      </c>
      <c r="S124" s="159"/>
      <c r="T124" s="179" t="s">
        <v>120</v>
      </c>
      <c r="U124" s="185"/>
      <c r="V124" s="181"/>
      <c r="W124" s="185" t="str">
        <f t="shared" si="39"/>
        <v/>
      </c>
      <c r="X124" s="181"/>
      <c r="Y124" s="185" t="str">
        <f t="shared" si="40"/>
        <v/>
      </c>
      <c r="Z124" s="186"/>
      <c r="AA124" s="161"/>
      <c r="AB124" s="161"/>
      <c r="AC124" s="161"/>
    </row>
    <row r="125" spans="1:29" ht="18" customHeight="1" x14ac:dyDescent="0.2">
      <c r="A125" s="166"/>
      <c r="B125" s="152"/>
      <c r="C125" s="152"/>
      <c r="D125" s="175"/>
      <c r="E125" s="175"/>
      <c r="F125" s="175"/>
      <c r="G125" s="175"/>
      <c r="H125" s="175"/>
      <c r="I125" s="152"/>
      <c r="J125" s="176" t="s">
        <v>99</v>
      </c>
      <c r="K125" s="154">
        <f>35000+7000</f>
        <v>42000</v>
      </c>
      <c r="L125" s="177"/>
      <c r="M125" s="161"/>
      <c r="N125" s="178"/>
      <c r="O125" s="179" t="s">
        <v>121</v>
      </c>
      <c r="P125" s="179"/>
      <c r="Q125" s="179"/>
      <c r="R125" s="179" t="str">
        <f t="shared" si="37"/>
        <v/>
      </c>
      <c r="S125" s="159"/>
      <c r="T125" s="179" t="s">
        <v>121</v>
      </c>
      <c r="U125" s="185"/>
      <c r="V125" s="181"/>
      <c r="W125" s="185" t="str">
        <f t="shared" si="39"/>
        <v/>
      </c>
      <c r="X125" s="181"/>
      <c r="Y125" s="185" t="str">
        <f t="shared" si="40"/>
        <v/>
      </c>
      <c r="Z125" s="186"/>
      <c r="AA125" s="161"/>
      <c r="AB125" s="161"/>
      <c r="AC125" s="161"/>
    </row>
    <row r="126" spans="1:29" ht="18" customHeight="1" thickBot="1" x14ac:dyDescent="0.25">
      <c r="A126" s="166"/>
      <c r="B126" s="152" t="s">
        <v>101</v>
      </c>
      <c r="C126" s="151" t="s">
        <v>138</v>
      </c>
      <c r="D126" s="152"/>
      <c r="E126" s="152"/>
      <c r="F126" s="152"/>
      <c r="G126" s="175"/>
      <c r="H126" s="182"/>
      <c r="I126" s="175"/>
      <c r="J126" s="152"/>
      <c r="K126" s="152"/>
      <c r="L126" s="183"/>
      <c r="M126" s="204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4"/>
      <c r="AB126" s="204"/>
      <c r="AC126" s="204"/>
    </row>
    <row r="127" spans="1:29" ht="18" customHeight="1" x14ac:dyDescent="0.2">
      <c r="A127" s="166"/>
      <c r="B127" s="187" t="s">
        <v>103</v>
      </c>
      <c r="C127" s="188"/>
      <c r="D127" s="152"/>
      <c r="E127" s="152"/>
      <c r="F127" s="439" t="s">
        <v>91</v>
      </c>
      <c r="G127" s="413"/>
      <c r="H127" s="152"/>
      <c r="I127" s="439" t="s">
        <v>104</v>
      </c>
      <c r="J127" s="412"/>
      <c r="K127" s="413"/>
      <c r="L127" s="189"/>
      <c r="M127" s="162"/>
      <c r="N127" s="163"/>
      <c r="O127" s="440" t="s">
        <v>90</v>
      </c>
      <c r="P127" s="441"/>
      <c r="Q127" s="441"/>
      <c r="R127" s="442"/>
      <c r="S127" s="164"/>
      <c r="T127" s="440" t="s">
        <v>91</v>
      </c>
      <c r="U127" s="441"/>
      <c r="V127" s="441"/>
      <c r="W127" s="441"/>
      <c r="X127" s="441"/>
      <c r="Y127" s="442"/>
      <c r="Z127" s="165"/>
      <c r="AA127" s="162"/>
      <c r="AB127" s="161"/>
      <c r="AC127" s="161"/>
    </row>
    <row r="128" spans="1:29" ht="18" customHeight="1" x14ac:dyDescent="0.2">
      <c r="A128" s="166"/>
      <c r="B128" s="152"/>
      <c r="C128" s="152"/>
      <c r="D128" s="152"/>
      <c r="E128" s="152"/>
      <c r="F128" s="152"/>
      <c r="G128" s="152"/>
      <c r="H128" s="190"/>
      <c r="I128" s="152"/>
      <c r="J128" s="152"/>
      <c r="K128" s="152"/>
      <c r="L128" s="191"/>
      <c r="M128" s="170"/>
      <c r="N128" s="171"/>
      <c r="O128" s="172" t="s">
        <v>93</v>
      </c>
      <c r="P128" s="172" t="s">
        <v>94</v>
      </c>
      <c r="Q128" s="172" t="s">
        <v>95</v>
      </c>
      <c r="R128" s="172" t="s">
        <v>96</v>
      </c>
      <c r="S128" s="173"/>
      <c r="T128" s="172" t="s">
        <v>93</v>
      </c>
      <c r="U128" s="172" t="s">
        <v>97</v>
      </c>
      <c r="V128" s="172" t="s">
        <v>9</v>
      </c>
      <c r="W128" s="172" t="s">
        <v>10</v>
      </c>
      <c r="X128" s="172" t="s">
        <v>11</v>
      </c>
      <c r="Y128" s="172" t="s">
        <v>98</v>
      </c>
      <c r="Z128" s="174"/>
      <c r="AA128" s="170"/>
      <c r="AB128" s="161"/>
      <c r="AC128" s="161"/>
    </row>
    <row r="129" spans="1:29" ht="18" customHeight="1" x14ac:dyDescent="0.2">
      <c r="A129" s="166"/>
      <c r="B129" s="445" t="s">
        <v>90</v>
      </c>
      <c r="C129" s="413"/>
      <c r="D129" s="152"/>
      <c r="E129" s="152"/>
      <c r="F129" s="192" t="s">
        <v>107</v>
      </c>
      <c r="G129" s="193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29" s="190"/>
      <c r="I129" s="194">
        <f>IF(C133&gt;0,$K$2,C131)</f>
        <v>31</v>
      </c>
      <c r="J129" s="195" t="s">
        <v>108</v>
      </c>
      <c r="K129" s="196">
        <f>K125/$K$2*I129</f>
        <v>42000</v>
      </c>
      <c r="L129" s="197"/>
      <c r="M129" s="161"/>
      <c r="N129" s="178"/>
      <c r="O129" s="179" t="s">
        <v>100</v>
      </c>
      <c r="P129" s="179">
        <v>30</v>
      </c>
      <c r="Q129" s="179">
        <v>1</v>
      </c>
      <c r="R129" s="179">
        <f>15-Q129+2+4</f>
        <v>20</v>
      </c>
      <c r="S129" s="180"/>
      <c r="T129" s="179" t="s">
        <v>100</v>
      </c>
      <c r="U129" s="181"/>
      <c r="V129" s="181"/>
      <c r="W129" s="181">
        <f>V129+U129</f>
        <v>0</v>
      </c>
      <c r="X129" s="181"/>
      <c r="Y129" s="181">
        <f>W129-X129</f>
        <v>0</v>
      </c>
      <c r="Z129" s="174"/>
      <c r="AA129" s="161"/>
      <c r="AB129" s="161"/>
      <c r="AC129" s="161"/>
    </row>
    <row r="130" spans="1:29" ht="18" customHeight="1" x14ac:dyDescent="0.2">
      <c r="A130" s="166"/>
      <c r="B130" s="198"/>
      <c r="C130" s="198"/>
      <c r="D130" s="152"/>
      <c r="E130" s="152"/>
      <c r="F130" s="192" t="s">
        <v>9</v>
      </c>
      <c r="G130" s="193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0" s="190"/>
      <c r="I130" s="194">
        <v>53</v>
      </c>
      <c r="J130" s="195" t="s">
        <v>110</v>
      </c>
      <c r="K130" s="193">
        <f>K125/$K$2/8*I130</f>
        <v>8975.8064516129034</v>
      </c>
      <c r="L130" s="199"/>
      <c r="M130" s="162"/>
      <c r="N130" s="184"/>
      <c r="O130" s="179" t="s">
        <v>102</v>
      </c>
      <c r="P130" s="179">
        <v>26</v>
      </c>
      <c r="Q130" s="179">
        <v>3</v>
      </c>
      <c r="R130" s="179">
        <f t="shared" ref="R130:R140" si="42">IF(Q130="","",R129-Q130)</f>
        <v>17</v>
      </c>
      <c r="S130" s="159"/>
      <c r="T130" s="179" t="s">
        <v>102</v>
      </c>
      <c r="U130" s="185">
        <f t="shared" ref="U130:U136" si="43">Y129</f>
        <v>0</v>
      </c>
      <c r="V130" s="181"/>
      <c r="W130" s="185">
        <f t="shared" ref="W130:W140" si="44">IF(U130="","",U130+V130)</f>
        <v>0</v>
      </c>
      <c r="X130" s="181"/>
      <c r="Y130" s="185">
        <f t="shared" ref="Y130:Y140" si="45">IF(W130="","",W130-X130)</f>
        <v>0</v>
      </c>
      <c r="Z130" s="186"/>
      <c r="AA130" s="162"/>
      <c r="AB130" s="161"/>
      <c r="AC130" s="161"/>
    </row>
    <row r="131" spans="1:29" ht="18" customHeight="1" x14ac:dyDescent="0.2">
      <c r="A131" s="166"/>
      <c r="B131" s="192" t="s">
        <v>94</v>
      </c>
      <c r="C131" s="198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0</v>
      </c>
      <c r="D131" s="152"/>
      <c r="E131" s="152"/>
      <c r="F131" s="192" t="s">
        <v>111</v>
      </c>
      <c r="G131" s="193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1" s="190"/>
      <c r="I131" s="446" t="s">
        <v>112</v>
      </c>
      <c r="J131" s="413"/>
      <c r="K131" s="193">
        <f>K129+K130</f>
        <v>50975.806451612902</v>
      </c>
      <c r="L131" s="199"/>
      <c r="M131" s="161"/>
      <c r="N131" s="178"/>
      <c r="O131" s="179" t="s">
        <v>105</v>
      </c>
      <c r="P131" s="179">
        <v>31</v>
      </c>
      <c r="Q131" s="179">
        <v>0</v>
      </c>
      <c r="R131" s="179">
        <f t="shared" si="42"/>
        <v>17</v>
      </c>
      <c r="S131" s="159"/>
      <c r="T131" s="179" t="s">
        <v>105</v>
      </c>
      <c r="U131" s="185">
        <f t="shared" si="43"/>
        <v>0</v>
      </c>
      <c r="V131" s="181"/>
      <c r="W131" s="185">
        <f t="shared" si="44"/>
        <v>0</v>
      </c>
      <c r="X131" s="181"/>
      <c r="Y131" s="185">
        <f t="shared" si="45"/>
        <v>0</v>
      </c>
      <c r="Z131" s="186"/>
      <c r="AA131" s="161"/>
      <c r="AB131" s="161"/>
      <c r="AC131" s="161"/>
    </row>
    <row r="132" spans="1:29" ht="18" customHeight="1" x14ac:dyDescent="0.2">
      <c r="A132" s="166"/>
      <c r="B132" s="192" t="s">
        <v>95</v>
      </c>
      <c r="C132" s="198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2" s="152"/>
      <c r="E132" s="152"/>
      <c r="F132" s="192" t="s">
        <v>11</v>
      </c>
      <c r="G132" s="193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2" s="190"/>
      <c r="I132" s="446" t="s">
        <v>114</v>
      </c>
      <c r="J132" s="413"/>
      <c r="K132" s="193">
        <f>G132</f>
        <v>0</v>
      </c>
      <c r="L132" s="199"/>
      <c r="M132" s="161"/>
      <c r="N132" s="178"/>
      <c r="O132" s="179" t="s">
        <v>106</v>
      </c>
      <c r="P132" s="179">
        <v>28</v>
      </c>
      <c r="Q132" s="179">
        <v>2</v>
      </c>
      <c r="R132" s="179">
        <f t="shared" si="42"/>
        <v>15</v>
      </c>
      <c r="S132" s="159"/>
      <c r="T132" s="179" t="s">
        <v>106</v>
      </c>
      <c r="U132" s="185">
        <f t="shared" si="43"/>
        <v>0</v>
      </c>
      <c r="V132" s="181"/>
      <c r="W132" s="185">
        <f t="shared" si="44"/>
        <v>0</v>
      </c>
      <c r="X132" s="181"/>
      <c r="Y132" s="185">
        <f t="shared" si="45"/>
        <v>0</v>
      </c>
      <c r="Z132" s="186"/>
      <c r="AA132" s="161"/>
      <c r="AB132" s="209">
        <f>K133+K118</f>
        <v>116177.4193548387</v>
      </c>
      <c r="AC132" s="161"/>
    </row>
    <row r="133" spans="1:29" ht="18" customHeight="1" x14ac:dyDescent="0.2">
      <c r="A133" s="166"/>
      <c r="B133" s="207" t="s">
        <v>116</v>
      </c>
      <c r="C133" s="198" t="str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/>
      </c>
      <c r="D133" s="152"/>
      <c r="E133" s="152"/>
      <c r="F133" s="207" t="s">
        <v>117</v>
      </c>
      <c r="G133" s="193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3" s="152"/>
      <c r="I133" s="439" t="s">
        <v>13</v>
      </c>
      <c r="J133" s="413"/>
      <c r="K133" s="37">
        <f>K131-K132</f>
        <v>50975.806451612902</v>
      </c>
      <c r="L133" s="183"/>
      <c r="M133" s="161"/>
      <c r="N133" s="178"/>
      <c r="O133" s="179" t="s">
        <v>109</v>
      </c>
      <c r="P133" s="179">
        <v>31</v>
      </c>
      <c r="Q133" s="179">
        <v>0</v>
      </c>
      <c r="R133" s="179">
        <f t="shared" si="42"/>
        <v>15</v>
      </c>
      <c r="S133" s="159"/>
      <c r="T133" s="179" t="s">
        <v>109</v>
      </c>
      <c r="U133" s="185">
        <f t="shared" si="43"/>
        <v>0</v>
      </c>
      <c r="V133" s="181"/>
      <c r="W133" s="185">
        <f t="shared" si="44"/>
        <v>0</v>
      </c>
      <c r="X133" s="181"/>
      <c r="Y133" s="185">
        <f t="shared" si="45"/>
        <v>0</v>
      </c>
      <c r="Z133" s="186"/>
      <c r="AA133" s="161"/>
      <c r="AB133" s="161"/>
      <c r="AC133" s="161"/>
    </row>
    <row r="134" spans="1:29" ht="18" customHeight="1" x14ac:dyDescent="0.2">
      <c r="A134" s="166"/>
      <c r="B134" s="152"/>
      <c r="C134" s="152"/>
      <c r="D134" s="152"/>
      <c r="E134" s="152"/>
      <c r="F134" s="152"/>
      <c r="G134" s="152"/>
      <c r="H134" s="152"/>
      <c r="I134" s="434"/>
      <c r="J134" s="435"/>
      <c r="K134" s="154"/>
      <c r="L134" s="189"/>
      <c r="M134" s="161"/>
      <c r="N134" s="178"/>
      <c r="O134" s="179" t="s">
        <v>85</v>
      </c>
      <c r="P134" s="179">
        <v>30</v>
      </c>
      <c r="Q134" s="179">
        <v>0</v>
      </c>
      <c r="R134" s="179">
        <f t="shared" si="42"/>
        <v>15</v>
      </c>
      <c r="S134" s="159"/>
      <c r="T134" s="179" t="s">
        <v>85</v>
      </c>
      <c r="U134" s="185">
        <f t="shared" si="43"/>
        <v>0</v>
      </c>
      <c r="V134" s="181"/>
      <c r="W134" s="185">
        <f t="shared" si="44"/>
        <v>0</v>
      </c>
      <c r="X134" s="181"/>
      <c r="Y134" s="185">
        <f t="shared" si="45"/>
        <v>0</v>
      </c>
      <c r="Z134" s="186"/>
      <c r="AA134" s="161"/>
      <c r="AB134" s="161"/>
      <c r="AC134" s="161"/>
    </row>
    <row r="135" spans="1:29" ht="18" customHeight="1" x14ac:dyDescent="0.3">
      <c r="A135" s="166"/>
      <c r="B135" s="150"/>
      <c r="C135" s="150"/>
      <c r="D135" s="150"/>
      <c r="E135" s="150"/>
      <c r="F135" s="150"/>
      <c r="G135" s="150"/>
      <c r="H135" s="150"/>
      <c r="I135" s="434"/>
      <c r="J135" s="435"/>
      <c r="K135" s="154"/>
      <c r="L135" s="189"/>
      <c r="M135" s="161"/>
      <c r="N135" s="178"/>
      <c r="O135" s="179" t="s">
        <v>113</v>
      </c>
      <c r="P135" s="179">
        <v>31</v>
      </c>
      <c r="Q135" s="179">
        <v>0</v>
      </c>
      <c r="R135" s="179">
        <f t="shared" si="42"/>
        <v>15</v>
      </c>
      <c r="S135" s="159"/>
      <c r="T135" s="179" t="s">
        <v>113</v>
      </c>
      <c r="U135" s="185">
        <f t="shared" si="43"/>
        <v>0</v>
      </c>
      <c r="V135" s="181"/>
      <c r="W135" s="185">
        <f t="shared" si="44"/>
        <v>0</v>
      </c>
      <c r="X135" s="181"/>
      <c r="Y135" s="185">
        <f t="shared" si="45"/>
        <v>0</v>
      </c>
      <c r="Z135" s="186"/>
      <c r="AA135" s="161"/>
      <c r="AB135" s="161"/>
      <c r="AC135" s="161"/>
    </row>
    <row r="136" spans="1:29" ht="18" customHeight="1" thickBot="1" x14ac:dyDescent="0.35">
      <c r="A136" s="200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2"/>
      <c r="M136" s="161"/>
      <c r="N136" s="178"/>
      <c r="O136" s="179" t="s">
        <v>115</v>
      </c>
      <c r="P136" s="179"/>
      <c r="Q136" s="179"/>
      <c r="R136" s="179" t="str">
        <f t="shared" si="42"/>
        <v/>
      </c>
      <c r="S136" s="159"/>
      <c r="T136" s="179" t="s">
        <v>115</v>
      </c>
      <c r="U136" s="185">
        <f t="shared" si="43"/>
        <v>0</v>
      </c>
      <c r="V136" s="181"/>
      <c r="W136" s="185">
        <f t="shared" si="44"/>
        <v>0</v>
      </c>
      <c r="X136" s="181"/>
      <c r="Y136" s="185">
        <f t="shared" si="45"/>
        <v>0</v>
      </c>
      <c r="Z136" s="186"/>
      <c r="AA136" s="161"/>
      <c r="AB136" s="161"/>
      <c r="AC136" s="161"/>
    </row>
    <row r="137" spans="1:29" ht="18" customHeight="1" thickBot="1" x14ac:dyDescent="0.25">
      <c r="A137" s="203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161"/>
      <c r="N137" s="178"/>
      <c r="O137" s="179" t="s">
        <v>118</v>
      </c>
      <c r="P137" s="179"/>
      <c r="Q137" s="179"/>
      <c r="R137" s="179" t="str">
        <f t="shared" si="42"/>
        <v/>
      </c>
      <c r="S137" s="159"/>
      <c r="T137" s="179" t="s">
        <v>118</v>
      </c>
      <c r="U137" s="185" t="str">
        <f>IF($J$1="September",Y136,"")</f>
        <v/>
      </c>
      <c r="V137" s="181"/>
      <c r="W137" s="185" t="str">
        <f t="shared" si="44"/>
        <v/>
      </c>
      <c r="X137" s="181"/>
      <c r="Y137" s="185" t="str">
        <f t="shared" si="45"/>
        <v/>
      </c>
      <c r="Z137" s="186"/>
      <c r="AA137" s="161"/>
      <c r="AB137" s="161"/>
      <c r="AC137" s="161"/>
    </row>
    <row r="138" spans="1:29" ht="18" customHeight="1" thickBot="1" x14ac:dyDescent="0.25">
      <c r="A138" s="447" t="s">
        <v>89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4"/>
      <c r="M138" s="161"/>
      <c r="N138" s="178"/>
      <c r="O138" s="179" t="s">
        <v>119</v>
      </c>
      <c r="P138" s="179"/>
      <c r="Q138" s="179"/>
      <c r="R138" s="179" t="str">
        <f t="shared" si="42"/>
        <v/>
      </c>
      <c r="S138" s="159"/>
      <c r="T138" s="179" t="s">
        <v>119</v>
      </c>
      <c r="U138" s="185" t="str">
        <f>IF($J$1="October",Y137,"")</f>
        <v/>
      </c>
      <c r="V138" s="181"/>
      <c r="W138" s="185" t="str">
        <f t="shared" si="44"/>
        <v/>
      </c>
      <c r="X138" s="181"/>
      <c r="Y138" s="185" t="str">
        <f t="shared" si="45"/>
        <v/>
      </c>
      <c r="Z138" s="186"/>
      <c r="AA138" s="161"/>
      <c r="AB138" s="161"/>
      <c r="AC138" s="161"/>
    </row>
    <row r="139" spans="1:29" ht="18" customHeight="1" x14ac:dyDescent="0.2">
      <c r="A139" s="166"/>
      <c r="B139" s="152"/>
      <c r="C139" s="443" t="s">
        <v>139</v>
      </c>
      <c r="D139" s="435"/>
      <c r="E139" s="435"/>
      <c r="F139" s="435"/>
      <c r="G139" s="167" t="str">
        <f>$J$1</f>
        <v>August</v>
      </c>
      <c r="H139" s="444">
        <f>$K$1</f>
        <v>2024</v>
      </c>
      <c r="I139" s="435"/>
      <c r="J139" s="152"/>
      <c r="K139" s="168"/>
      <c r="L139" s="169"/>
      <c r="M139" s="161"/>
      <c r="N139" s="178"/>
      <c r="O139" s="179" t="s">
        <v>120</v>
      </c>
      <c r="P139" s="179"/>
      <c r="Q139" s="179"/>
      <c r="R139" s="179" t="str">
        <f t="shared" si="42"/>
        <v/>
      </c>
      <c r="S139" s="159"/>
      <c r="T139" s="179" t="s">
        <v>120</v>
      </c>
      <c r="U139" s="185" t="str">
        <f>Y138</f>
        <v/>
      </c>
      <c r="V139" s="181"/>
      <c r="W139" s="185" t="str">
        <f t="shared" si="44"/>
        <v/>
      </c>
      <c r="X139" s="181"/>
      <c r="Y139" s="185" t="str">
        <f t="shared" si="45"/>
        <v/>
      </c>
      <c r="Z139" s="186"/>
      <c r="AA139" s="161"/>
      <c r="AB139" s="161"/>
      <c r="AC139" s="161"/>
    </row>
    <row r="140" spans="1:29" ht="18" customHeight="1" x14ac:dyDescent="0.2">
      <c r="A140" s="166"/>
      <c r="B140" s="152"/>
      <c r="C140" s="152"/>
      <c r="D140" s="175"/>
      <c r="E140" s="175"/>
      <c r="F140" s="175"/>
      <c r="G140" s="175"/>
      <c r="H140" s="175"/>
      <c r="I140" s="152"/>
      <c r="J140" s="176" t="s">
        <v>99</v>
      </c>
      <c r="K140" s="154">
        <f>30000+5000+5000</f>
        <v>40000</v>
      </c>
      <c r="L140" s="177"/>
      <c r="M140" s="161"/>
      <c r="N140" s="178"/>
      <c r="O140" s="179" t="s">
        <v>121</v>
      </c>
      <c r="P140" s="179"/>
      <c r="Q140" s="179"/>
      <c r="R140" s="179" t="str">
        <f t="shared" si="42"/>
        <v/>
      </c>
      <c r="S140" s="159"/>
      <c r="T140" s="179" t="s">
        <v>121</v>
      </c>
      <c r="U140" s="185">
        <v>0</v>
      </c>
      <c r="V140" s="181"/>
      <c r="W140" s="185">
        <f t="shared" si="44"/>
        <v>0</v>
      </c>
      <c r="X140" s="181"/>
      <c r="Y140" s="185">
        <f t="shared" si="45"/>
        <v>0</v>
      </c>
      <c r="Z140" s="186"/>
      <c r="AA140" s="161"/>
      <c r="AB140" s="161"/>
      <c r="AC140" s="161"/>
    </row>
    <row r="141" spans="1:29" ht="18" customHeight="1" thickBot="1" x14ac:dyDescent="0.25">
      <c r="A141" s="166"/>
      <c r="B141" s="152" t="s">
        <v>101</v>
      </c>
      <c r="C141" s="151" t="s">
        <v>140</v>
      </c>
      <c r="D141" s="152"/>
      <c r="E141" s="152"/>
      <c r="F141" s="152"/>
      <c r="G141" s="152"/>
      <c r="H141" s="182"/>
      <c r="I141" s="175"/>
      <c r="J141" s="152"/>
      <c r="K141" s="152"/>
      <c r="L141" s="183"/>
      <c r="M141" s="204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204"/>
      <c r="AB141" s="204"/>
      <c r="AC141" s="204"/>
    </row>
    <row r="142" spans="1:29" ht="18" customHeight="1" x14ac:dyDescent="0.2">
      <c r="A142" s="166"/>
      <c r="B142" s="187" t="s">
        <v>103</v>
      </c>
      <c r="C142" s="188"/>
      <c r="D142" s="152"/>
      <c r="E142" s="152"/>
      <c r="F142" s="439" t="s">
        <v>91</v>
      </c>
      <c r="G142" s="413"/>
      <c r="H142" s="152"/>
      <c r="I142" s="439" t="s">
        <v>104</v>
      </c>
      <c r="J142" s="412"/>
      <c r="K142" s="413"/>
      <c r="L142" s="189"/>
      <c r="M142" s="162"/>
      <c r="N142" s="163"/>
      <c r="O142" s="440" t="s">
        <v>90</v>
      </c>
      <c r="P142" s="441"/>
      <c r="Q142" s="441"/>
      <c r="R142" s="442"/>
      <c r="S142" s="164"/>
      <c r="T142" s="440" t="s">
        <v>91</v>
      </c>
      <c r="U142" s="441"/>
      <c r="V142" s="441"/>
      <c r="W142" s="441"/>
      <c r="X142" s="441"/>
      <c r="Y142" s="442"/>
      <c r="Z142" s="165"/>
      <c r="AA142" s="162"/>
      <c r="AB142" s="161"/>
      <c r="AC142" s="161"/>
    </row>
    <row r="143" spans="1:29" ht="18" customHeight="1" x14ac:dyDescent="0.2">
      <c r="A143" s="166"/>
      <c r="B143" s="152"/>
      <c r="C143" s="152"/>
      <c r="D143" s="152"/>
      <c r="E143" s="152"/>
      <c r="F143" s="152"/>
      <c r="G143" s="152"/>
      <c r="H143" s="190"/>
      <c r="I143" s="152"/>
      <c r="J143" s="152"/>
      <c r="K143" s="152"/>
      <c r="L143" s="191"/>
      <c r="M143" s="170"/>
      <c r="N143" s="171"/>
      <c r="O143" s="172" t="s">
        <v>93</v>
      </c>
      <c r="P143" s="172" t="s">
        <v>94</v>
      </c>
      <c r="Q143" s="172" t="s">
        <v>95</v>
      </c>
      <c r="R143" s="172" t="s">
        <v>96</v>
      </c>
      <c r="S143" s="173"/>
      <c r="T143" s="172" t="s">
        <v>93</v>
      </c>
      <c r="U143" s="172" t="s">
        <v>97</v>
      </c>
      <c r="V143" s="172" t="s">
        <v>9</v>
      </c>
      <c r="W143" s="172" t="s">
        <v>10</v>
      </c>
      <c r="X143" s="172" t="s">
        <v>11</v>
      </c>
      <c r="Y143" s="172" t="s">
        <v>98</v>
      </c>
      <c r="Z143" s="174"/>
      <c r="AA143" s="170"/>
      <c r="AB143" s="161"/>
      <c r="AC143" s="161"/>
    </row>
    <row r="144" spans="1:29" ht="18" customHeight="1" x14ac:dyDescent="0.2">
      <c r="A144" s="166"/>
      <c r="B144" s="445" t="s">
        <v>90</v>
      </c>
      <c r="C144" s="413"/>
      <c r="D144" s="152"/>
      <c r="E144" s="152"/>
      <c r="F144" s="192" t="s">
        <v>107</v>
      </c>
      <c r="G144" s="193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0</v>
      </c>
      <c r="H144" s="190"/>
      <c r="I144" s="194">
        <f>IF(C148&gt;0,$K$2,C146)</f>
        <v>31</v>
      </c>
      <c r="J144" s="195" t="s">
        <v>108</v>
      </c>
      <c r="K144" s="196">
        <f>K140/$K$2*I144</f>
        <v>40000</v>
      </c>
      <c r="L144" s="197"/>
      <c r="M144" s="161"/>
      <c r="N144" s="178"/>
      <c r="O144" s="179" t="s">
        <v>100</v>
      </c>
      <c r="P144" s="179">
        <v>31</v>
      </c>
      <c r="Q144" s="179">
        <v>0</v>
      </c>
      <c r="R144" s="179">
        <v>7</v>
      </c>
      <c r="S144" s="180"/>
      <c r="T144" s="179" t="s">
        <v>100</v>
      </c>
      <c r="U144" s="181">
        <v>40867</v>
      </c>
      <c r="V144" s="181"/>
      <c r="W144" s="181">
        <f>V144+U144</f>
        <v>40867</v>
      </c>
      <c r="X144" s="181">
        <v>5000</v>
      </c>
      <c r="Y144" s="181">
        <f>W144-X144</f>
        <v>35867</v>
      </c>
      <c r="Z144" s="174"/>
      <c r="AA144" s="161"/>
      <c r="AB144" s="161"/>
      <c r="AC144" s="161"/>
    </row>
    <row r="145" spans="1:29" ht="18" customHeight="1" x14ac:dyDescent="0.2">
      <c r="A145" s="166"/>
      <c r="B145" s="198"/>
      <c r="C145" s="198"/>
      <c r="D145" s="152"/>
      <c r="E145" s="152"/>
      <c r="F145" s="192" t="s">
        <v>9</v>
      </c>
      <c r="G145" s="193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5" s="190"/>
      <c r="I145" s="210">
        <v>190</v>
      </c>
      <c r="J145" s="195" t="s">
        <v>110</v>
      </c>
      <c r="K145" s="193">
        <f>K140/$K$2/8*I145</f>
        <v>30645.16129032258</v>
      </c>
      <c r="L145" s="199"/>
      <c r="M145" s="162"/>
      <c r="N145" s="184"/>
      <c r="O145" s="179" t="s">
        <v>102</v>
      </c>
      <c r="P145" s="179">
        <v>29</v>
      </c>
      <c r="Q145" s="179">
        <v>0</v>
      </c>
      <c r="R145" s="179">
        <f t="shared" ref="R145:R155" si="46">IF(Q145="","",R144-Q145)</f>
        <v>7</v>
      </c>
      <c r="S145" s="159"/>
      <c r="T145" s="179" t="s">
        <v>102</v>
      </c>
      <c r="U145" s="185">
        <f t="shared" ref="U145:U146" si="47">Y144</f>
        <v>35867</v>
      </c>
      <c r="V145" s="181">
        <v>3000</v>
      </c>
      <c r="W145" s="185">
        <f t="shared" ref="W145:W155" si="48">IF(U145="","",U145+V145)</f>
        <v>38867</v>
      </c>
      <c r="X145" s="181">
        <v>3000</v>
      </c>
      <c r="Y145" s="185">
        <f t="shared" ref="Y145:Y155" si="49">IF(W145="","",W145-X145)</f>
        <v>35867</v>
      </c>
      <c r="Z145" s="186"/>
      <c r="AA145" s="162"/>
      <c r="AB145" s="161"/>
      <c r="AC145" s="161"/>
    </row>
    <row r="146" spans="1:29" ht="18" customHeight="1" x14ac:dyDescent="0.2">
      <c r="A146" s="166"/>
      <c r="B146" s="192" t="s">
        <v>94</v>
      </c>
      <c r="C146" s="198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46" s="152"/>
      <c r="E146" s="152"/>
      <c r="F146" s="192" t="s">
        <v>111</v>
      </c>
      <c r="G146" s="193" t="str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/>
      </c>
      <c r="H146" s="190"/>
      <c r="I146" s="446" t="s">
        <v>112</v>
      </c>
      <c r="J146" s="413"/>
      <c r="K146" s="193">
        <f>K144+K145</f>
        <v>70645.161290322576</v>
      </c>
      <c r="L146" s="199"/>
      <c r="M146" s="161"/>
      <c r="N146" s="178"/>
      <c r="O146" s="179" t="s">
        <v>105</v>
      </c>
      <c r="P146" s="179">
        <v>31</v>
      </c>
      <c r="Q146" s="179">
        <v>0</v>
      </c>
      <c r="R146" s="179">
        <f t="shared" si="46"/>
        <v>7</v>
      </c>
      <c r="S146" s="159"/>
      <c r="T146" s="179" t="s">
        <v>105</v>
      </c>
      <c r="U146" s="185">
        <f t="shared" si="47"/>
        <v>35867</v>
      </c>
      <c r="V146" s="181">
        <v>10000</v>
      </c>
      <c r="W146" s="185">
        <f t="shared" si="48"/>
        <v>45867</v>
      </c>
      <c r="X146" s="181">
        <v>5000</v>
      </c>
      <c r="Y146" s="185">
        <f t="shared" si="49"/>
        <v>40867</v>
      </c>
      <c r="Z146" s="186"/>
      <c r="AA146" s="161"/>
      <c r="AB146" s="161"/>
      <c r="AC146" s="161"/>
    </row>
    <row r="147" spans="1:29" ht="18" customHeight="1" x14ac:dyDescent="0.2">
      <c r="A147" s="166"/>
      <c r="B147" s="192" t="s">
        <v>95</v>
      </c>
      <c r="C147" s="198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47" s="152"/>
      <c r="E147" s="152"/>
      <c r="F147" s="192" t="s">
        <v>11</v>
      </c>
      <c r="G147" s="193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47" s="190"/>
      <c r="I147" s="446" t="s">
        <v>114</v>
      </c>
      <c r="J147" s="413"/>
      <c r="K147" s="193">
        <f>G147</f>
        <v>0</v>
      </c>
      <c r="L147" s="199"/>
      <c r="M147" s="161"/>
      <c r="N147" s="178"/>
      <c r="O147" s="179" t="s">
        <v>106</v>
      </c>
      <c r="P147" s="179">
        <v>28</v>
      </c>
      <c r="Q147" s="179">
        <v>2</v>
      </c>
      <c r="R147" s="179">
        <f t="shared" si="46"/>
        <v>5</v>
      </c>
      <c r="S147" s="159"/>
      <c r="T147" s="179" t="s">
        <v>106</v>
      </c>
      <c r="U147" s="185">
        <f>IF($J$1="March","",Y146)</f>
        <v>40867</v>
      </c>
      <c r="V147" s="181"/>
      <c r="W147" s="185">
        <f t="shared" si="48"/>
        <v>40867</v>
      </c>
      <c r="X147" s="181">
        <v>5000</v>
      </c>
      <c r="Y147" s="185">
        <f t="shared" si="49"/>
        <v>35867</v>
      </c>
      <c r="Z147" s="186"/>
      <c r="AA147" s="161"/>
      <c r="AB147" s="161"/>
      <c r="AC147" s="161"/>
    </row>
    <row r="148" spans="1:29" ht="18" customHeight="1" x14ac:dyDescent="0.2">
      <c r="A148" s="166"/>
      <c r="B148" s="207" t="s">
        <v>116</v>
      </c>
      <c r="C148" s="198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48" s="152"/>
      <c r="E148" s="152"/>
      <c r="F148" s="207" t="s">
        <v>117</v>
      </c>
      <c r="G148" s="193" t="str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/>
      </c>
      <c r="H148" s="152"/>
      <c r="I148" s="439" t="s">
        <v>13</v>
      </c>
      <c r="J148" s="413"/>
      <c r="K148" s="37">
        <f>K146-K147</f>
        <v>70645.161290322576</v>
      </c>
      <c r="L148" s="183"/>
      <c r="M148" s="161"/>
      <c r="N148" s="178"/>
      <c r="O148" s="179" t="s">
        <v>109</v>
      </c>
      <c r="P148" s="179">
        <v>31</v>
      </c>
      <c r="Q148" s="179">
        <v>0</v>
      </c>
      <c r="R148" s="179">
        <f t="shared" si="46"/>
        <v>5</v>
      </c>
      <c r="S148" s="159"/>
      <c r="T148" s="179" t="s">
        <v>109</v>
      </c>
      <c r="U148" s="185">
        <f t="shared" ref="U148:U149" si="50">Y147</f>
        <v>35867</v>
      </c>
      <c r="V148" s="181"/>
      <c r="W148" s="185">
        <f t="shared" si="48"/>
        <v>35867</v>
      </c>
      <c r="X148" s="181"/>
      <c r="Y148" s="185">
        <f t="shared" si="49"/>
        <v>35867</v>
      </c>
      <c r="Z148" s="186"/>
      <c r="AA148" s="161"/>
      <c r="AB148" s="161"/>
      <c r="AC148" s="161"/>
    </row>
    <row r="149" spans="1:29" ht="18" customHeight="1" x14ac:dyDescent="0.2">
      <c r="A149" s="166"/>
      <c r="B149" s="152"/>
      <c r="C149" s="152"/>
      <c r="D149" s="152"/>
      <c r="E149" s="152"/>
      <c r="F149" s="152"/>
      <c r="G149" s="152"/>
      <c r="H149" s="152"/>
      <c r="I149" s="434"/>
      <c r="J149" s="435"/>
      <c r="K149" s="154"/>
      <c r="L149" s="189"/>
      <c r="M149" s="161"/>
      <c r="N149" s="178"/>
      <c r="O149" s="179" t="s">
        <v>85</v>
      </c>
      <c r="P149" s="179">
        <v>30</v>
      </c>
      <c r="Q149" s="179">
        <v>0</v>
      </c>
      <c r="R149" s="179">
        <f t="shared" si="46"/>
        <v>5</v>
      </c>
      <c r="S149" s="159"/>
      <c r="T149" s="179" t="s">
        <v>85</v>
      </c>
      <c r="U149" s="185">
        <f t="shared" si="50"/>
        <v>35867</v>
      </c>
      <c r="V149" s="181">
        <v>5000</v>
      </c>
      <c r="W149" s="185">
        <f t="shared" si="48"/>
        <v>40867</v>
      </c>
      <c r="X149" s="181"/>
      <c r="Y149" s="185">
        <f t="shared" si="49"/>
        <v>40867</v>
      </c>
      <c r="Z149" s="186"/>
      <c r="AA149" s="161"/>
      <c r="AB149" s="161"/>
      <c r="AC149" s="161"/>
    </row>
    <row r="150" spans="1:29" ht="18" customHeight="1" x14ac:dyDescent="0.3">
      <c r="A150" s="166"/>
      <c r="B150" s="150"/>
      <c r="C150" s="150"/>
      <c r="D150" s="150"/>
      <c r="E150" s="150"/>
      <c r="F150" s="150"/>
      <c r="G150" s="150"/>
      <c r="H150" s="150"/>
      <c r="I150" s="434"/>
      <c r="J150" s="435"/>
      <c r="K150" s="154"/>
      <c r="L150" s="189"/>
      <c r="M150" s="161"/>
      <c r="N150" s="178"/>
      <c r="O150" s="179" t="s">
        <v>113</v>
      </c>
      <c r="P150" s="179">
        <v>31</v>
      </c>
      <c r="Q150" s="179">
        <v>0</v>
      </c>
      <c r="R150" s="179">
        <f t="shared" si="46"/>
        <v>5</v>
      </c>
      <c r="S150" s="159"/>
      <c r="T150" s="179" t="s">
        <v>113</v>
      </c>
      <c r="U150" s="185">
        <f>Y149</f>
        <v>40867</v>
      </c>
      <c r="V150" s="181">
        <v>2000</v>
      </c>
      <c r="W150" s="185">
        <f t="shared" si="48"/>
        <v>42867</v>
      </c>
      <c r="X150" s="181">
        <v>7000</v>
      </c>
      <c r="Y150" s="185">
        <f t="shared" si="49"/>
        <v>35867</v>
      </c>
      <c r="Z150" s="186"/>
      <c r="AA150" s="161"/>
      <c r="AB150" s="161"/>
      <c r="AC150" s="161"/>
    </row>
    <row r="151" spans="1:29" ht="18" customHeight="1" thickBot="1" x14ac:dyDescent="0.35">
      <c r="A151" s="200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2"/>
      <c r="M151" s="161"/>
      <c r="N151" s="178"/>
      <c r="O151" s="179" t="s">
        <v>115</v>
      </c>
      <c r="P151" s="179"/>
      <c r="Q151" s="179"/>
      <c r="R151" s="179" t="str">
        <f t="shared" si="46"/>
        <v/>
      </c>
      <c r="S151" s="159"/>
      <c r="T151" s="179" t="s">
        <v>115</v>
      </c>
      <c r="U151" s="185"/>
      <c r="V151" s="181"/>
      <c r="W151" s="185" t="str">
        <f t="shared" si="48"/>
        <v/>
      </c>
      <c r="X151" s="181"/>
      <c r="Y151" s="185" t="str">
        <f t="shared" si="49"/>
        <v/>
      </c>
      <c r="Z151" s="186"/>
      <c r="AA151" s="161"/>
      <c r="AB151" s="161"/>
      <c r="AC151" s="161"/>
    </row>
    <row r="152" spans="1:29" ht="18" customHeight="1" thickBot="1" x14ac:dyDescent="0.25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161"/>
      <c r="N152" s="178"/>
      <c r="O152" s="179" t="s">
        <v>118</v>
      </c>
      <c r="P152" s="179"/>
      <c r="Q152" s="179"/>
      <c r="R152" s="179" t="str">
        <f t="shared" si="46"/>
        <v/>
      </c>
      <c r="S152" s="159"/>
      <c r="T152" s="179" t="s">
        <v>118</v>
      </c>
      <c r="U152" s="185"/>
      <c r="V152" s="181"/>
      <c r="W152" s="185" t="str">
        <f t="shared" si="48"/>
        <v/>
      </c>
      <c r="X152" s="181"/>
      <c r="Y152" s="185" t="str">
        <f t="shared" si="49"/>
        <v/>
      </c>
      <c r="Z152" s="186"/>
      <c r="AA152" s="161"/>
      <c r="AB152" s="161"/>
      <c r="AC152" s="161"/>
    </row>
    <row r="153" spans="1:29" ht="18" customHeight="1" thickBot="1" x14ac:dyDescent="0.25">
      <c r="A153" s="447" t="s">
        <v>89</v>
      </c>
      <c r="B153" s="453"/>
      <c r="C153" s="453"/>
      <c r="D153" s="453"/>
      <c r="E153" s="453"/>
      <c r="F153" s="453"/>
      <c r="G153" s="453"/>
      <c r="H153" s="453"/>
      <c r="I153" s="453"/>
      <c r="J153" s="453"/>
      <c r="K153" s="453"/>
      <c r="L153" s="454"/>
      <c r="M153" s="161"/>
      <c r="N153" s="178"/>
      <c r="O153" s="179" t="s">
        <v>119</v>
      </c>
      <c r="P153" s="179"/>
      <c r="Q153" s="179"/>
      <c r="R153" s="179" t="str">
        <f t="shared" si="46"/>
        <v/>
      </c>
      <c r="S153" s="159"/>
      <c r="T153" s="179" t="s">
        <v>119</v>
      </c>
      <c r="U153" s="185"/>
      <c r="V153" s="181"/>
      <c r="W153" s="185" t="str">
        <f t="shared" si="48"/>
        <v/>
      </c>
      <c r="X153" s="181"/>
      <c r="Y153" s="185" t="str">
        <f t="shared" si="49"/>
        <v/>
      </c>
      <c r="Z153" s="186"/>
      <c r="AA153" s="161"/>
      <c r="AB153" s="161"/>
      <c r="AC153" s="161"/>
    </row>
    <row r="154" spans="1:29" ht="18" customHeight="1" x14ac:dyDescent="0.2">
      <c r="A154" s="166"/>
      <c r="B154" s="152"/>
      <c r="C154" s="443" t="s">
        <v>141</v>
      </c>
      <c r="D154" s="435"/>
      <c r="E154" s="435"/>
      <c r="F154" s="435"/>
      <c r="G154" s="167" t="str">
        <f>$J$1</f>
        <v>August</v>
      </c>
      <c r="H154" s="444">
        <f>$K$1</f>
        <v>2024</v>
      </c>
      <c r="I154" s="435"/>
      <c r="J154" s="152"/>
      <c r="K154" s="168"/>
      <c r="L154" s="169"/>
      <c r="M154" s="161"/>
      <c r="N154" s="178"/>
      <c r="O154" s="179" t="s">
        <v>120</v>
      </c>
      <c r="P154" s="179"/>
      <c r="Q154" s="179"/>
      <c r="R154" s="179" t="str">
        <f t="shared" si="46"/>
        <v/>
      </c>
      <c r="S154" s="159"/>
      <c r="T154" s="179" t="s">
        <v>120</v>
      </c>
      <c r="U154" s="185"/>
      <c r="V154" s="181"/>
      <c r="W154" s="185" t="str">
        <f t="shared" si="48"/>
        <v/>
      </c>
      <c r="X154" s="181"/>
      <c r="Y154" s="185" t="str">
        <f t="shared" si="49"/>
        <v/>
      </c>
      <c r="Z154" s="186"/>
      <c r="AA154" s="161"/>
      <c r="AB154" s="161"/>
      <c r="AC154" s="161"/>
    </row>
    <row r="155" spans="1:29" ht="18" customHeight="1" x14ac:dyDescent="0.2">
      <c r="A155" s="166"/>
      <c r="B155" s="152"/>
      <c r="C155" s="152"/>
      <c r="D155" s="175"/>
      <c r="E155" s="175"/>
      <c r="F155" s="175"/>
      <c r="G155" s="175"/>
      <c r="H155" s="175"/>
      <c r="I155" s="152"/>
      <c r="J155" s="176" t="s">
        <v>99</v>
      </c>
      <c r="K155" s="154">
        <f>60000+10000</f>
        <v>70000</v>
      </c>
      <c r="L155" s="177"/>
      <c r="M155" s="161"/>
      <c r="N155" s="178"/>
      <c r="O155" s="179" t="s">
        <v>121</v>
      </c>
      <c r="P155" s="179"/>
      <c r="Q155" s="179"/>
      <c r="R155" s="179" t="str">
        <f t="shared" si="46"/>
        <v/>
      </c>
      <c r="S155" s="159"/>
      <c r="T155" s="179" t="s">
        <v>121</v>
      </c>
      <c r="U155" s="185"/>
      <c r="V155" s="181"/>
      <c r="W155" s="185" t="str">
        <f t="shared" si="48"/>
        <v/>
      </c>
      <c r="X155" s="181"/>
      <c r="Y155" s="185" t="str">
        <f t="shared" si="49"/>
        <v/>
      </c>
      <c r="Z155" s="186"/>
      <c r="AA155" s="161"/>
      <c r="AB155" s="161"/>
      <c r="AC155" s="161"/>
    </row>
    <row r="156" spans="1:29" ht="18" customHeight="1" thickBot="1" x14ac:dyDescent="0.25">
      <c r="A156" s="166"/>
      <c r="B156" s="152" t="s">
        <v>101</v>
      </c>
      <c r="C156" s="151" t="s">
        <v>142</v>
      </c>
      <c r="D156" s="152"/>
      <c r="E156" s="152"/>
      <c r="F156" s="152"/>
      <c r="G156" s="152"/>
      <c r="H156" s="182"/>
      <c r="I156" s="175"/>
      <c r="J156" s="152"/>
      <c r="K156" s="152"/>
      <c r="L156" s="183"/>
      <c r="M156" s="204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4"/>
      <c r="AB156" s="204"/>
      <c r="AC156" s="204"/>
    </row>
    <row r="157" spans="1:29" ht="18" customHeight="1" x14ac:dyDescent="0.2">
      <c r="A157" s="166"/>
      <c r="B157" s="187" t="s">
        <v>103</v>
      </c>
      <c r="C157" s="188"/>
      <c r="D157" s="152"/>
      <c r="E157" s="152"/>
      <c r="F157" s="439" t="s">
        <v>91</v>
      </c>
      <c r="G157" s="413"/>
      <c r="H157" s="152"/>
      <c r="I157" s="439" t="s">
        <v>104</v>
      </c>
      <c r="J157" s="412"/>
      <c r="K157" s="413"/>
      <c r="L157" s="189"/>
      <c r="M157" s="162"/>
      <c r="N157" s="163"/>
      <c r="O157" s="440" t="s">
        <v>90</v>
      </c>
      <c r="P157" s="441"/>
      <c r="Q157" s="441"/>
      <c r="R157" s="442"/>
      <c r="S157" s="164"/>
      <c r="T157" s="440" t="s">
        <v>91</v>
      </c>
      <c r="U157" s="441"/>
      <c r="V157" s="441"/>
      <c r="W157" s="441"/>
      <c r="X157" s="441"/>
      <c r="Y157" s="442"/>
      <c r="Z157" s="165"/>
      <c r="AA157" s="162"/>
      <c r="AB157" s="161"/>
      <c r="AC157" s="161"/>
    </row>
    <row r="158" spans="1:29" ht="18" customHeight="1" x14ac:dyDescent="0.2">
      <c r="A158" s="166"/>
      <c r="B158" s="152"/>
      <c r="C158" s="152"/>
      <c r="D158" s="152"/>
      <c r="E158" s="152"/>
      <c r="F158" s="152"/>
      <c r="G158" s="152"/>
      <c r="H158" s="190"/>
      <c r="I158" s="152"/>
      <c r="J158" s="152"/>
      <c r="K158" s="152"/>
      <c r="L158" s="191"/>
      <c r="M158" s="170"/>
      <c r="N158" s="171"/>
      <c r="O158" s="172" t="s">
        <v>93</v>
      </c>
      <c r="P158" s="172" t="s">
        <v>94</v>
      </c>
      <c r="Q158" s="172" t="s">
        <v>95</v>
      </c>
      <c r="R158" s="172" t="s">
        <v>96</v>
      </c>
      <c r="S158" s="173"/>
      <c r="T158" s="172" t="s">
        <v>93</v>
      </c>
      <c r="U158" s="172" t="s">
        <v>97</v>
      </c>
      <c r="V158" s="172" t="s">
        <v>9</v>
      </c>
      <c r="W158" s="172" t="s">
        <v>10</v>
      </c>
      <c r="X158" s="172" t="s">
        <v>11</v>
      </c>
      <c r="Y158" s="172" t="s">
        <v>98</v>
      </c>
      <c r="Z158" s="174"/>
      <c r="AA158" s="170"/>
      <c r="AB158" s="161"/>
      <c r="AC158" s="161"/>
    </row>
    <row r="159" spans="1:29" ht="18" customHeight="1" x14ac:dyDescent="0.2">
      <c r="A159" s="166"/>
      <c r="B159" s="445" t="s">
        <v>90</v>
      </c>
      <c r="C159" s="413"/>
      <c r="D159" s="152"/>
      <c r="E159" s="152"/>
      <c r="F159" s="192" t="s">
        <v>107</v>
      </c>
      <c r="G159" s="193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0</v>
      </c>
      <c r="H159" s="190"/>
      <c r="I159" s="194">
        <f>IF(C163&gt;=C162,$K$2,C161+C163)</f>
        <v>31</v>
      </c>
      <c r="J159" s="195" t="s">
        <v>108</v>
      </c>
      <c r="K159" s="196">
        <f>K155/$K$2*I159</f>
        <v>70000</v>
      </c>
      <c r="L159" s="197"/>
      <c r="M159" s="161"/>
      <c r="N159" s="178"/>
      <c r="O159" s="179" t="s">
        <v>100</v>
      </c>
      <c r="P159" s="179">
        <v>27</v>
      </c>
      <c r="Q159" s="179">
        <v>4</v>
      </c>
      <c r="R159" s="179">
        <f>29-Q159</f>
        <v>25</v>
      </c>
      <c r="S159" s="180"/>
      <c r="T159" s="179" t="s">
        <v>100</v>
      </c>
      <c r="U159" s="181">
        <v>48200</v>
      </c>
      <c r="V159" s="181"/>
      <c r="W159" s="181">
        <f>V159+U159</f>
        <v>48200</v>
      </c>
      <c r="X159" s="181">
        <v>5000</v>
      </c>
      <c r="Y159" s="181">
        <f>W159-X159</f>
        <v>43200</v>
      </c>
      <c r="Z159" s="174"/>
      <c r="AA159" s="161"/>
      <c r="AB159" s="161"/>
      <c r="AC159" s="161"/>
    </row>
    <row r="160" spans="1:29" ht="18" customHeight="1" x14ac:dyDescent="0.2">
      <c r="A160" s="166"/>
      <c r="B160" s="198"/>
      <c r="C160" s="198"/>
      <c r="D160" s="152"/>
      <c r="E160" s="152"/>
      <c r="F160" s="192" t="s">
        <v>9</v>
      </c>
      <c r="G160" s="193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0" s="190"/>
      <c r="I160" s="194">
        <v>49</v>
      </c>
      <c r="J160" s="195" t="s">
        <v>110</v>
      </c>
      <c r="K160" s="193">
        <f>K155/$K$2/8*I160</f>
        <v>13830.645161290322</v>
      </c>
      <c r="L160" s="199"/>
      <c r="M160" s="162"/>
      <c r="N160" s="184"/>
      <c r="O160" s="179" t="s">
        <v>102</v>
      </c>
      <c r="P160" s="179">
        <v>27</v>
      </c>
      <c r="Q160" s="179">
        <v>2</v>
      </c>
      <c r="R160" s="179">
        <f t="shared" ref="R160:R170" si="51">IF(Q160="","",R159-Q160)</f>
        <v>23</v>
      </c>
      <c r="S160" s="159"/>
      <c r="T160" s="179" t="s">
        <v>102</v>
      </c>
      <c r="U160" s="185">
        <f t="shared" ref="U160:U161" si="52">Y159</f>
        <v>43200</v>
      </c>
      <c r="V160" s="181"/>
      <c r="W160" s="185">
        <f t="shared" ref="W160:W170" si="53">IF(U160="","",U160+V160)</f>
        <v>43200</v>
      </c>
      <c r="X160" s="181">
        <v>5000</v>
      </c>
      <c r="Y160" s="185">
        <f t="shared" ref="Y160:Y170" si="54">IF(W160="","",W160-X160)</f>
        <v>38200</v>
      </c>
      <c r="Z160" s="186"/>
      <c r="AA160" s="162"/>
      <c r="AB160" s="161"/>
      <c r="AC160" s="161"/>
    </row>
    <row r="161" spans="1:29" ht="18" customHeight="1" x14ac:dyDescent="0.2">
      <c r="A161" s="166"/>
      <c r="B161" s="192" t="s">
        <v>94</v>
      </c>
      <c r="C161" s="198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1" s="152"/>
      <c r="E161" s="152"/>
      <c r="F161" s="192" t="s">
        <v>111</v>
      </c>
      <c r="G161" s="193" t="str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/>
      </c>
      <c r="H161" s="190"/>
      <c r="I161" s="446" t="s">
        <v>112</v>
      </c>
      <c r="J161" s="413"/>
      <c r="K161" s="193">
        <f>K159+K160</f>
        <v>83830.645161290318</v>
      </c>
      <c r="L161" s="199"/>
      <c r="M161" s="161"/>
      <c r="N161" s="178"/>
      <c r="O161" s="179" t="s">
        <v>105</v>
      </c>
      <c r="P161" s="179">
        <v>31</v>
      </c>
      <c r="Q161" s="179">
        <v>0</v>
      </c>
      <c r="R161" s="179">
        <f t="shared" si="51"/>
        <v>23</v>
      </c>
      <c r="S161" s="159"/>
      <c r="T161" s="179" t="s">
        <v>105</v>
      </c>
      <c r="U161" s="185">
        <f t="shared" si="52"/>
        <v>38200</v>
      </c>
      <c r="V161" s="181"/>
      <c r="W161" s="185">
        <f t="shared" si="53"/>
        <v>38200</v>
      </c>
      <c r="X161" s="181">
        <v>5000</v>
      </c>
      <c r="Y161" s="185">
        <f t="shared" si="54"/>
        <v>33200</v>
      </c>
      <c r="Z161" s="186"/>
      <c r="AA161" s="161"/>
      <c r="AB161" s="161"/>
      <c r="AC161" s="161"/>
    </row>
    <row r="162" spans="1:29" ht="18" customHeight="1" x14ac:dyDescent="0.2">
      <c r="A162" s="166"/>
      <c r="B162" s="192" t="s">
        <v>95</v>
      </c>
      <c r="C162" s="198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2" s="152"/>
      <c r="E162" s="152"/>
      <c r="F162" s="192" t="s">
        <v>11</v>
      </c>
      <c r="G162" s="193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0</v>
      </c>
      <c r="H162" s="190"/>
      <c r="I162" s="446" t="s">
        <v>114</v>
      </c>
      <c r="J162" s="413"/>
      <c r="K162" s="193">
        <f>G162</f>
        <v>0</v>
      </c>
      <c r="L162" s="199"/>
      <c r="M162" s="161"/>
      <c r="N162" s="178"/>
      <c r="O162" s="179" t="s">
        <v>106</v>
      </c>
      <c r="P162" s="179">
        <v>30</v>
      </c>
      <c r="Q162" s="179">
        <v>0</v>
      </c>
      <c r="R162" s="179">
        <f t="shared" si="51"/>
        <v>23</v>
      </c>
      <c r="S162" s="159"/>
      <c r="T162" s="179" t="s">
        <v>106</v>
      </c>
      <c r="U162" s="185">
        <f>IF($J$1="March","",Y161)</f>
        <v>33200</v>
      </c>
      <c r="V162" s="181"/>
      <c r="W162" s="185">
        <f t="shared" si="53"/>
        <v>33200</v>
      </c>
      <c r="X162" s="181">
        <v>5000</v>
      </c>
      <c r="Y162" s="185">
        <f t="shared" si="54"/>
        <v>28200</v>
      </c>
      <c r="Z162" s="186"/>
      <c r="AA162" s="161"/>
      <c r="AB162" s="161"/>
      <c r="AC162" s="161"/>
    </row>
    <row r="163" spans="1:29" ht="18" customHeight="1" x14ac:dyDescent="0.2">
      <c r="A163" s="166"/>
      <c r="B163" s="207" t="s">
        <v>116</v>
      </c>
      <c r="C163" s="198" t="str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/>
      </c>
      <c r="D163" s="152"/>
      <c r="E163" s="152"/>
      <c r="F163" s="207" t="s">
        <v>117</v>
      </c>
      <c r="G163" s="193" t="str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/>
      </c>
      <c r="H163" s="152"/>
      <c r="I163" s="439" t="s">
        <v>13</v>
      </c>
      <c r="J163" s="413"/>
      <c r="K163" s="37">
        <f>K161-K162</f>
        <v>83830.645161290318</v>
      </c>
      <c r="L163" s="183"/>
      <c r="M163" s="161"/>
      <c r="N163" s="178"/>
      <c r="O163" s="179" t="s">
        <v>109</v>
      </c>
      <c r="P163" s="179">
        <v>26</v>
      </c>
      <c r="Q163" s="179">
        <v>5</v>
      </c>
      <c r="R163" s="179">
        <f t="shared" si="51"/>
        <v>18</v>
      </c>
      <c r="S163" s="159"/>
      <c r="T163" s="179" t="s">
        <v>109</v>
      </c>
      <c r="U163" s="185">
        <f t="shared" ref="U163:U164" si="55">Y162</f>
        <v>28200</v>
      </c>
      <c r="V163" s="181"/>
      <c r="W163" s="185">
        <f t="shared" si="53"/>
        <v>28200</v>
      </c>
      <c r="X163" s="181">
        <v>5000</v>
      </c>
      <c r="Y163" s="185">
        <f t="shared" si="54"/>
        <v>23200</v>
      </c>
      <c r="Z163" s="186"/>
      <c r="AA163" s="161"/>
      <c r="AB163" s="161"/>
      <c r="AC163" s="161"/>
    </row>
    <row r="164" spans="1:29" ht="18" customHeight="1" x14ac:dyDescent="0.2">
      <c r="A164" s="166"/>
      <c r="B164" s="152"/>
      <c r="C164" s="152"/>
      <c r="D164" s="152"/>
      <c r="E164" s="152"/>
      <c r="F164" s="152"/>
      <c r="G164" s="152"/>
      <c r="H164" s="152"/>
      <c r="I164" s="434"/>
      <c r="J164" s="435"/>
      <c r="K164" s="154"/>
      <c r="L164" s="189"/>
      <c r="M164" s="161"/>
      <c r="N164" s="178"/>
      <c r="O164" s="179" t="s">
        <v>85</v>
      </c>
      <c r="P164" s="179">
        <v>29</v>
      </c>
      <c r="Q164" s="179">
        <v>1</v>
      </c>
      <c r="R164" s="179">
        <f t="shared" si="51"/>
        <v>17</v>
      </c>
      <c r="S164" s="159"/>
      <c r="T164" s="179" t="s">
        <v>85</v>
      </c>
      <c r="U164" s="185">
        <f t="shared" si="55"/>
        <v>23200</v>
      </c>
      <c r="V164" s="181"/>
      <c r="W164" s="185">
        <f t="shared" si="53"/>
        <v>23200</v>
      </c>
      <c r="X164" s="181">
        <v>5000</v>
      </c>
      <c r="Y164" s="185">
        <f t="shared" si="54"/>
        <v>18200</v>
      </c>
      <c r="Z164" s="186"/>
      <c r="AA164" s="161"/>
      <c r="AB164" s="161"/>
      <c r="AC164" s="161"/>
    </row>
    <row r="165" spans="1:29" ht="18" customHeight="1" x14ac:dyDescent="0.3">
      <c r="A165" s="166"/>
      <c r="B165" s="150"/>
      <c r="C165" s="150"/>
      <c r="D165" s="150"/>
      <c r="E165" s="150"/>
      <c r="F165" s="150"/>
      <c r="G165" s="150"/>
      <c r="H165" s="150"/>
      <c r="I165" s="434"/>
      <c r="J165" s="435"/>
      <c r="K165" s="154"/>
      <c r="L165" s="189"/>
      <c r="M165" s="161"/>
      <c r="N165" s="178"/>
      <c r="O165" s="179" t="s">
        <v>113</v>
      </c>
      <c r="P165" s="179">
        <v>30</v>
      </c>
      <c r="Q165" s="179">
        <v>1</v>
      </c>
      <c r="R165" s="179">
        <f t="shared" si="51"/>
        <v>16</v>
      </c>
      <c r="S165" s="159"/>
      <c r="T165" s="179" t="s">
        <v>113</v>
      </c>
      <c r="U165" s="185">
        <f>Y164</f>
        <v>18200</v>
      </c>
      <c r="V165" s="181"/>
      <c r="W165" s="185">
        <f t="shared" si="53"/>
        <v>18200</v>
      </c>
      <c r="X165" s="181">
        <v>5000</v>
      </c>
      <c r="Y165" s="185">
        <f t="shared" si="54"/>
        <v>13200</v>
      </c>
      <c r="Z165" s="186"/>
      <c r="AA165" s="161"/>
      <c r="AB165" s="161"/>
      <c r="AC165" s="161"/>
    </row>
    <row r="166" spans="1:29" ht="18" customHeight="1" thickBot="1" x14ac:dyDescent="0.35">
      <c r="A166" s="200"/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2"/>
      <c r="M166" s="161"/>
      <c r="N166" s="178"/>
      <c r="O166" s="179" t="s">
        <v>115</v>
      </c>
      <c r="P166" s="179"/>
      <c r="Q166" s="179"/>
      <c r="R166" s="179" t="str">
        <f t="shared" si="51"/>
        <v/>
      </c>
      <c r="S166" s="159"/>
      <c r="T166" s="179" t="s">
        <v>115</v>
      </c>
      <c r="U166" s="185"/>
      <c r="V166" s="181"/>
      <c r="W166" s="185" t="str">
        <f t="shared" si="53"/>
        <v/>
      </c>
      <c r="X166" s="181"/>
      <c r="Y166" s="185" t="str">
        <f t="shared" si="54"/>
        <v/>
      </c>
      <c r="Z166" s="186"/>
      <c r="AA166" s="161"/>
      <c r="AB166" s="161"/>
      <c r="AC166" s="161"/>
    </row>
    <row r="167" spans="1:29" ht="18" customHeight="1" thickBot="1" x14ac:dyDescent="0.25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161"/>
      <c r="N167" s="178"/>
      <c r="O167" s="179" t="s">
        <v>118</v>
      </c>
      <c r="P167" s="179"/>
      <c r="Q167" s="179"/>
      <c r="R167" s="179" t="str">
        <f t="shared" si="51"/>
        <v/>
      </c>
      <c r="S167" s="159"/>
      <c r="T167" s="179" t="s">
        <v>118</v>
      </c>
      <c r="U167" s="185"/>
      <c r="V167" s="181"/>
      <c r="W167" s="185" t="str">
        <f t="shared" si="53"/>
        <v/>
      </c>
      <c r="X167" s="181"/>
      <c r="Y167" s="185" t="str">
        <f t="shared" si="54"/>
        <v/>
      </c>
      <c r="Z167" s="186"/>
      <c r="AA167" s="161"/>
      <c r="AB167" s="161"/>
      <c r="AC167" s="161"/>
    </row>
    <row r="168" spans="1:29" ht="18" customHeight="1" thickBot="1" x14ac:dyDescent="0.25">
      <c r="A168" s="447" t="s">
        <v>89</v>
      </c>
      <c r="B168" s="453"/>
      <c r="C168" s="453"/>
      <c r="D168" s="453"/>
      <c r="E168" s="453"/>
      <c r="F168" s="453"/>
      <c r="G168" s="453"/>
      <c r="H168" s="453"/>
      <c r="I168" s="453"/>
      <c r="J168" s="453"/>
      <c r="K168" s="453"/>
      <c r="L168" s="454"/>
      <c r="M168" s="161"/>
      <c r="N168" s="178"/>
      <c r="O168" s="179" t="s">
        <v>119</v>
      </c>
      <c r="P168" s="179"/>
      <c r="Q168" s="179"/>
      <c r="R168" s="179" t="str">
        <f t="shared" si="51"/>
        <v/>
      </c>
      <c r="S168" s="159"/>
      <c r="T168" s="179" t="s">
        <v>119</v>
      </c>
      <c r="U168" s="185"/>
      <c r="V168" s="181"/>
      <c r="W168" s="185" t="str">
        <f t="shared" si="53"/>
        <v/>
      </c>
      <c r="X168" s="181"/>
      <c r="Y168" s="185" t="str">
        <f t="shared" si="54"/>
        <v/>
      </c>
      <c r="Z168" s="186"/>
      <c r="AA168" s="161"/>
      <c r="AB168" s="161"/>
      <c r="AC168" s="161"/>
    </row>
    <row r="169" spans="1:29" ht="18" customHeight="1" x14ac:dyDescent="0.2">
      <c r="A169" s="166"/>
      <c r="B169" s="152"/>
      <c r="C169" s="443" t="s">
        <v>143</v>
      </c>
      <c r="D169" s="435"/>
      <c r="E169" s="435"/>
      <c r="F169" s="435"/>
      <c r="G169" s="167" t="str">
        <f>$J$1</f>
        <v>August</v>
      </c>
      <c r="H169" s="444">
        <f>$K$1</f>
        <v>2024</v>
      </c>
      <c r="I169" s="435"/>
      <c r="J169" s="152"/>
      <c r="K169" s="168"/>
      <c r="L169" s="169"/>
      <c r="M169" s="161"/>
      <c r="N169" s="178"/>
      <c r="O169" s="179" t="s">
        <v>120</v>
      </c>
      <c r="P169" s="179"/>
      <c r="Q169" s="179"/>
      <c r="R169" s="179" t="str">
        <f t="shared" si="51"/>
        <v/>
      </c>
      <c r="S169" s="159"/>
      <c r="T169" s="179" t="s">
        <v>120</v>
      </c>
      <c r="U169" s="185"/>
      <c r="V169" s="181"/>
      <c r="W169" s="185" t="str">
        <f t="shared" si="53"/>
        <v/>
      </c>
      <c r="X169" s="181"/>
      <c r="Y169" s="185" t="str">
        <f t="shared" si="54"/>
        <v/>
      </c>
      <c r="Z169" s="186"/>
      <c r="AA169" s="161"/>
      <c r="AB169" s="161"/>
      <c r="AC169" s="161"/>
    </row>
    <row r="170" spans="1:29" ht="18" customHeight="1" x14ac:dyDescent="0.2">
      <c r="A170" s="166"/>
      <c r="B170" s="152"/>
      <c r="C170" s="152"/>
      <c r="D170" s="175"/>
      <c r="E170" s="175"/>
      <c r="F170" s="175"/>
      <c r="G170" s="175"/>
      <c r="H170" s="175"/>
      <c r="I170" s="152"/>
      <c r="J170" s="176" t="s">
        <v>99</v>
      </c>
      <c r="K170" s="154">
        <f>45000+2000+3000+5000</f>
        <v>55000</v>
      </c>
      <c r="L170" s="177"/>
      <c r="M170" s="161"/>
      <c r="N170" s="178"/>
      <c r="O170" s="179" t="s">
        <v>121</v>
      </c>
      <c r="P170" s="179"/>
      <c r="Q170" s="179"/>
      <c r="R170" s="179" t="str">
        <f t="shared" si="51"/>
        <v/>
      </c>
      <c r="S170" s="159"/>
      <c r="T170" s="179" t="s">
        <v>121</v>
      </c>
      <c r="U170" s="185"/>
      <c r="V170" s="181"/>
      <c r="W170" s="185" t="str">
        <f t="shared" si="53"/>
        <v/>
      </c>
      <c r="X170" s="181"/>
      <c r="Y170" s="185" t="str">
        <f t="shared" si="54"/>
        <v/>
      </c>
      <c r="Z170" s="186"/>
      <c r="AA170" s="161"/>
      <c r="AB170" s="161"/>
      <c r="AC170" s="161"/>
    </row>
    <row r="171" spans="1:29" ht="18" customHeight="1" thickBot="1" x14ac:dyDescent="0.25">
      <c r="A171" s="166"/>
      <c r="B171" s="152" t="s">
        <v>101</v>
      </c>
      <c r="C171" s="151" t="s">
        <v>144</v>
      </c>
      <c r="D171" s="152"/>
      <c r="E171" s="152"/>
      <c r="F171" s="152"/>
      <c r="G171" s="152"/>
      <c r="H171" s="182"/>
      <c r="I171" s="175"/>
      <c r="J171" s="152"/>
      <c r="K171" s="152"/>
      <c r="L171" s="183"/>
      <c r="M171" s="204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4"/>
      <c r="AB171" s="204"/>
      <c r="AC171" s="204"/>
    </row>
    <row r="172" spans="1:29" ht="18" customHeight="1" x14ac:dyDescent="0.2">
      <c r="A172" s="166"/>
      <c r="B172" s="187" t="s">
        <v>103</v>
      </c>
      <c r="C172" s="188"/>
      <c r="D172" s="152"/>
      <c r="E172" s="152"/>
      <c r="F172" s="439" t="s">
        <v>91</v>
      </c>
      <c r="G172" s="413"/>
      <c r="H172" s="152"/>
      <c r="I172" s="439" t="s">
        <v>104</v>
      </c>
      <c r="J172" s="412"/>
      <c r="K172" s="413"/>
      <c r="L172" s="189"/>
      <c r="M172" s="162"/>
      <c r="N172" s="163"/>
      <c r="O172" s="440" t="s">
        <v>90</v>
      </c>
      <c r="P172" s="441"/>
      <c r="Q172" s="441"/>
      <c r="R172" s="442"/>
      <c r="S172" s="164"/>
      <c r="T172" s="440" t="s">
        <v>91</v>
      </c>
      <c r="U172" s="441"/>
      <c r="V172" s="441"/>
      <c r="W172" s="441"/>
      <c r="X172" s="441"/>
      <c r="Y172" s="442"/>
      <c r="Z172" s="165"/>
      <c r="AA172" s="162"/>
      <c r="AB172" s="161"/>
      <c r="AC172" s="161"/>
    </row>
    <row r="173" spans="1:29" ht="18" customHeight="1" x14ac:dyDescent="0.2">
      <c r="A173" s="166"/>
      <c r="B173" s="152"/>
      <c r="C173" s="152"/>
      <c r="D173" s="152"/>
      <c r="E173" s="152"/>
      <c r="F173" s="152"/>
      <c r="G173" s="152"/>
      <c r="H173" s="190"/>
      <c r="I173" s="152"/>
      <c r="J173" s="152"/>
      <c r="K173" s="152"/>
      <c r="L173" s="191"/>
      <c r="M173" s="170"/>
      <c r="N173" s="171"/>
      <c r="O173" s="172" t="s">
        <v>93</v>
      </c>
      <c r="P173" s="172" t="s">
        <v>94</v>
      </c>
      <c r="Q173" s="172" t="s">
        <v>95</v>
      </c>
      <c r="R173" s="172" t="s">
        <v>96</v>
      </c>
      <c r="S173" s="173"/>
      <c r="T173" s="172" t="s">
        <v>93</v>
      </c>
      <c r="U173" s="172" t="s">
        <v>97</v>
      </c>
      <c r="V173" s="172" t="s">
        <v>9</v>
      </c>
      <c r="W173" s="172" t="s">
        <v>10</v>
      </c>
      <c r="X173" s="172" t="s">
        <v>11</v>
      </c>
      <c r="Y173" s="172" t="s">
        <v>98</v>
      </c>
      <c r="Z173" s="174"/>
      <c r="AA173" s="170"/>
      <c r="AB173" s="161"/>
      <c r="AC173" s="161"/>
    </row>
    <row r="174" spans="1:29" ht="18" customHeight="1" x14ac:dyDescent="0.2">
      <c r="A174" s="166"/>
      <c r="B174" s="445" t="s">
        <v>90</v>
      </c>
      <c r="C174" s="413"/>
      <c r="D174" s="152"/>
      <c r="E174" s="152"/>
      <c r="F174" s="192" t="s">
        <v>107</v>
      </c>
      <c r="G174" s="19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0</v>
      </c>
      <c r="H174" s="190"/>
      <c r="I174" s="194">
        <f>IF(C178&gt;0,$K$2,C176)</f>
        <v>31</v>
      </c>
      <c r="J174" s="195" t="s">
        <v>108</v>
      </c>
      <c r="K174" s="196">
        <f>K170/$K$2*I174</f>
        <v>55000</v>
      </c>
      <c r="L174" s="197"/>
      <c r="M174" s="161"/>
      <c r="N174" s="178"/>
      <c r="O174" s="179" t="s">
        <v>100</v>
      </c>
      <c r="P174" s="179">
        <v>31</v>
      </c>
      <c r="Q174" s="179">
        <v>0</v>
      </c>
      <c r="R174" s="179">
        <f>15-Q174</f>
        <v>15</v>
      </c>
      <c r="S174" s="180"/>
      <c r="T174" s="179" t="s">
        <v>100</v>
      </c>
      <c r="U174" s="181">
        <v>72000</v>
      </c>
      <c r="V174" s="181">
        <f>5000+5000+5000</f>
        <v>15000</v>
      </c>
      <c r="W174" s="181">
        <f>V174+U174</f>
        <v>87000</v>
      </c>
      <c r="X174" s="181"/>
      <c r="Y174" s="181">
        <f>W174-X174</f>
        <v>87000</v>
      </c>
      <c r="Z174" s="174"/>
      <c r="AA174" s="161"/>
      <c r="AB174" s="161"/>
      <c r="AC174" s="161"/>
    </row>
    <row r="175" spans="1:29" ht="18" customHeight="1" x14ac:dyDescent="0.2">
      <c r="A175" s="166"/>
      <c r="B175" s="198"/>
      <c r="C175" s="198"/>
      <c r="D175" s="152"/>
      <c r="E175" s="152"/>
      <c r="F175" s="192" t="s">
        <v>9</v>
      </c>
      <c r="G175" s="19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5" s="190"/>
      <c r="I175" s="194">
        <v>0</v>
      </c>
      <c r="J175" s="195" t="s">
        <v>110</v>
      </c>
      <c r="K175" s="193">
        <f>K170/$K$2/8*I175</f>
        <v>0</v>
      </c>
      <c r="L175" s="199"/>
      <c r="M175" s="162"/>
      <c r="N175" s="184"/>
      <c r="O175" s="179" t="s">
        <v>102</v>
      </c>
      <c r="P175" s="179">
        <v>28</v>
      </c>
      <c r="Q175" s="179">
        <v>1</v>
      </c>
      <c r="R175" s="179">
        <f t="shared" ref="R175:R185" si="56">IF(Q175="","",R174-Q175)</f>
        <v>14</v>
      </c>
      <c r="S175" s="159"/>
      <c r="T175" s="179" t="s">
        <v>102</v>
      </c>
      <c r="U175" s="185">
        <f t="shared" ref="U175:U176" si="57">Y174</f>
        <v>87000</v>
      </c>
      <c r="V175" s="181">
        <v>1000</v>
      </c>
      <c r="W175" s="185">
        <f t="shared" ref="W175:W185" si="58">IF(U175="","",U175+V175)</f>
        <v>88000</v>
      </c>
      <c r="X175" s="181"/>
      <c r="Y175" s="185">
        <f t="shared" ref="Y175:Y185" si="59">IF(W175="","",W175-X175)</f>
        <v>88000</v>
      </c>
      <c r="Z175" s="186"/>
      <c r="AA175" s="162"/>
      <c r="AB175" s="161"/>
      <c r="AC175" s="161"/>
    </row>
    <row r="176" spans="1:29" ht="18" customHeight="1" x14ac:dyDescent="0.2">
      <c r="A176" s="166"/>
      <c r="B176" s="192" t="s">
        <v>94</v>
      </c>
      <c r="C176" s="198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76" s="152"/>
      <c r="E176" s="152"/>
      <c r="F176" s="192" t="s">
        <v>111</v>
      </c>
      <c r="G176" s="193" t="str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/>
      </c>
      <c r="H176" s="190"/>
      <c r="I176" s="446" t="s">
        <v>112</v>
      </c>
      <c r="J176" s="413"/>
      <c r="K176" s="193">
        <f>K174+K175</f>
        <v>55000</v>
      </c>
      <c r="L176" s="199"/>
      <c r="M176" s="161"/>
      <c r="N176" s="178"/>
      <c r="O176" s="179" t="s">
        <v>105</v>
      </c>
      <c r="P176" s="179">
        <v>29</v>
      </c>
      <c r="Q176" s="179">
        <v>2</v>
      </c>
      <c r="R176" s="179">
        <f t="shared" si="56"/>
        <v>12</v>
      </c>
      <c r="S176" s="159"/>
      <c r="T176" s="179" t="s">
        <v>105</v>
      </c>
      <c r="U176" s="185">
        <f t="shared" si="57"/>
        <v>88000</v>
      </c>
      <c r="V176" s="181">
        <v>2000</v>
      </c>
      <c r="W176" s="185">
        <f t="shared" si="58"/>
        <v>90000</v>
      </c>
      <c r="X176" s="181"/>
      <c r="Y176" s="185">
        <f t="shared" si="59"/>
        <v>90000</v>
      </c>
      <c r="Z176" s="186"/>
      <c r="AA176" s="161"/>
      <c r="AB176" s="161"/>
      <c r="AC176" s="161"/>
    </row>
    <row r="177" spans="1:29" ht="18" customHeight="1" x14ac:dyDescent="0.2">
      <c r="A177" s="166"/>
      <c r="B177" s="192" t="s">
        <v>95</v>
      </c>
      <c r="C177" s="198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77" s="152"/>
      <c r="E177" s="152"/>
      <c r="F177" s="192" t="s">
        <v>11</v>
      </c>
      <c r="G177" s="19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77" s="190"/>
      <c r="I177" s="446" t="s">
        <v>114</v>
      </c>
      <c r="J177" s="413"/>
      <c r="K177" s="193">
        <f>G177</f>
        <v>0</v>
      </c>
      <c r="L177" s="199"/>
      <c r="M177" s="161"/>
      <c r="N177" s="178"/>
      <c r="O177" s="179" t="s">
        <v>106</v>
      </c>
      <c r="P177" s="179">
        <v>30</v>
      </c>
      <c r="Q177" s="179">
        <v>0</v>
      </c>
      <c r="R177" s="179">
        <f t="shared" si="56"/>
        <v>12</v>
      </c>
      <c r="S177" s="159"/>
      <c r="T177" s="179" t="s">
        <v>106</v>
      </c>
      <c r="U177" s="185">
        <f t="shared" ref="U177:U178" si="60">IF($J$1="March","",Y176)</f>
        <v>90000</v>
      </c>
      <c r="V177" s="181"/>
      <c r="W177" s="185">
        <f t="shared" si="58"/>
        <v>90000</v>
      </c>
      <c r="X177" s="181"/>
      <c r="Y177" s="185">
        <f t="shared" si="59"/>
        <v>90000</v>
      </c>
      <c r="Z177" s="186"/>
      <c r="AA177" s="161"/>
      <c r="AB177" s="161"/>
      <c r="AC177" s="161"/>
    </row>
    <row r="178" spans="1:29" ht="18" customHeight="1" x14ac:dyDescent="0.2">
      <c r="A178" s="166"/>
      <c r="B178" s="207" t="s">
        <v>116</v>
      </c>
      <c r="C178" s="198" t="str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/>
      </c>
      <c r="D178" s="152"/>
      <c r="E178" s="152"/>
      <c r="F178" s="207" t="s">
        <v>117</v>
      </c>
      <c r="G178" s="193" t="str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/>
      </c>
      <c r="H178" s="152"/>
      <c r="I178" s="439" t="s">
        <v>13</v>
      </c>
      <c r="J178" s="413"/>
      <c r="K178" s="37">
        <f>K176-K177</f>
        <v>55000</v>
      </c>
      <c r="L178" s="183"/>
      <c r="M178" s="161"/>
      <c r="N178" s="178"/>
      <c r="O178" s="179" t="s">
        <v>109</v>
      </c>
      <c r="P178" s="179">
        <v>30</v>
      </c>
      <c r="Q178" s="179">
        <v>1</v>
      </c>
      <c r="R178" s="179">
        <f t="shared" si="56"/>
        <v>11</v>
      </c>
      <c r="S178" s="159"/>
      <c r="T178" s="179" t="s">
        <v>109</v>
      </c>
      <c r="U178" s="185">
        <f t="shared" si="60"/>
        <v>90000</v>
      </c>
      <c r="V178" s="181">
        <v>10000</v>
      </c>
      <c r="W178" s="185">
        <f t="shared" si="58"/>
        <v>100000</v>
      </c>
      <c r="X178" s="181">
        <v>5000</v>
      </c>
      <c r="Y178" s="185">
        <f t="shared" si="59"/>
        <v>95000</v>
      </c>
      <c r="Z178" s="186"/>
      <c r="AA178" s="161"/>
      <c r="AB178" s="161"/>
      <c r="AC178" s="161"/>
    </row>
    <row r="179" spans="1:29" ht="18" customHeight="1" x14ac:dyDescent="0.2">
      <c r="A179" s="166"/>
      <c r="B179" s="152"/>
      <c r="C179" s="152"/>
      <c r="D179" s="152"/>
      <c r="E179" s="152"/>
      <c r="F179" s="152"/>
      <c r="G179" s="152"/>
      <c r="H179" s="152"/>
      <c r="I179" s="434"/>
      <c r="J179" s="435"/>
      <c r="K179" s="154"/>
      <c r="L179" s="189"/>
      <c r="M179" s="161"/>
      <c r="N179" s="178"/>
      <c r="O179" s="179" t="s">
        <v>85</v>
      </c>
      <c r="P179" s="179">
        <v>28</v>
      </c>
      <c r="Q179" s="179">
        <v>2</v>
      </c>
      <c r="R179" s="179">
        <f t="shared" si="56"/>
        <v>9</v>
      </c>
      <c r="S179" s="159"/>
      <c r="T179" s="179" t="s">
        <v>85</v>
      </c>
      <c r="U179" s="185">
        <f>Y178</f>
        <v>95000</v>
      </c>
      <c r="V179" s="181"/>
      <c r="W179" s="185">
        <f t="shared" si="58"/>
        <v>95000</v>
      </c>
      <c r="X179" s="181">
        <v>5000</v>
      </c>
      <c r="Y179" s="185">
        <f t="shared" si="59"/>
        <v>90000</v>
      </c>
      <c r="Z179" s="186"/>
      <c r="AA179" s="161"/>
      <c r="AB179" s="161"/>
      <c r="AC179" s="161"/>
    </row>
    <row r="180" spans="1:29" ht="18" customHeight="1" x14ac:dyDescent="0.3">
      <c r="A180" s="166"/>
      <c r="B180" s="150"/>
      <c r="C180" s="150"/>
      <c r="D180" s="150"/>
      <c r="E180" s="150"/>
      <c r="F180" s="150"/>
      <c r="G180" s="150"/>
      <c r="H180" s="150"/>
      <c r="I180" s="434"/>
      <c r="J180" s="435"/>
      <c r="K180" s="154"/>
      <c r="L180" s="189"/>
      <c r="M180" s="161"/>
      <c r="N180" s="178"/>
      <c r="O180" s="179" t="s">
        <v>113</v>
      </c>
      <c r="P180" s="179">
        <v>24</v>
      </c>
      <c r="Q180" s="179">
        <v>7</v>
      </c>
      <c r="R180" s="179">
        <f t="shared" si="56"/>
        <v>2</v>
      </c>
      <c r="S180" s="159"/>
      <c r="T180" s="179" t="s">
        <v>113</v>
      </c>
      <c r="U180" s="185">
        <f>Y179</f>
        <v>90000</v>
      </c>
      <c r="V180" s="181">
        <v>0</v>
      </c>
      <c r="W180" s="185">
        <f t="shared" si="58"/>
        <v>90000</v>
      </c>
      <c r="X180" s="181"/>
      <c r="Y180" s="185">
        <f t="shared" si="59"/>
        <v>90000</v>
      </c>
      <c r="Z180" s="186"/>
      <c r="AA180" s="161"/>
      <c r="AB180" s="161"/>
      <c r="AC180" s="161"/>
    </row>
    <row r="181" spans="1:29" ht="18" customHeight="1" thickBot="1" x14ac:dyDescent="0.35">
      <c r="A181" s="200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2"/>
      <c r="M181" s="161"/>
      <c r="N181" s="178"/>
      <c r="O181" s="179" t="s">
        <v>115</v>
      </c>
      <c r="P181" s="179"/>
      <c r="Q181" s="179"/>
      <c r="R181" s="179" t="str">
        <f t="shared" si="56"/>
        <v/>
      </c>
      <c r="S181" s="159"/>
      <c r="T181" s="179" t="s">
        <v>115</v>
      </c>
      <c r="U181" s="185"/>
      <c r="V181" s="181"/>
      <c r="W181" s="185" t="str">
        <f t="shared" si="58"/>
        <v/>
      </c>
      <c r="X181" s="181"/>
      <c r="Y181" s="185" t="str">
        <f t="shared" si="59"/>
        <v/>
      </c>
      <c r="Z181" s="186"/>
      <c r="AA181" s="161"/>
      <c r="AB181" s="161"/>
      <c r="AC181" s="161"/>
    </row>
    <row r="182" spans="1:29" ht="18" customHeight="1" thickBot="1" x14ac:dyDescent="0.25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161"/>
      <c r="N182" s="178"/>
      <c r="O182" s="179" t="s">
        <v>118</v>
      </c>
      <c r="P182" s="179"/>
      <c r="Q182" s="179"/>
      <c r="R182" s="179" t="str">
        <f t="shared" si="56"/>
        <v/>
      </c>
      <c r="S182" s="159"/>
      <c r="T182" s="179" t="s">
        <v>118</v>
      </c>
      <c r="U182" s="185"/>
      <c r="V182" s="181"/>
      <c r="W182" s="185" t="str">
        <f t="shared" si="58"/>
        <v/>
      </c>
      <c r="X182" s="181"/>
      <c r="Y182" s="185" t="str">
        <f t="shared" si="59"/>
        <v/>
      </c>
      <c r="Z182" s="186"/>
      <c r="AA182" s="161"/>
      <c r="AB182" s="161"/>
      <c r="AC182" s="161"/>
    </row>
    <row r="183" spans="1:29" ht="18" customHeight="1" thickBot="1" x14ac:dyDescent="0.25">
      <c r="A183" s="447" t="s">
        <v>89</v>
      </c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4"/>
      <c r="M183" s="161"/>
      <c r="N183" s="178"/>
      <c r="O183" s="179" t="s">
        <v>119</v>
      </c>
      <c r="P183" s="179"/>
      <c r="Q183" s="179"/>
      <c r="R183" s="179" t="str">
        <f t="shared" si="56"/>
        <v/>
      </c>
      <c r="S183" s="159"/>
      <c r="T183" s="179" t="s">
        <v>119</v>
      </c>
      <c r="U183" s="185"/>
      <c r="V183" s="181"/>
      <c r="W183" s="185" t="str">
        <f t="shared" si="58"/>
        <v/>
      </c>
      <c r="X183" s="181"/>
      <c r="Y183" s="185" t="str">
        <f t="shared" si="59"/>
        <v/>
      </c>
      <c r="Z183" s="186"/>
      <c r="AA183" s="161"/>
      <c r="AB183" s="161"/>
      <c r="AC183" s="161"/>
    </row>
    <row r="184" spans="1:29" ht="18" customHeight="1" x14ac:dyDescent="0.2">
      <c r="A184" s="166"/>
      <c r="B184" s="152"/>
      <c r="C184" s="443" t="s">
        <v>145</v>
      </c>
      <c r="D184" s="435"/>
      <c r="E184" s="435"/>
      <c r="F184" s="435"/>
      <c r="G184" s="167" t="str">
        <f>$J$1</f>
        <v>August</v>
      </c>
      <c r="H184" s="444">
        <f>$K$1</f>
        <v>2024</v>
      </c>
      <c r="I184" s="435"/>
      <c r="J184" s="152"/>
      <c r="K184" s="168"/>
      <c r="L184" s="169"/>
      <c r="M184" s="161"/>
      <c r="N184" s="178"/>
      <c r="O184" s="179" t="s">
        <v>120</v>
      </c>
      <c r="P184" s="179"/>
      <c r="Q184" s="179"/>
      <c r="R184" s="179" t="str">
        <f t="shared" si="56"/>
        <v/>
      </c>
      <c r="S184" s="159"/>
      <c r="T184" s="179" t="s">
        <v>120</v>
      </c>
      <c r="U184" s="185"/>
      <c r="V184" s="181"/>
      <c r="W184" s="185" t="str">
        <f t="shared" si="58"/>
        <v/>
      </c>
      <c r="X184" s="181"/>
      <c r="Y184" s="185" t="str">
        <f t="shared" si="59"/>
        <v/>
      </c>
      <c r="Z184" s="186"/>
      <c r="AA184" s="161"/>
      <c r="AB184" s="161"/>
      <c r="AC184" s="161"/>
    </row>
    <row r="185" spans="1:29" ht="18" customHeight="1" x14ac:dyDescent="0.2">
      <c r="A185" s="166"/>
      <c r="B185" s="152"/>
      <c r="C185" s="152"/>
      <c r="D185" s="175"/>
      <c r="E185" s="175"/>
      <c r="F185" s="175"/>
      <c r="G185" s="175"/>
      <c r="H185" s="175"/>
      <c r="I185" s="152"/>
      <c r="J185" s="176" t="s">
        <v>99</v>
      </c>
      <c r="K185" s="154">
        <f>24000+3000+3000+5000</f>
        <v>35000</v>
      </c>
      <c r="L185" s="177"/>
      <c r="M185" s="161"/>
      <c r="N185" s="178"/>
      <c r="O185" s="179" t="s">
        <v>121</v>
      </c>
      <c r="P185" s="179"/>
      <c r="Q185" s="179"/>
      <c r="R185" s="179" t="str">
        <f t="shared" si="56"/>
        <v/>
      </c>
      <c r="S185" s="159"/>
      <c r="T185" s="179" t="s">
        <v>121</v>
      </c>
      <c r="U185" s="185"/>
      <c r="V185" s="181"/>
      <c r="W185" s="185" t="str">
        <f t="shared" si="58"/>
        <v/>
      </c>
      <c r="X185" s="181"/>
      <c r="Y185" s="185" t="str">
        <f t="shared" si="59"/>
        <v/>
      </c>
      <c r="Z185" s="186"/>
      <c r="AA185" s="161"/>
      <c r="AB185" s="161"/>
      <c r="AC185" s="161"/>
    </row>
    <row r="186" spans="1:29" ht="18" customHeight="1" thickBot="1" x14ac:dyDescent="0.25">
      <c r="A186" s="166"/>
      <c r="B186" s="152" t="s">
        <v>101</v>
      </c>
      <c r="C186" s="151" t="s">
        <v>146</v>
      </c>
      <c r="D186" s="152"/>
      <c r="E186" s="152"/>
      <c r="F186" s="152"/>
      <c r="G186" s="152"/>
      <c r="H186" s="182"/>
      <c r="I186" s="175"/>
      <c r="J186" s="152"/>
      <c r="K186" s="152"/>
      <c r="L186" s="183"/>
      <c r="M186" s="204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204"/>
      <c r="AB186" s="204"/>
      <c r="AC186" s="204"/>
    </row>
    <row r="187" spans="1:29" ht="18" customHeight="1" x14ac:dyDescent="0.2">
      <c r="A187" s="166"/>
      <c r="B187" s="187" t="s">
        <v>103</v>
      </c>
      <c r="C187" s="188"/>
      <c r="D187" s="152"/>
      <c r="E187" s="152"/>
      <c r="F187" s="439" t="s">
        <v>91</v>
      </c>
      <c r="G187" s="413"/>
      <c r="H187" s="152"/>
      <c r="I187" s="439" t="s">
        <v>104</v>
      </c>
      <c r="J187" s="412"/>
      <c r="K187" s="413"/>
      <c r="L187" s="189"/>
      <c r="M187" s="162"/>
      <c r="N187" s="163"/>
      <c r="O187" s="440" t="s">
        <v>90</v>
      </c>
      <c r="P187" s="441"/>
      <c r="Q187" s="441"/>
      <c r="R187" s="442"/>
      <c r="S187" s="164"/>
      <c r="T187" s="440" t="s">
        <v>91</v>
      </c>
      <c r="U187" s="441"/>
      <c r="V187" s="441"/>
      <c r="W187" s="441"/>
      <c r="X187" s="441"/>
      <c r="Y187" s="442"/>
      <c r="Z187" s="165"/>
      <c r="AA187" s="162"/>
      <c r="AB187" s="161"/>
      <c r="AC187" s="161"/>
    </row>
    <row r="188" spans="1:29" ht="18" customHeight="1" x14ac:dyDescent="0.2">
      <c r="A188" s="166"/>
      <c r="B188" s="152"/>
      <c r="C188" s="152"/>
      <c r="D188" s="152"/>
      <c r="E188" s="152"/>
      <c r="F188" s="152"/>
      <c r="G188" s="152"/>
      <c r="H188" s="190"/>
      <c r="I188" s="152"/>
      <c r="J188" s="152"/>
      <c r="K188" s="152"/>
      <c r="L188" s="191"/>
      <c r="M188" s="170"/>
      <c r="N188" s="171"/>
      <c r="O188" s="172" t="s">
        <v>93</v>
      </c>
      <c r="P188" s="172" t="s">
        <v>94</v>
      </c>
      <c r="Q188" s="172" t="s">
        <v>95</v>
      </c>
      <c r="R188" s="172" t="s">
        <v>96</v>
      </c>
      <c r="S188" s="173"/>
      <c r="T188" s="172" t="s">
        <v>93</v>
      </c>
      <c r="U188" s="172" t="s">
        <v>97</v>
      </c>
      <c r="V188" s="172" t="s">
        <v>9</v>
      </c>
      <c r="W188" s="172" t="s">
        <v>10</v>
      </c>
      <c r="X188" s="172" t="s">
        <v>11</v>
      </c>
      <c r="Y188" s="172" t="s">
        <v>98</v>
      </c>
      <c r="Z188" s="174"/>
      <c r="AA188" s="170"/>
      <c r="AB188" s="161"/>
      <c r="AC188" s="161"/>
    </row>
    <row r="189" spans="1:29" ht="18" customHeight="1" x14ac:dyDescent="0.2">
      <c r="A189" s="166"/>
      <c r="B189" s="445" t="s">
        <v>90</v>
      </c>
      <c r="C189" s="413"/>
      <c r="D189" s="152"/>
      <c r="E189" s="152"/>
      <c r="F189" s="192" t="s">
        <v>107</v>
      </c>
      <c r="G189" s="193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0</v>
      </c>
      <c r="H189" s="190"/>
      <c r="I189" s="194">
        <f>IF(C193&gt;=C192,$K$2,C191+C193)</f>
        <v>31</v>
      </c>
      <c r="J189" s="195" t="s">
        <v>108</v>
      </c>
      <c r="K189" s="196">
        <f>K185/$K$2*I189</f>
        <v>35000</v>
      </c>
      <c r="L189" s="197"/>
      <c r="M189" s="161"/>
      <c r="N189" s="178"/>
      <c r="O189" s="179" t="s">
        <v>100</v>
      </c>
      <c r="P189" s="179">
        <v>31</v>
      </c>
      <c r="Q189" s="179">
        <v>0</v>
      </c>
      <c r="R189" s="179">
        <f>15-Q189-5</f>
        <v>10</v>
      </c>
      <c r="S189" s="180"/>
      <c r="T189" s="179" t="s">
        <v>100</v>
      </c>
      <c r="U189" s="181">
        <v>84000</v>
      </c>
      <c r="V189" s="181"/>
      <c r="W189" s="181">
        <f>V189+U189</f>
        <v>84000</v>
      </c>
      <c r="X189" s="181">
        <v>5000</v>
      </c>
      <c r="Y189" s="181">
        <f>W189-X189</f>
        <v>79000</v>
      </c>
      <c r="Z189" s="174"/>
      <c r="AA189" s="161"/>
      <c r="AB189" s="161"/>
      <c r="AC189" s="161"/>
    </row>
    <row r="190" spans="1:29" ht="18" customHeight="1" x14ac:dyDescent="0.2">
      <c r="A190" s="166"/>
      <c r="B190" s="198"/>
      <c r="C190" s="198"/>
      <c r="D190" s="152"/>
      <c r="E190" s="152"/>
      <c r="F190" s="192" t="s">
        <v>9</v>
      </c>
      <c r="G190" s="193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0" s="190"/>
      <c r="I190" s="194">
        <v>185</v>
      </c>
      <c r="J190" s="195" t="s">
        <v>110</v>
      </c>
      <c r="K190" s="193">
        <f>K185/$K$2/8*I190</f>
        <v>26108.870967741936</v>
      </c>
      <c r="L190" s="199"/>
      <c r="M190" s="162"/>
      <c r="N190" s="184"/>
      <c r="O190" s="179" t="s">
        <v>102</v>
      </c>
      <c r="P190" s="179">
        <v>28</v>
      </c>
      <c r="Q190" s="179">
        <v>1</v>
      </c>
      <c r="R190" s="179">
        <f t="shared" ref="R190:R197" si="61">IF(Q190="","",R189-Q190)</f>
        <v>9</v>
      </c>
      <c r="S190" s="159"/>
      <c r="T190" s="179" t="s">
        <v>102</v>
      </c>
      <c r="U190" s="185">
        <f t="shared" ref="U190:U191" si="62">Y189</f>
        <v>79000</v>
      </c>
      <c r="V190" s="181"/>
      <c r="W190" s="185">
        <f t="shared" ref="W190:W200" si="63">IF(U190="","",U190+V190)</f>
        <v>79000</v>
      </c>
      <c r="X190" s="181">
        <v>5000</v>
      </c>
      <c r="Y190" s="185">
        <f t="shared" ref="Y190:Y200" si="64">IF(W190="","",W190-X190)</f>
        <v>74000</v>
      </c>
      <c r="Z190" s="186"/>
      <c r="AA190" s="162"/>
      <c r="AB190" s="161"/>
      <c r="AC190" s="161"/>
    </row>
    <row r="191" spans="1:29" ht="18" customHeight="1" x14ac:dyDescent="0.2">
      <c r="A191" s="166"/>
      <c r="B191" s="192" t="s">
        <v>94</v>
      </c>
      <c r="C191" s="198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1" s="152"/>
      <c r="E191" s="152"/>
      <c r="F191" s="192" t="s">
        <v>111</v>
      </c>
      <c r="G191" s="193" t="str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/>
      </c>
      <c r="H191" s="190"/>
      <c r="I191" s="446" t="s">
        <v>112</v>
      </c>
      <c r="J191" s="413"/>
      <c r="K191" s="193">
        <f>K189+K190</f>
        <v>61108.870967741939</v>
      </c>
      <c r="L191" s="199"/>
      <c r="M191" s="161"/>
      <c r="N191" s="178"/>
      <c r="O191" s="179" t="s">
        <v>105</v>
      </c>
      <c r="P191" s="179">
        <v>29</v>
      </c>
      <c r="Q191" s="179">
        <v>2</v>
      </c>
      <c r="R191" s="179">
        <f t="shared" si="61"/>
        <v>7</v>
      </c>
      <c r="S191" s="159"/>
      <c r="T191" s="179" t="s">
        <v>105</v>
      </c>
      <c r="U191" s="185">
        <f t="shared" si="62"/>
        <v>74000</v>
      </c>
      <c r="V191" s="181"/>
      <c r="W191" s="185">
        <f t="shared" si="63"/>
        <v>74000</v>
      </c>
      <c r="X191" s="181">
        <v>5000</v>
      </c>
      <c r="Y191" s="185">
        <f t="shared" si="64"/>
        <v>69000</v>
      </c>
      <c r="Z191" s="186"/>
      <c r="AA191" s="161"/>
      <c r="AB191" s="161"/>
      <c r="AC191" s="161"/>
    </row>
    <row r="192" spans="1:29" ht="18" customHeight="1" x14ac:dyDescent="0.2">
      <c r="A192" s="166"/>
      <c r="B192" s="192" t="s">
        <v>95</v>
      </c>
      <c r="C192" s="198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2" s="152"/>
      <c r="E192" s="152"/>
      <c r="F192" s="192" t="s">
        <v>11</v>
      </c>
      <c r="G192" s="193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2" s="190"/>
      <c r="I192" s="446" t="s">
        <v>114</v>
      </c>
      <c r="J192" s="413"/>
      <c r="K192" s="193">
        <f>G192</f>
        <v>0</v>
      </c>
      <c r="L192" s="199"/>
      <c r="M192" s="161"/>
      <c r="N192" s="178"/>
      <c r="O192" s="179" t="s">
        <v>106</v>
      </c>
      <c r="P192" s="179">
        <v>29</v>
      </c>
      <c r="Q192" s="179">
        <v>1</v>
      </c>
      <c r="R192" s="179">
        <f t="shared" si="61"/>
        <v>6</v>
      </c>
      <c r="S192" s="159"/>
      <c r="T192" s="179" t="s">
        <v>106</v>
      </c>
      <c r="U192" s="185">
        <f>IF($J$1="March","",Y191)</f>
        <v>69000</v>
      </c>
      <c r="V192" s="181"/>
      <c r="W192" s="185">
        <f t="shared" si="63"/>
        <v>69000</v>
      </c>
      <c r="X192" s="181">
        <v>5000</v>
      </c>
      <c r="Y192" s="185">
        <f t="shared" si="64"/>
        <v>64000</v>
      </c>
      <c r="Z192" s="186"/>
      <c r="AA192" s="161"/>
      <c r="AB192" s="161"/>
      <c r="AC192" s="161"/>
    </row>
    <row r="193" spans="1:29" ht="18" customHeight="1" x14ac:dyDescent="0.2">
      <c r="A193" s="166"/>
      <c r="B193" s="207" t="s">
        <v>116</v>
      </c>
      <c r="C193" s="198" t="str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/>
      </c>
      <c r="D193" s="152"/>
      <c r="E193" s="152"/>
      <c r="F193" s="207" t="s">
        <v>117</v>
      </c>
      <c r="G193" s="193" t="str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/>
      </c>
      <c r="H193" s="152"/>
      <c r="I193" s="439" t="s">
        <v>13</v>
      </c>
      <c r="J193" s="413"/>
      <c r="K193" s="37">
        <f>K191-K192</f>
        <v>61108.870967741939</v>
      </c>
      <c r="L193" s="183"/>
      <c r="M193" s="161"/>
      <c r="N193" s="178"/>
      <c r="O193" s="179" t="s">
        <v>109</v>
      </c>
      <c r="P193" s="179">
        <v>30</v>
      </c>
      <c r="Q193" s="179">
        <v>1</v>
      </c>
      <c r="R193" s="179">
        <f t="shared" si="61"/>
        <v>5</v>
      </c>
      <c r="S193" s="159"/>
      <c r="T193" s="179" t="s">
        <v>109</v>
      </c>
      <c r="U193" s="185">
        <f t="shared" ref="U193:U194" si="65">Y192</f>
        <v>64000</v>
      </c>
      <c r="V193" s="181"/>
      <c r="W193" s="185">
        <f t="shared" si="63"/>
        <v>64000</v>
      </c>
      <c r="X193" s="181">
        <v>5000</v>
      </c>
      <c r="Y193" s="185">
        <f t="shared" si="64"/>
        <v>59000</v>
      </c>
      <c r="Z193" s="186"/>
      <c r="AA193" s="161"/>
      <c r="AB193" s="161"/>
      <c r="AC193" s="161"/>
    </row>
    <row r="194" spans="1:29" ht="18" customHeight="1" x14ac:dyDescent="0.2">
      <c r="A194" s="166"/>
      <c r="B194" s="152"/>
      <c r="C194" s="152"/>
      <c r="D194" s="152"/>
      <c r="E194" s="152"/>
      <c r="F194" s="152"/>
      <c r="G194" s="152"/>
      <c r="H194" s="152"/>
      <c r="I194" s="434"/>
      <c r="J194" s="435"/>
      <c r="K194" s="154"/>
      <c r="L194" s="189"/>
      <c r="M194" s="161"/>
      <c r="N194" s="178"/>
      <c r="O194" s="179" t="s">
        <v>85</v>
      </c>
      <c r="P194" s="179">
        <v>31</v>
      </c>
      <c r="Q194" s="179"/>
      <c r="R194" s="179" t="str">
        <f t="shared" si="61"/>
        <v/>
      </c>
      <c r="S194" s="159"/>
      <c r="T194" s="179" t="s">
        <v>85</v>
      </c>
      <c r="U194" s="185">
        <f t="shared" si="65"/>
        <v>59000</v>
      </c>
      <c r="V194" s="181"/>
      <c r="W194" s="185">
        <f t="shared" si="63"/>
        <v>59000</v>
      </c>
      <c r="X194" s="181">
        <v>5000</v>
      </c>
      <c r="Y194" s="185">
        <f t="shared" si="64"/>
        <v>54000</v>
      </c>
      <c r="Z194" s="186"/>
      <c r="AA194" s="161"/>
      <c r="AB194" s="161"/>
      <c r="AC194" s="161"/>
    </row>
    <row r="195" spans="1:29" ht="18" customHeight="1" x14ac:dyDescent="0.3">
      <c r="A195" s="166"/>
      <c r="B195" s="150"/>
      <c r="C195" s="150"/>
      <c r="D195" s="150"/>
      <c r="E195" s="150"/>
      <c r="F195" s="211"/>
      <c r="G195" s="150"/>
      <c r="H195" s="150"/>
      <c r="I195" s="434"/>
      <c r="J195" s="435"/>
      <c r="K195" s="154"/>
      <c r="L195" s="189"/>
      <c r="M195" s="161"/>
      <c r="N195" s="178"/>
      <c r="O195" s="179" t="s">
        <v>113</v>
      </c>
      <c r="P195" s="179">
        <v>31</v>
      </c>
      <c r="Q195" s="179"/>
      <c r="R195" s="179" t="str">
        <f t="shared" si="61"/>
        <v/>
      </c>
      <c r="S195" s="159"/>
      <c r="T195" s="179" t="s">
        <v>113</v>
      </c>
      <c r="U195" s="185">
        <f>Y194</f>
        <v>54000</v>
      </c>
      <c r="V195" s="181"/>
      <c r="W195" s="185">
        <f t="shared" si="63"/>
        <v>54000</v>
      </c>
      <c r="X195" s="181">
        <v>5000</v>
      </c>
      <c r="Y195" s="185">
        <f t="shared" si="64"/>
        <v>49000</v>
      </c>
      <c r="Z195" s="186"/>
      <c r="AA195" s="161"/>
      <c r="AB195" s="161"/>
      <c r="AC195" s="161"/>
    </row>
    <row r="196" spans="1:29" ht="18" customHeight="1" thickBot="1" x14ac:dyDescent="0.35">
      <c r="A196" s="200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2"/>
      <c r="M196" s="161"/>
      <c r="N196" s="178"/>
      <c r="O196" s="179" t="s">
        <v>115</v>
      </c>
      <c r="P196" s="179"/>
      <c r="Q196" s="179"/>
      <c r="R196" s="179" t="str">
        <f t="shared" si="61"/>
        <v/>
      </c>
      <c r="S196" s="159"/>
      <c r="T196" s="179" t="s">
        <v>115</v>
      </c>
      <c r="U196" s="185"/>
      <c r="V196" s="181"/>
      <c r="W196" s="185" t="str">
        <f t="shared" si="63"/>
        <v/>
      </c>
      <c r="X196" s="181"/>
      <c r="Y196" s="185" t="str">
        <f t="shared" si="64"/>
        <v/>
      </c>
      <c r="Z196" s="186"/>
      <c r="AA196" s="161"/>
      <c r="AB196" s="161"/>
      <c r="AC196" s="161"/>
    </row>
    <row r="197" spans="1:29" ht="18" customHeight="1" thickBot="1" x14ac:dyDescent="0.25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161"/>
      <c r="N197" s="178"/>
      <c r="O197" s="179" t="s">
        <v>118</v>
      </c>
      <c r="P197" s="179"/>
      <c r="Q197" s="179"/>
      <c r="R197" s="179" t="str">
        <f t="shared" si="61"/>
        <v/>
      </c>
      <c r="S197" s="159"/>
      <c r="T197" s="179" t="s">
        <v>118</v>
      </c>
      <c r="U197" s="185"/>
      <c r="V197" s="181"/>
      <c r="W197" s="185" t="str">
        <f t="shared" si="63"/>
        <v/>
      </c>
      <c r="X197" s="181"/>
      <c r="Y197" s="185" t="str">
        <f t="shared" si="64"/>
        <v/>
      </c>
      <c r="Z197" s="186"/>
      <c r="AA197" s="161"/>
      <c r="AB197" s="161"/>
      <c r="AC197" s="161"/>
    </row>
    <row r="198" spans="1:29" ht="18" customHeight="1" thickBot="1" x14ac:dyDescent="0.25">
      <c r="A198" s="447" t="s">
        <v>89</v>
      </c>
      <c r="B198" s="453"/>
      <c r="C198" s="453"/>
      <c r="D198" s="453"/>
      <c r="E198" s="453"/>
      <c r="F198" s="453"/>
      <c r="G198" s="453"/>
      <c r="H198" s="453"/>
      <c r="I198" s="453"/>
      <c r="J198" s="453"/>
      <c r="K198" s="453"/>
      <c r="L198" s="454"/>
      <c r="M198" s="161"/>
      <c r="N198" s="178"/>
      <c r="O198" s="179" t="s">
        <v>119</v>
      </c>
      <c r="P198" s="179"/>
      <c r="Q198" s="179"/>
      <c r="R198" s="179">
        <v>0</v>
      </c>
      <c r="S198" s="159"/>
      <c r="T198" s="179" t="s">
        <v>119</v>
      </c>
      <c r="U198" s="185"/>
      <c r="V198" s="181"/>
      <c r="W198" s="185" t="str">
        <f t="shared" si="63"/>
        <v/>
      </c>
      <c r="X198" s="181"/>
      <c r="Y198" s="185" t="str">
        <f t="shared" si="64"/>
        <v/>
      </c>
      <c r="Z198" s="186"/>
      <c r="AA198" s="161"/>
      <c r="AB198" s="161"/>
      <c r="AC198" s="161"/>
    </row>
    <row r="199" spans="1:29" ht="18" customHeight="1" x14ac:dyDescent="0.2">
      <c r="A199" s="166"/>
      <c r="B199" s="152"/>
      <c r="C199" s="443" t="s">
        <v>147</v>
      </c>
      <c r="D199" s="435"/>
      <c r="E199" s="435"/>
      <c r="F199" s="435"/>
      <c r="G199" s="167" t="str">
        <f>$J$1</f>
        <v>August</v>
      </c>
      <c r="H199" s="444">
        <f>$K$1</f>
        <v>2024</v>
      </c>
      <c r="I199" s="435"/>
      <c r="J199" s="152"/>
      <c r="K199" s="168"/>
      <c r="L199" s="169"/>
      <c r="M199" s="161"/>
      <c r="N199" s="178"/>
      <c r="O199" s="179" t="s">
        <v>120</v>
      </c>
      <c r="P199" s="179"/>
      <c r="Q199" s="179"/>
      <c r="R199" s="179">
        <v>0</v>
      </c>
      <c r="S199" s="159"/>
      <c r="T199" s="179" t="s">
        <v>120</v>
      </c>
      <c r="U199" s="185"/>
      <c r="V199" s="181"/>
      <c r="W199" s="185" t="str">
        <f t="shared" si="63"/>
        <v/>
      </c>
      <c r="X199" s="181"/>
      <c r="Y199" s="185" t="str">
        <f t="shared" si="64"/>
        <v/>
      </c>
      <c r="Z199" s="186"/>
      <c r="AA199" s="161"/>
      <c r="AB199" s="161"/>
      <c r="AC199" s="161"/>
    </row>
    <row r="200" spans="1:29" ht="18" customHeight="1" x14ac:dyDescent="0.2">
      <c r="A200" s="166"/>
      <c r="B200" s="152"/>
      <c r="C200" s="152"/>
      <c r="D200" s="175"/>
      <c r="E200" s="175"/>
      <c r="F200" s="175"/>
      <c r="G200" s="175"/>
      <c r="H200" s="175"/>
      <c r="I200" s="152"/>
      <c r="J200" s="176" t="s">
        <v>99</v>
      </c>
      <c r="K200" s="154">
        <f>22000+2000+2000+4000</f>
        <v>30000</v>
      </c>
      <c r="L200" s="177"/>
      <c r="M200" s="161"/>
      <c r="N200" s="178"/>
      <c r="O200" s="179" t="s">
        <v>121</v>
      </c>
      <c r="P200" s="179"/>
      <c r="Q200" s="179"/>
      <c r="R200" s="179">
        <v>0</v>
      </c>
      <c r="S200" s="159"/>
      <c r="T200" s="179" t="s">
        <v>121</v>
      </c>
      <c r="U200" s="185"/>
      <c r="V200" s="181"/>
      <c r="W200" s="185" t="str">
        <f t="shared" si="63"/>
        <v/>
      </c>
      <c r="X200" s="181"/>
      <c r="Y200" s="185" t="str">
        <f t="shared" si="64"/>
        <v/>
      </c>
      <c r="Z200" s="186"/>
      <c r="AA200" s="161"/>
      <c r="AB200" s="161"/>
      <c r="AC200" s="161"/>
    </row>
    <row r="201" spans="1:29" ht="18" customHeight="1" thickBot="1" x14ac:dyDescent="0.25">
      <c r="A201" s="166"/>
      <c r="B201" s="152" t="s">
        <v>101</v>
      </c>
      <c r="C201" s="151" t="s">
        <v>148</v>
      </c>
      <c r="D201" s="152"/>
      <c r="E201" s="152"/>
      <c r="F201" s="152"/>
      <c r="G201" s="152"/>
      <c r="H201" s="182"/>
      <c r="I201" s="175"/>
      <c r="J201" s="152"/>
      <c r="K201" s="152"/>
      <c r="L201" s="183"/>
      <c r="M201" s="204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4"/>
      <c r="AB201" s="204"/>
      <c r="AC201" s="204"/>
    </row>
    <row r="202" spans="1:29" ht="18" customHeight="1" x14ac:dyDescent="0.2">
      <c r="A202" s="166"/>
      <c r="B202" s="187" t="s">
        <v>103</v>
      </c>
      <c r="C202" s="188"/>
      <c r="D202" s="152"/>
      <c r="E202" s="152"/>
      <c r="F202" s="439" t="s">
        <v>91</v>
      </c>
      <c r="G202" s="413"/>
      <c r="H202" s="152"/>
      <c r="I202" s="439" t="s">
        <v>104</v>
      </c>
      <c r="J202" s="412"/>
      <c r="K202" s="413"/>
      <c r="L202" s="189"/>
      <c r="M202" s="162"/>
      <c r="N202" s="163"/>
      <c r="O202" s="440" t="s">
        <v>90</v>
      </c>
      <c r="P202" s="441"/>
      <c r="Q202" s="441"/>
      <c r="R202" s="442"/>
      <c r="S202" s="164"/>
      <c r="T202" s="440" t="s">
        <v>91</v>
      </c>
      <c r="U202" s="441"/>
      <c r="V202" s="441"/>
      <c r="W202" s="441"/>
      <c r="X202" s="441"/>
      <c r="Y202" s="442"/>
      <c r="Z202" s="165"/>
      <c r="AA202" s="161"/>
      <c r="AB202" s="161"/>
      <c r="AC202" s="161"/>
    </row>
    <row r="203" spans="1:29" ht="18" customHeight="1" x14ac:dyDescent="0.2">
      <c r="A203" s="166"/>
      <c r="B203" s="152"/>
      <c r="C203" s="152"/>
      <c r="D203" s="152"/>
      <c r="E203" s="152"/>
      <c r="F203" s="152"/>
      <c r="G203" s="152"/>
      <c r="H203" s="190"/>
      <c r="I203" s="152"/>
      <c r="J203" s="152"/>
      <c r="K203" s="152"/>
      <c r="L203" s="191"/>
      <c r="M203" s="170"/>
      <c r="N203" s="171"/>
      <c r="O203" s="172" t="s">
        <v>93</v>
      </c>
      <c r="P203" s="172" t="s">
        <v>94</v>
      </c>
      <c r="Q203" s="172" t="s">
        <v>95</v>
      </c>
      <c r="R203" s="172" t="s">
        <v>96</v>
      </c>
      <c r="S203" s="173"/>
      <c r="T203" s="172" t="s">
        <v>93</v>
      </c>
      <c r="U203" s="172" t="s">
        <v>97</v>
      </c>
      <c r="V203" s="172" t="s">
        <v>9</v>
      </c>
      <c r="W203" s="172" t="s">
        <v>10</v>
      </c>
      <c r="X203" s="172" t="s">
        <v>11</v>
      </c>
      <c r="Y203" s="172" t="s">
        <v>98</v>
      </c>
      <c r="Z203" s="174"/>
      <c r="AA203" s="161"/>
      <c r="AB203" s="161"/>
      <c r="AC203" s="161"/>
    </row>
    <row r="204" spans="1:29" ht="18" customHeight="1" x14ac:dyDescent="0.2">
      <c r="A204" s="166"/>
      <c r="B204" s="445" t="s">
        <v>90</v>
      </c>
      <c r="C204" s="413"/>
      <c r="D204" s="152"/>
      <c r="E204" s="152"/>
      <c r="F204" s="192" t="s">
        <v>107</v>
      </c>
      <c r="G204" s="193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0</v>
      </c>
      <c r="H204" s="190"/>
      <c r="I204" s="194">
        <f>IF(C208&gt;=C207,$K$2,C206+C208)</f>
        <v>31</v>
      </c>
      <c r="J204" s="195" t="s">
        <v>108</v>
      </c>
      <c r="K204" s="196">
        <f>K200/$K$2*I204</f>
        <v>30000</v>
      </c>
      <c r="L204" s="197"/>
      <c r="M204" s="161"/>
      <c r="N204" s="178"/>
      <c r="O204" s="179" t="s">
        <v>100</v>
      </c>
      <c r="P204" s="179">
        <v>29</v>
      </c>
      <c r="Q204" s="179">
        <v>2</v>
      </c>
      <c r="R204" s="179">
        <f>15-Q204</f>
        <v>13</v>
      </c>
      <c r="S204" s="180"/>
      <c r="T204" s="179" t="s">
        <v>100</v>
      </c>
      <c r="U204" s="181">
        <v>11225</v>
      </c>
      <c r="V204" s="181">
        <f>2000+3000</f>
        <v>5000</v>
      </c>
      <c r="W204" s="181">
        <f>V204+U204</f>
        <v>16225</v>
      </c>
      <c r="X204" s="181">
        <v>5000</v>
      </c>
      <c r="Y204" s="181">
        <f>W204-X204</f>
        <v>11225</v>
      </c>
      <c r="Z204" s="174"/>
      <c r="AA204" s="161"/>
      <c r="AB204" s="161"/>
      <c r="AC204" s="161"/>
    </row>
    <row r="205" spans="1:29" ht="18" customHeight="1" x14ac:dyDescent="0.2">
      <c r="A205" s="166"/>
      <c r="B205" s="198"/>
      <c r="C205" s="198"/>
      <c r="D205" s="152"/>
      <c r="E205" s="152"/>
      <c r="F205" s="192" t="s">
        <v>9</v>
      </c>
      <c r="G205" s="193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0</v>
      </c>
      <c r="H205" s="190"/>
      <c r="I205" s="194">
        <v>25</v>
      </c>
      <c r="J205" s="195" t="s">
        <v>110</v>
      </c>
      <c r="K205" s="193">
        <f>K200/$K$2/8*I205</f>
        <v>3024.1935483870966</v>
      </c>
      <c r="L205" s="199"/>
      <c r="M205" s="162"/>
      <c r="N205" s="184"/>
      <c r="O205" s="179" t="s">
        <v>102</v>
      </c>
      <c r="P205" s="179">
        <v>29</v>
      </c>
      <c r="Q205" s="179">
        <v>0</v>
      </c>
      <c r="R205" s="179">
        <f t="shared" ref="R205:R209" si="66">IF(Q205="","",R204-Q205)</f>
        <v>13</v>
      </c>
      <c r="S205" s="159"/>
      <c r="T205" s="179" t="s">
        <v>102</v>
      </c>
      <c r="U205" s="185">
        <f t="shared" ref="U205:U206" si="67">Y204</f>
        <v>11225</v>
      </c>
      <c r="V205" s="181">
        <f>2000+1000+5000</f>
        <v>8000</v>
      </c>
      <c r="W205" s="185">
        <f t="shared" ref="W205:W215" si="68">IF(U205="","",U205+V205)</f>
        <v>19225</v>
      </c>
      <c r="X205" s="181">
        <v>8000</v>
      </c>
      <c r="Y205" s="185">
        <f t="shared" ref="Y205:Y215" si="69">IF(W205="","",W205-X205)</f>
        <v>11225</v>
      </c>
      <c r="Z205" s="186"/>
      <c r="AA205" s="161"/>
      <c r="AB205" s="161"/>
      <c r="AC205" s="161"/>
    </row>
    <row r="206" spans="1:29" ht="18" customHeight="1" x14ac:dyDescent="0.2">
      <c r="A206" s="166"/>
      <c r="B206" s="192" t="s">
        <v>94</v>
      </c>
      <c r="C206" s="198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06" s="152"/>
      <c r="E206" s="152"/>
      <c r="F206" s="192" t="s">
        <v>111</v>
      </c>
      <c r="G206" s="193" t="str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/>
      </c>
      <c r="H206" s="190"/>
      <c r="I206" s="446" t="s">
        <v>112</v>
      </c>
      <c r="J206" s="413"/>
      <c r="K206" s="193">
        <f>K204+K205</f>
        <v>33024.193548387098</v>
      </c>
      <c r="L206" s="199"/>
      <c r="M206" s="161"/>
      <c r="N206" s="178"/>
      <c r="O206" s="179" t="s">
        <v>105</v>
      </c>
      <c r="P206" s="179">
        <v>31</v>
      </c>
      <c r="Q206" s="179">
        <v>0</v>
      </c>
      <c r="R206" s="179">
        <f t="shared" si="66"/>
        <v>13</v>
      </c>
      <c r="S206" s="159"/>
      <c r="T206" s="179" t="s">
        <v>105</v>
      </c>
      <c r="U206" s="185">
        <f t="shared" si="67"/>
        <v>11225</v>
      </c>
      <c r="V206" s="181">
        <v>3000</v>
      </c>
      <c r="W206" s="185">
        <f t="shared" si="68"/>
        <v>14225</v>
      </c>
      <c r="X206" s="181">
        <v>5000</v>
      </c>
      <c r="Y206" s="185">
        <f t="shared" si="69"/>
        <v>9225</v>
      </c>
      <c r="Z206" s="186"/>
      <c r="AA206" s="161"/>
      <c r="AB206" s="161"/>
      <c r="AC206" s="161"/>
    </row>
    <row r="207" spans="1:29" ht="18" customHeight="1" x14ac:dyDescent="0.2">
      <c r="A207" s="166"/>
      <c r="B207" s="192" t="s">
        <v>95</v>
      </c>
      <c r="C207" s="198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07" s="152"/>
      <c r="E207" s="152"/>
      <c r="F207" s="192" t="s">
        <v>11</v>
      </c>
      <c r="G207" s="193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0</v>
      </c>
      <c r="H207" s="190"/>
      <c r="I207" s="446" t="s">
        <v>114</v>
      </c>
      <c r="J207" s="413"/>
      <c r="K207" s="193">
        <f>G207</f>
        <v>0</v>
      </c>
      <c r="L207" s="199"/>
      <c r="M207" s="161"/>
      <c r="N207" s="178"/>
      <c r="O207" s="179" t="s">
        <v>106</v>
      </c>
      <c r="P207" s="179">
        <v>30</v>
      </c>
      <c r="Q207" s="179">
        <v>0</v>
      </c>
      <c r="R207" s="179">
        <f t="shared" si="66"/>
        <v>13</v>
      </c>
      <c r="S207" s="159"/>
      <c r="T207" s="179" t="s">
        <v>106</v>
      </c>
      <c r="U207" s="185">
        <f>IF($J$1="March","",Y206)</f>
        <v>9225</v>
      </c>
      <c r="V207" s="181">
        <f>6000+3000</f>
        <v>9000</v>
      </c>
      <c r="W207" s="185">
        <f t="shared" si="68"/>
        <v>18225</v>
      </c>
      <c r="X207" s="181">
        <v>5000</v>
      </c>
      <c r="Y207" s="185">
        <f t="shared" si="69"/>
        <v>13225</v>
      </c>
      <c r="Z207" s="186"/>
      <c r="AA207" s="161"/>
      <c r="AB207" s="161"/>
      <c r="AC207" s="161"/>
    </row>
    <row r="208" spans="1:29" ht="18" customHeight="1" x14ac:dyDescent="0.2">
      <c r="A208" s="166"/>
      <c r="B208" s="207" t="s">
        <v>116</v>
      </c>
      <c r="C208" s="198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08" s="152"/>
      <c r="E208" s="152"/>
      <c r="F208" s="207" t="s">
        <v>117</v>
      </c>
      <c r="G208" s="193" t="str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/>
      </c>
      <c r="H208" s="152"/>
      <c r="I208" s="439" t="s">
        <v>13</v>
      </c>
      <c r="J208" s="413"/>
      <c r="K208" s="37">
        <f>K206-K207</f>
        <v>33024.193548387098</v>
      </c>
      <c r="L208" s="183"/>
      <c r="M208" s="161"/>
      <c r="N208" s="178"/>
      <c r="O208" s="179" t="s">
        <v>109</v>
      </c>
      <c r="P208" s="179">
        <v>31</v>
      </c>
      <c r="Q208" s="179">
        <v>0</v>
      </c>
      <c r="R208" s="179">
        <f t="shared" si="66"/>
        <v>13</v>
      </c>
      <c r="S208" s="159"/>
      <c r="T208" s="179" t="s">
        <v>109</v>
      </c>
      <c r="U208" s="185">
        <f t="shared" ref="U208:U209" si="70">Y207</f>
        <v>13225</v>
      </c>
      <c r="V208" s="181">
        <f>3000+5000+2000</f>
        <v>10000</v>
      </c>
      <c r="W208" s="185">
        <f t="shared" si="68"/>
        <v>23225</v>
      </c>
      <c r="X208" s="181">
        <v>5000</v>
      </c>
      <c r="Y208" s="185">
        <f t="shared" si="69"/>
        <v>18225</v>
      </c>
      <c r="Z208" s="186"/>
      <c r="AA208" s="161"/>
      <c r="AB208" s="161"/>
      <c r="AC208" s="161"/>
    </row>
    <row r="209" spans="1:29" ht="18" customHeight="1" x14ac:dyDescent="0.2">
      <c r="A209" s="166"/>
      <c r="B209" s="152"/>
      <c r="C209" s="152"/>
      <c r="D209" s="152"/>
      <c r="E209" s="152"/>
      <c r="F209" s="152"/>
      <c r="G209" s="152"/>
      <c r="H209" s="152"/>
      <c r="I209" s="434"/>
      <c r="J209" s="435"/>
      <c r="K209" s="154"/>
      <c r="L209" s="189"/>
      <c r="M209" s="161"/>
      <c r="N209" s="178"/>
      <c r="O209" s="179" t="s">
        <v>85</v>
      </c>
      <c r="P209" s="179">
        <v>29</v>
      </c>
      <c r="Q209" s="179">
        <v>1</v>
      </c>
      <c r="R209" s="179">
        <f t="shared" si="66"/>
        <v>12</v>
      </c>
      <c r="S209" s="159"/>
      <c r="T209" s="179" t="s">
        <v>85</v>
      </c>
      <c r="U209" s="185">
        <f t="shared" si="70"/>
        <v>18225</v>
      </c>
      <c r="V209" s="181">
        <f>5000+5000</f>
        <v>10000</v>
      </c>
      <c r="W209" s="185">
        <f t="shared" si="68"/>
        <v>28225</v>
      </c>
      <c r="X209" s="181">
        <v>10000</v>
      </c>
      <c r="Y209" s="185">
        <f t="shared" si="69"/>
        <v>18225</v>
      </c>
      <c r="Z209" s="186"/>
      <c r="AA209" s="161"/>
      <c r="AB209" s="161"/>
      <c r="AC209" s="161"/>
    </row>
    <row r="210" spans="1:29" ht="18" customHeight="1" x14ac:dyDescent="0.3">
      <c r="A210" s="166"/>
      <c r="B210" s="150"/>
      <c r="C210" s="150"/>
      <c r="D210" s="150"/>
      <c r="E210" s="150"/>
      <c r="F210" s="150"/>
      <c r="G210" s="150"/>
      <c r="H210" s="150"/>
      <c r="I210" s="434"/>
      <c r="J210" s="435"/>
      <c r="K210" s="154"/>
      <c r="L210" s="189"/>
      <c r="M210" s="161"/>
      <c r="N210" s="178"/>
      <c r="O210" s="179" t="s">
        <v>113</v>
      </c>
      <c r="P210" s="179">
        <v>31</v>
      </c>
      <c r="Q210" s="179">
        <v>0</v>
      </c>
      <c r="R210" s="179">
        <v>0</v>
      </c>
      <c r="S210" s="159"/>
      <c r="T210" s="179" t="s">
        <v>113</v>
      </c>
      <c r="U210" s="185">
        <f>Y209</f>
        <v>18225</v>
      </c>
      <c r="V210" s="181">
        <f>5000+5000+1000</f>
        <v>11000</v>
      </c>
      <c r="W210" s="185">
        <f t="shared" si="68"/>
        <v>29225</v>
      </c>
      <c r="X210" s="181">
        <v>10000</v>
      </c>
      <c r="Y210" s="185">
        <f t="shared" si="69"/>
        <v>19225</v>
      </c>
      <c r="Z210" s="186"/>
      <c r="AA210" s="161"/>
      <c r="AB210" s="161"/>
      <c r="AC210" s="161"/>
    </row>
    <row r="211" spans="1:29" ht="18" customHeight="1" thickBot="1" x14ac:dyDescent="0.35">
      <c r="A211" s="200"/>
      <c r="B211" s="201"/>
      <c r="C211" s="201"/>
      <c r="D211" s="201"/>
      <c r="E211" s="201"/>
      <c r="F211" s="201"/>
      <c r="G211" s="201"/>
      <c r="H211" s="201"/>
      <c r="I211" s="201"/>
      <c r="J211" s="201"/>
      <c r="K211" s="219"/>
      <c r="L211" s="202"/>
      <c r="M211" s="161"/>
      <c r="N211" s="178"/>
      <c r="O211" s="179" t="s">
        <v>115</v>
      </c>
      <c r="P211" s="179"/>
      <c r="Q211" s="179"/>
      <c r="R211" s="179">
        <v>0</v>
      </c>
      <c r="S211" s="159"/>
      <c r="T211" s="179" t="s">
        <v>115</v>
      </c>
      <c r="U211" s="185"/>
      <c r="V211" s="181"/>
      <c r="W211" s="185" t="str">
        <f t="shared" si="68"/>
        <v/>
      </c>
      <c r="X211" s="181"/>
      <c r="Y211" s="185" t="str">
        <f t="shared" si="69"/>
        <v/>
      </c>
      <c r="Z211" s="186"/>
      <c r="AA211" s="161"/>
      <c r="AB211" s="161"/>
      <c r="AC211" s="161"/>
    </row>
    <row r="212" spans="1:29" ht="18" customHeight="1" thickBot="1" x14ac:dyDescent="0.25">
      <c r="A212" s="203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  <c r="M212" s="161"/>
      <c r="N212" s="178"/>
      <c r="O212" s="179" t="s">
        <v>118</v>
      </c>
      <c r="P212" s="179"/>
      <c r="Q212" s="179"/>
      <c r="R212" s="179">
        <v>0</v>
      </c>
      <c r="S212" s="159"/>
      <c r="T212" s="179" t="s">
        <v>118</v>
      </c>
      <c r="U212" s="185"/>
      <c r="V212" s="181"/>
      <c r="W212" s="185" t="str">
        <f t="shared" si="68"/>
        <v/>
      </c>
      <c r="X212" s="181"/>
      <c r="Y212" s="185" t="str">
        <f t="shared" si="69"/>
        <v/>
      </c>
      <c r="Z212" s="186"/>
      <c r="AA212" s="161"/>
      <c r="AB212" s="161"/>
      <c r="AC212" s="161"/>
    </row>
    <row r="213" spans="1:29" ht="18" customHeight="1" thickBot="1" x14ac:dyDescent="0.25">
      <c r="A213" s="447" t="s">
        <v>89</v>
      </c>
      <c r="B213" s="483"/>
      <c r="C213" s="483"/>
      <c r="D213" s="483"/>
      <c r="E213" s="483"/>
      <c r="F213" s="483"/>
      <c r="G213" s="483"/>
      <c r="H213" s="483"/>
      <c r="I213" s="483"/>
      <c r="J213" s="483"/>
      <c r="K213" s="483"/>
      <c r="L213" s="484"/>
      <c r="M213" s="161"/>
      <c r="N213" s="178"/>
      <c r="O213" s="179" t="s">
        <v>119</v>
      </c>
      <c r="P213" s="179"/>
      <c r="Q213" s="179"/>
      <c r="R213" s="179">
        <v>0</v>
      </c>
      <c r="S213" s="159"/>
      <c r="T213" s="179" t="s">
        <v>119</v>
      </c>
      <c r="U213" s="185"/>
      <c r="V213" s="181"/>
      <c r="W213" s="185" t="str">
        <f t="shared" si="68"/>
        <v/>
      </c>
      <c r="X213" s="181"/>
      <c r="Y213" s="185" t="str">
        <f t="shared" si="69"/>
        <v/>
      </c>
      <c r="Z213" s="186"/>
      <c r="AA213" s="161"/>
      <c r="AB213" s="161"/>
      <c r="AC213" s="161"/>
    </row>
    <row r="214" spans="1:29" ht="18" customHeight="1" x14ac:dyDescent="0.2">
      <c r="A214" s="166"/>
      <c r="B214" s="152"/>
      <c r="C214" s="470" t="s">
        <v>149</v>
      </c>
      <c r="D214" s="470"/>
      <c r="E214" s="470"/>
      <c r="F214" s="470"/>
      <c r="G214" s="167" t="str">
        <f>$J$1</f>
        <v>August</v>
      </c>
      <c r="H214" s="471">
        <f>$K$1</f>
        <v>2024</v>
      </c>
      <c r="I214" s="471"/>
      <c r="J214" s="152"/>
      <c r="K214" s="168"/>
      <c r="L214" s="169"/>
      <c r="M214" s="161"/>
      <c r="N214" s="178"/>
      <c r="O214" s="179" t="s">
        <v>120</v>
      </c>
      <c r="P214" s="179"/>
      <c r="Q214" s="179"/>
      <c r="R214" s="179">
        <v>0</v>
      </c>
      <c r="S214" s="159"/>
      <c r="T214" s="179" t="s">
        <v>120</v>
      </c>
      <c r="U214" s="185"/>
      <c r="V214" s="181"/>
      <c r="W214" s="185" t="str">
        <f t="shared" si="68"/>
        <v/>
      </c>
      <c r="X214" s="181"/>
      <c r="Y214" s="185" t="str">
        <f t="shared" si="69"/>
        <v/>
      </c>
      <c r="Z214" s="186"/>
      <c r="AA214" s="161"/>
      <c r="AB214" s="161"/>
      <c r="AC214" s="161"/>
    </row>
    <row r="215" spans="1:29" ht="18" customHeight="1" x14ac:dyDescent="0.2">
      <c r="A215" s="166"/>
      <c r="B215" s="152"/>
      <c r="C215" s="152"/>
      <c r="D215" s="175"/>
      <c r="E215" s="175"/>
      <c r="F215" s="175"/>
      <c r="G215" s="175"/>
      <c r="H215" s="175"/>
      <c r="I215" s="152"/>
      <c r="J215" s="176" t="s">
        <v>99</v>
      </c>
      <c r="K215" s="154">
        <f>35000+10000</f>
        <v>45000</v>
      </c>
      <c r="L215" s="177"/>
      <c r="M215" s="161"/>
      <c r="N215" s="178"/>
      <c r="O215" s="179" t="s">
        <v>121</v>
      </c>
      <c r="P215" s="179"/>
      <c r="Q215" s="179"/>
      <c r="R215" s="179">
        <v>0</v>
      </c>
      <c r="S215" s="159"/>
      <c r="T215" s="179" t="s">
        <v>121</v>
      </c>
      <c r="U215" s="185"/>
      <c r="V215" s="181"/>
      <c r="W215" s="185" t="str">
        <f t="shared" si="68"/>
        <v/>
      </c>
      <c r="X215" s="181"/>
      <c r="Y215" s="185" t="str">
        <f t="shared" si="69"/>
        <v/>
      </c>
      <c r="Z215" s="186"/>
      <c r="AA215" s="161"/>
      <c r="AB215" s="161"/>
      <c r="AC215" s="161"/>
    </row>
    <row r="216" spans="1:29" ht="18" customHeight="1" thickBot="1" x14ac:dyDescent="0.25">
      <c r="A216" s="166"/>
      <c r="B216" s="152" t="s">
        <v>101</v>
      </c>
      <c r="C216" s="151" t="s">
        <v>287</v>
      </c>
      <c r="D216" s="152"/>
      <c r="E216" s="152"/>
      <c r="F216" s="152"/>
      <c r="G216" s="152"/>
      <c r="H216" s="182"/>
      <c r="I216" s="175"/>
      <c r="J216" s="152"/>
      <c r="K216" s="152"/>
      <c r="L216" s="183"/>
      <c r="M216" s="204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204"/>
      <c r="AB216" s="204"/>
      <c r="AC216" s="204"/>
    </row>
    <row r="217" spans="1:29" ht="18" customHeight="1" x14ac:dyDescent="0.2">
      <c r="A217" s="166"/>
      <c r="B217" s="187" t="s">
        <v>103</v>
      </c>
      <c r="C217" s="188"/>
      <c r="D217" s="152"/>
      <c r="E217" s="152"/>
      <c r="F217" s="472" t="s">
        <v>91</v>
      </c>
      <c r="G217" s="474"/>
      <c r="H217" s="152"/>
      <c r="I217" s="472" t="s">
        <v>104</v>
      </c>
      <c r="J217" s="473"/>
      <c r="K217" s="474"/>
      <c r="L217" s="189"/>
      <c r="M217" s="162"/>
      <c r="N217" s="163"/>
      <c r="O217" s="440" t="s">
        <v>90</v>
      </c>
      <c r="P217" s="481"/>
      <c r="Q217" s="481"/>
      <c r="R217" s="482"/>
      <c r="S217" s="164"/>
      <c r="T217" s="440" t="s">
        <v>91</v>
      </c>
      <c r="U217" s="481"/>
      <c r="V217" s="481"/>
      <c r="W217" s="481"/>
      <c r="X217" s="481"/>
      <c r="Y217" s="482"/>
      <c r="Z217" s="159"/>
      <c r="AA217" s="161"/>
      <c r="AB217" s="161"/>
      <c r="AC217" s="161"/>
    </row>
    <row r="218" spans="1:29" ht="18" customHeight="1" x14ac:dyDescent="0.2">
      <c r="A218" s="166"/>
      <c r="B218" s="152"/>
      <c r="C218" s="152"/>
      <c r="D218" s="152"/>
      <c r="E218" s="152"/>
      <c r="F218" s="152"/>
      <c r="G218" s="152"/>
      <c r="H218" s="190"/>
      <c r="I218" s="152"/>
      <c r="J218" s="152"/>
      <c r="K218" s="152"/>
      <c r="L218" s="191"/>
      <c r="M218" s="170"/>
      <c r="N218" s="171"/>
      <c r="O218" s="172" t="s">
        <v>93</v>
      </c>
      <c r="P218" s="172" t="s">
        <v>94</v>
      </c>
      <c r="Q218" s="172" t="s">
        <v>95</v>
      </c>
      <c r="R218" s="172" t="s">
        <v>96</v>
      </c>
      <c r="S218" s="173"/>
      <c r="T218" s="172" t="s">
        <v>93</v>
      </c>
      <c r="U218" s="172" t="s">
        <v>97</v>
      </c>
      <c r="V218" s="172" t="s">
        <v>9</v>
      </c>
      <c r="W218" s="172" t="s">
        <v>10</v>
      </c>
      <c r="X218" s="172" t="s">
        <v>11</v>
      </c>
      <c r="Y218" s="172" t="s">
        <v>98</v>
      </c>
      <c r="Z218" s="159"/>
      <c r="AA218" s="161"/>
      <c r="AB218" s="161"/>
      <c r="AC218" s="161"/>
    </row>
    <row r="219" spans="1:29" ht="18" customHeight="1" x14ac:dyDescent="0.2">
      <c r="A219" s="166"/>
      <c r="B219" s="475" t="s">
        <v>90</v>
      </c>
      <c r="C219" s="476"/>
      <c r="D219" s="152"/>
      <c r="E219" s="152"/>
      <c r="F219" s="192" t="s">
        <v>107</v>
      </c>
      <c r="G219" s="193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19" s="190"/>
      <c r="I219" s="194">
        <f>IF(C223&gt;=C222,$K$2,C221+C223)</f>
        <v>31</v>
      </c>
      <c r="J219" s="195" t="s">
        <v>108</v>
      </c>
      <c r="K219" s="196">
        <f>K215/$K$2*I219</f>
        <v>45000</v>
      </c>
      <c r="L219" s="197"/>
      <c r="M219" s="161"/>
      <c r="N219" s="178"/>
      <c r="O219" s="179" t="s">
        <v>100</v>
      </c>
      <c r="P219" s="179">
        <v>31</v>
      </c>
      <c r="Q219" s="179">
        <v>0</v>
      </c>
      <c r="R219" s="179">
        <v>0</v>
      </c>
      <c r="S219" s="180"/>
      <c r="T219" s="179" t="s">
        <v>100</v>
      </c>
      <c r="U219" s="181"/>
      <c r="V219" s="181"/>
      <c r="W219" s="181"/>
      <c r="X219" s="181"/>
      <c r="Y219" s="181"/>
      <c r="Z219" s="159"/>
      <c r="AA219" s="161"/>
      <c r="AB219" s="161"/>
      <c r="AC219" s="161"/>
    </row>
    <row r="220" spans="1:29" ht="18" customHeight="1" x14ac:dyDescent="0.2">
      <c r="A220" s="166"/>
      <c r="B220" s="198"/>
      <c r="C220" s="198"/>
      <c r="D220" s="152"/>
      <c r="E220" s="152"/>
      <c r="F220" s="192" t="s">
        <v>9</v>
      </c>
      <c r="G220" s="193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0" s="190"/>
      <c r="I220" s="194">
        <v>85</v>
      </c>
      <c r="J220" s="195" t="s">
        <v>110</v>
      </c>
      <c r="K220" s="193">
        <f>K215/$K$2/8*I220</f>
        <v>15423.387096774193</v>
      </c>
      <c r="L220" s="199"/>
      <c r="M220" s="162"/>
      <c r="N220" s="184"/>
      <c r="O220" s="179" t="s">
        <v>102</v>
      </c>
      <c r="P220" s="179">
        <v>29</v>
      </c>
      <c r="Q220" s="179">
        <v>0</v>
      </c>
      <c r="R220" s="179">
        <v>0</v>
      </c>
      <c r="S220" s="159"/>
      <c r="T220" s="179" t="s">
        <v>102</v>
      </c>
      <c r="U220" s="185"/>
      <c r="V220" s="181"/>
      <c r="W220" s="185"/>
      <c r="X220" s="181"/>
      <c r="Y220" s="185"/>
      <c r="Z220" s="159"/>
      <c r="AA220" s="161"/>
      <c r="AB220" s="161"/>
      <c r="AC220" s="161"/>
    </row>
    <row r="221" spans="1:29" ht="18" customHeight="1" x14ac:dyDescent="0.2">
      <c r="A221" s="166"/>
      <c r="B221" s="192" t="s">
        <v>94</v>
      </c>
      <c r="C221" s="198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1" s="152"/>
      <c r="E221" s="152"/>
      <c r="F221" s="192" t="s">
        <v>111</v>
      </c>
      <c r="G221" s="193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1" s="190"/>
      <c r="I221" s="477" t="s">
        <v>112</v>
      </c>
      <c r="J221" s="478"/>
      <c r="K221" s="193">
        <f>K219+K220</f>
        <v>60423.387096774197</v>
      </c>
      <c r="L221" s="199"/>
      <c r="M221" s="161"/>
      <c r="N221" s="178"/>
      <c r="O221" s="179" t="s">
        <v>105</v>
      </c>
      <c r="P221" s="179">
        <v>31</v>
      </c>
      <c r="Q221" s="179">
        <v>0</v>
      </c>
      <c r="R221" s="179">
        <v>0</v>
      </c>
      <c r="S221" s="159"/>
      <c r="T221" s="179" t="s">
        <v>105</v>
      </c>
      <c r="U221" s="185"/>
      <c r="V221" s="181"/>
      <c r="W221" s="185"/>
      <c r="X221" s="181"/>
      <c r="Y221" s="185"/>
      <c r="Z221" s="159"/>
      <c r="AA221" s="161"/>
      <c r="AB221" s="161"/>
      <c r="AC221" s="161"/>
    </row>
    <row r="222" spans="1:29" ht="18" customHeight="1" x14ac:dyDescent="0.2">
      <c r="A222" s="166"/>
      <c r="B222" s="192" t="s">
        <v>95</v>
      </c>
      <c r="C222" s="198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2" s="152"/>
      <c r="E222" s="152"/>
      <c r="F222" s="192" t="s">
        <v>11</v>
      </c>
      <c r="G222" s="193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2" s="190"/>
      <c r="I222" s="477" t="s">
        <v>114</v>
      </c>
      <c r="J222" s="478"/>
      <c r="K222" s="193">
        <f>G222</f>
        <v>0</v>
      </c>
      <c r="L222" s="199"/>
      <c r="M222" s="161"/>
      <c r="N222" s="178"/>
      <c r="O222" s="179" t="s">
        <v>106</v>
      </c>
      <c r="P222" s="179">
        <v>30</v>
      </c>
      <c r="Q222" s="179">
        <v>0</v>
      </c>
      <c r="R222" s="179">
        <v>0</v>
      </c>
      <c r="S222" s="159"/>
      <c r="T222" s="179" t="s">
        <v>106</v>
      </c>
      <c r="U222" s="185"/>
      <c r="V222" s="181"/>
      <c r="W222" s="185"/>
      <c r="X222" s="181"/>
      <c r="Y222" s="185"/>
      <c r="Z222" s="159"/>
      <c r="AA222" s="161"/>
      <c r="AB222" s="161"/>
      <c r="AC222" s="161"/>
    </row>
    <row r="223" spans="1:29" ht="18" customHeight="1" x14ac:dyDescent="0.2">
      <c r="A223" s="166"/>
      <c r="B223" s="207" t="s">
        <v>116</v>
      </c>
      <c r="C223" s="198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3" s="152"/>
      <c r="E223" s="152"/>
      <c r="F223" s="207" t="s">
        <v>117</v>
      </c>
      <c r="G223" s="193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3" s="152"/>
      <c r="I223" s="472" t="s">
        <v>13</v>
      </c>
      <c r="J223" s="474"/>
      <c r="K223" s="37">
        <f>K221-K222</f>
        <v>60423.387096774197</v>
      </c>
      <c r="L223" s="183"/>
      <c r="M223" s="161"/>
      <c r="N223" s="178"/>
      <c r="O223" s="179" t="s">
        <v>109</v>
      </c>
      <c r="P223" s="179">
        <v>31</v>
      </c>
      <c r="Q223" s="179">
        <v>0</v>
      </c>
      <c r="R223" s="179">
        <v>0</v>
      </c>
      <c r="S223" s="159"/>
      <c r="T223" s="179" t="s">
        <v>109</v>
      </c>
      <c r="U223" s="185"/>
      <c r="V223" s="181"/>
      <c r="W223" s="185"/>
      <c r="X223" s="181"/>
      <c r="Y223" s="185"/>
      <c r="Z223" s="159"/>
      <c r="AA223" s="161"/>
      <c r="AB223" s="161"/>
      <c r="AC223" s="161"/>
    </row>
    <row r="224" spans="1:29" ht="18" customHeight="1" x14ac:dyDescent="0.2">
      <c r="A224" s="166"/>
      <c r="B224" s="152"/>
      <c r="C224" s="152"/>
      <c r="D224" s="152"/>
      <c r="E224" s="152"/>
      <c r="F224" s="152"/>
      <c r="G224" s="152"/>
      <c r="H224" s="152"/>
      <c r="I224" s="468"/>
      <c r="J224" s="468"/>
      <c r="K224" s="154"/>
      <c r="L224" s="189"/>
      <c r="M224" s="161"/>
      <c r="N224" s="178"/>
      <c r="O224" s="179" t="s">
        <v>85</v>
      </c>
      <c r="P224" s="208">
        <v>30</v>
      </c>
      <c r="Q224" s="208">
        <v>0</v>
      </c>
      <c r="R224" s="179">
        <v>0</v>
      </c>
      <c r="S224" s="159"/>
      <c r="T224" s="179" t="s">
        <v>85</v>
      </c>
      <c r="U224" s="185">
        <f>Y223</f>
        <v>0</v>
      </c>
      <c r="V224" s="181"/>
      <c r="W224" s="185">
        <f>IF(U224="","",U224+V224)</f>
        <v>0</v>
      </c>
      <c r="X224" s="181"/>
      <c r="Y224" s="185">
        <f>IF(W224="","",W224-X224)</f>
        <v>0</v>
      </c>
      <c r="Z224" s="159"/>
      <c r="AA224" s="161"/>
      <c r="AB224" s="161"/>
      <c r="AC224" s="161"/>
    </row>
    <row r="225" spans="1:29" ht="18" customHeight="1" x14ac:dyDescent="0.3">
      <c r="A225" s="166"/>
      <c r="B225" s="150"/>
      <c r="C225" s="150"/>
      <c r="D225" s="150"/>
      <c r="E225" s="150"/>
      <c r="F225" s="150"/>
      <c r="G225" s="150"/>
      <c r="H225" s="150"/>
      <c r="I225" s="434"/>
      <c r="J225" s="434"/>
      <c r="K225" s="154"/>
      <c r="L225" s="189"/>
      <c r="M225" s="161"/>
      <c r="N225" s="178"/>
      <c r="O225" s="179" t="s">
        <v>113</v>
      </c>
      <c r="P225" s="179">
        <v>31</v>
      </c>
      <c r="Q225" s="179">
        <v>0</v>
      </c>
      <c r="R225" s="179">
        <v>0</v>
      </c>
      <c r="S225" s="159"/>
      <c r="T225" s="179" t="s">
        <v>113</v>
      </c>
      <c r="U225" s="185"/>
      <c r="V225" s="181"/>
      <c r="W225" s="185"/>
      <c r="X225" s="181"/>
      <c r="Y225" s="185"/>
      <c r="Z225" s="159"/>
      <c r="AA225" s="161"/>
      <c r="AB225" s="161"/>
      <c r="AC225" s="161"/>
    </row>
    <row r="226" spans="1:29" ht="18" customHeight="1" thickBot="1" x14ac:dyDescent="0.35">
      <c r="A226" s="200"/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2"/>
      <c r="M226" s="161"/>
      <c r="N226" s="178"/>
      <c r="O226" s="179" t="s">
        <v>115</v>
      </c>
      <c r="P226" s="179"/>
      <c r="Q226" s="179"/>
      <c r="R226" s="179">
        <v>0</v>
      </c>
      <c r="S226" s="159"/>
      <c r="T226" s="179" t="s">
        <v>115</v>
      </c>
      <c r="U226" s="185"/>
      <c r="V226" s="181"/>
      <c r="W226" s="185"/>
      <c r="X226" s="181"/>
      <c r="Y226" s="185"/>
      <c r="Z226" s="159"/>
      <c r="AA226" s="161"/>
      <c r="AB226" s="161"/>
      <c r="AC226" s="161"/>
    </row>
    <row r="227" spans="1:29" ht="18" customHeight="1" thickBot="1" x14ac:dyDescent="0.25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161"/>
      <c r="N227" s="178"/>
      <c r="O227" s="179" t="s">
        <v>118</v>
      </c>
      <c r="P227" s="179"/>
      <c r="Q227" s="179"/>
      <c r="R227" s="179">
        <v>0</v>
      </c>
      <c r="S227" s="159"/>
      <c r="T227" s="179" t="s">
        <v>118</v>
      </c>
      <c r="U227" s="185" t="str">
        <f>IF($J$1="September",Y226,"")</f>
        <v/>
      </c>
      <c r="V227" s="181"/>
      <c r="W227" s="185" t="str">
        <f t="shared" ref="W227:W228" si="71">IF(U227="","",U227+V227)</f>
        <v/>
      </c>
      <c r="X227" s="181"/>
      <c r="Y227" s="185" t="str">
        <f t="shared" ref="Y227:Y228" si="72">IF(W227="","",W227-X227)</f>
        <v/>
      </c>
      <c r="Z227" s="186"/>
      <c r="AA227" s="161"/>
      <c r="AB227" s="161"/>
      <c r="AC227" s="161"/>
    </row>
    <row r="228" spans="1:29" ht="18" customHeight="1" thickBot="1" x14ac:dyDescent="0.25">
      <c r="A228" s="447" t="s">
        <v>89</v>
      </c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4"/>
      <c r="M228" s="161"/>
      <c r="N228" s="178"/>
      <c r="O228" s="179" t="s">
        <v>119</v>
      </c>
      <c r="P228" s="179"/>
      <c r="Q228" s="179"/>
      <c r="R228" s="179">
        <v>0</v>
      </c>
      <c r="S228" s="159"/>
      <c r="T228" s="179" t="s">
        <v>119</v>
      </c>
      <c r="U228" s="185" t="str">
        <f>IF($J$1="October",Y227,"")</f>
        <v/>
      </c>
      <c r="V228" s="181"/>
      <c r="W228" s="185" t="str">
        <f t="shared" si="71"/>
        <v/>
      </c>
      <c r="X228" s="181"/>
      <c r="Y228" s="185" t="str">
        <f t="shared" si="72"/>
        <v/>
      </c>
      <c r="Z228" s="186"/>
      <c r="AA228" s="161"/>
      <c r="AB228" s="161"/>
      <c r="AC228" s="161"/>
    </row>
    <row r="229" spans="1:29" ht="18" customHeight="1" x14ac:dyDescent="0.2">
      <c r="A229" s="166"/>
      <c r="B229" s="152"/>
      <c r="C229" s="443" t="s">
        <v>150</v>
      </c>
      <c r="D229" s="435"/>
      <c r="E229" s="435"/>
      <c r="F229" s="435"/>
      <c r="G229" s="167" t="str">
        <f>$J$1</f>
        <v>August</v>
      </c>
      <c r="H229" s="444">
        <f>$K$1</f>
        <v>2024</v>
      </c>
      <c r="I229" s="435"/>
      <c r="J229" s="152"/>
      <c r="K229" s="168"/>
      <c r="L229" s="169"/>
      <c r="M229" s="161"/>
      <c r="N229" s="178"/>
      <c r="O229" s="179" t="s">
        <v>120</v>
      </c>
      <c r="P229" s="179"/>
      <c r="Q229" s="179"/>
      <c r="R229" s="179">
        <v>0</v>
      </c>
      <c r="S229" s="159"/>
      <c r="T229" s="179" t="s">
        <v>120</v>
      </c>
      <c r="U229" s="185"/>
      <c r="V229" s="181"/>
      <c r="W229" s="185"/>
      <c r="X229" s="181"/>
      <c r="Y229" s="185"/>
      <c r="Z229" s="159"/>
      <c r="AA229" s="161"/>
      <c r="AB229" s="161"/>
      <c r="AC229" s="161"/>
    </row>
    <row r="230" spans="1:29" ht="18" customHeight="1" x14ac:dyDescent="0.2">
      <c r="A230" s="166"/>
      <c r="B230" s="152"/>
      <c r="C230" s="152"/>
      <c r="D230" s="175"/>
      <c r="E230" s="175"/>
      <c r="F230" s="175"/>
      <c r="G230" s="175"/>
      <c r="H230" s="175"/>
      <c r="I230" s="152"/>
      <c r="J230" s="176" t="s">
        <v>99</v>
      </c>
      <c r="K230" s="154">
        <v>35000</v>
      </c>
      <c r="L230" s="177"/>
      <c r="M230" s="161"/>
      <c r="N230" s="178"/>
      <c r="O230" s="179" t="s">
        <v>121</v>
      </c>
      <c r="P230" s="179"/>
      <c r="Q230" s="179"/>
      <c r="R230" s="179" t="str">
        <f>IF(Q230="","",R229-Q230)</f>
        <v/>
      </c>
      <c r="S230" s="159"/>
      <c r="T230" s="179" t="s">
        <v>121</v>
      </c>
      <c r="U230" s="185"/>
      <c r="V230" s="181"/>
      <c r="W230" s="185"/>
      <c r="X230" s="181"/>
      <c r="Y230" s="185"/>
      <c r="Z230" s="159"/>
      <c r="AA230" s="161"/>
      <c r="AB230" s="161"/>
      <c r="AC230" s="161"/>
    </row>
    <row r="231" spans="1:29" ht="18" customHeight="1" thickBot="1" x14ac:dyDescent="0.25">
      <c r="A231" s="166"/>
      <c r="B231" s="152" t="s">
        <v>101</v>
      </c>
      <c r="C231" s="151" t="s">
        <v>151</v>
      </c>
      <c r="D231" s="152"/>
      <c r="E231" s="152"/>
      <c r="F231" s="152"/>
      <c r="G231" s="152"/>
      <c r="H231" s="182"/>
      <c r="I231" s="175"/>
      <c r="J231" s="152"/>
      <c r="K231" s="152"/>
      <c r="L231" s="183"/>
      <c r="M231" s="204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4"/>
      <c r="AB231" s="204"/>
      <c r="AC231" s="204"/>
    </row>
    <row r="232" spans="1:29" ht="18" customHeight="1" x14ac:dyDescent="0.2">
      <c r="A232" s="166"/>
      <c r="B232" s="187" t="s">
        <v>103</v>
      </c>
      <c r="C232" s="188"/>
      <c r="D232" s="152"/>
      <c r="E232" s="152"/>
      <c r="F232" s="439" t="s">
        <v>91</v>
      </c>
      <c r="G232" s="413"/>
      <c r="H232" s="152"/>
      <c r="I232" s="439" t="s">
        <v>104</v>
      </c>
      <c r="J232" s="412"/>
      <c r="K232" s="413"/>
      <c r="L232" s="189"/>
      <c r="M232" s="162"/>
      <c r="N232" s="163"/>
      <c r="O232" s="440" t="s">
        <v>90</v>
      </c>
      <c r="P232" s="441"/>
      <c r="Q232" s="441"/>
      <c r="R232" s="442"/>
      <c r="S232" s="164"/>
      <c r="T232" s="440" t="s">
        <v>91</v>
      </c>
      <c r="U232" s="441"/>
      <c r="V232" s="441"/>
      <c r="W232" s="441"/>
      <c r="X232" s="441"/>
      <c r="Y232" s="442"/>
      <c r="Z232" s="165"/>
      <c r="AA232" s="161"/>
      <c r="AB232" s="161"/>
      <c r="AC232" s="161"/>
    </row>
    <row r="233" spans="1:29" ht="18" customHeight="1" x14ac:dyDescent="0.2">
      <c r="A233" s="166"/>
      <c r="B233" s="152"/>
      <c r="C233" s="152"/>
      <c r="D233" s="152"/>
      <c r="E233" s="152"/>
      <c r="F233" s="152"/>
      <c r="G233" s="152"/>
      <c r="H233" s="190"/>
      <c r="I233" s="152"/>
      <c r="J233" s="152"/>
      <c r="K233" s="152"/>
      <c r="L233" s="191"/>
      <c r="M233" s="170"/>
      <c r="N233" s="171"/>
      <c r="O233" s="172" t="s">
        <v>93</v>
      </c>
      <c r="P233" s="172" t="s">
        <v>94</v>
      </c>
      <c r="Q233" s="172" t="s">
        <v>95</v>
      </c>
      <c r="R233" s="172" t="s">
        <v>96</v>
      </c>
      <c r="S233" s="173"/>
      <c r="T233" s="172" t="s">
        <v>93</v>
      </c>
      <c r="U233" s="172" t="s">
        <v>97</v>
      </c>
      <c r="V233" s="172" t="s">
        <v>9</v>
      </c>
      <c r="W233" s="172" t="s">
        <v>10</v>
      </c>
      <c r="X233" s="172" t="s">
        <v>11</v>
      </c>
      <c r="Y233" s="172" t="s">
        <v>98</v>
      </c>
      <c r="Z233" s="174"/>
      <c r="AA233" s="161"/>
      <c r="AB233" s="161"/>
      <c r="AC233" s="161"/>
    </row>
    <row r="234" spans="1:29" ht="18" customHeight="1" x14ac:dyDescent="0.2">
      <c r="A234" s="166"/>
      <c r="B234" s="445" t="s">
        <v>90</v>
      </c>
      <c r="C234" s="413"/>
      <c r="D234" s="152"/>
      <c r="E234" s="152"/>
      <c r="F234" s="192" t="s">
        <v>107</v>
      </c>
      <c r="G234" s="19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4" s="190"/>
      <c r="I234" s="194">
        <f>IF(C238&gt;=C237,$K$2,C236+C238)</f>
        <v>31</v>
      </c>
      <c r="J234" s="195" t="s">
        <v>108</v>
      </c>
      <c r="K234" s="196">
        <f>K230/$K$2*I234</f>
        <v>35000</v>
      </c>
      <c r="L234" s="197"/>
      <c r="M234" s="161"/>
      <c r="N234" s="178"/>
      <c r="O234" s="179" t="s">
        <v>100</v>
      </c>
      <c r="P234" s="179">
        <v>31</v>
      </c>
      <c r="Q234" s="179">
        <v>0</v>
      </c>
      <c r="R234" s="179">
        <v>0</v>
      </c>
      <c r="S234" s="180"/>
      <c r="T234" s="179" t="s">
        <v>100</v>
      </c>
      <c r="U234" s="181"/>
      <c r="V234" s="181"/>
      <c r="W234" s="181">
        <f>V234+U234</f>
        <v>0</v>
      </c>
      <c r="X234" s="181"/>
      <c r="Y234" s="181">
        <f>W234-X234</f>
        <v>0</v>
      </c>
      <c r="Z234" s="174"/>
      <c r="AA234" s="161"/>
      <c r="AB234" s="161"/>
      <c r="AC234" s="161"/>
    </row>
    <row r="235" spans="1:29" ht="18" customHeight="1" x14ac:dyDescent="0.2">
      <c r="A235" s="166"/>
      <c r="B235" s="198"/>
      <c r="C235" s="198"/>
      <c r="D235" s="152"/>
      <c r="E235" s="152"/>
      <c r="F235" s="192" t="s">
        <v>9</v>
      </c>
      <c r="G235" s="19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5" s="190"/>
      <c r="I235" s="194">
        <v>25</v>
      </c>
      <c r="J235" s="195" t="s">
        <v>110</v>
      </c>
      <c r="K235" s="193">
        <f>K230/$K$2/8*I235</f>
        <v>3528.2258064516127</v>
      </c>
      <c r="L235" s="199"/>
      <c r="M235" s="162"/>
      <c r="N235" s="184"/>
      <c r="O235" s="179" t="s">
        <v>102</v>
      </c>
      <c r="P235" s="179">
        <v>27</v>
      </c>
      <c r="Q235" s="179">
        <v>2</v>
      </c>
      <c r="R235" s="179">
        <v>0</v>
      </c>
      <c r="S235" s="159"/>
      <c r="T235" s="179" t="s">
        <v>102</v>
      </c>
      <c r="U235" s="185">
        <f t="shared" ref="U235:U237" si="73">Y234</f>
        <v>0</v>
      </c>
      <c r="V235" s="181"/>
      <c r="W235" s="185">
        <f t="shared" ref="W235:W245" si="74">IF(U235="","",U235+V235)</f>
        <v>0</v>
      </c>
      <c r="X235" s="181"/>
      <c r="Y235" s="185">
        <f t="shared" ref="Y235:Y245" si="75">IF(W235="","",W235-X235)</f>
        <v>0</v>
      </c>
      <c r="Z235" s="186"/>
      <c r="AA235" s="161"/>
      <c r="AB235" s="161"/>
      <c r="AC235" s="161"/>
    </row>
    <row r="236" spans="1:29" ht="18" customHeight="1" x14ac:dyDescent="0.2">
      <c r="A236" s="166"/>
      <c r="B236" s="192" t="s">
        <v>94</v>
      </c>
      <c r="C236" s="198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36" s="152"/>
      <c r="E236" s="152"/>
      <c r="F236" s="192" t="s">
        <v>111</v>
      </c>
      <c r="G236" s="193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36" s="190"/>
      <c r="I236" s="446" t="s">
        <v>112</v>
      </c>
      <c r="J236" s="413"/>
      <c r="K236" s="193">
        <f>K234+K235</f>
        <v>38528.225806451614</v>
      </c>
      <c r="L236" s="199"/>
      <c r="M236" s="161"/>
      <c r="N236" s="178"/>
      <c r="O236" s="179" t="s">
        <v>105</v>
      </c>
      <c r="P236" s="179">
        <v>31</v>
      </c>
      <c r="Q236" s="179">
        <v>0</v>
      </c>
      <c r="R236" s="179">
        <v>0</v>
      </c>
      <c r="S236" s="159"/>
      <c r="T236" s="179" t="s">
        <v>105</v>
      </c>
      <c r="U236" s="185">
        <f t="shared" si="73"/>
        <v>0</v>
      </c>
      <c r="V236" s="181"/>
      <c r="W236" s="185">
        <f t="shared" si="74"/>
        <v>0</v>
      </c>
      <c r="X236" s="181"/>
      <c r="Y236" s="185">
        <f t="shared" si="75"/>
        <v>0</v>
      </c>
      <c r="Z236" s="186"/>
      <c r="AA236" s="161"/>
      <c r="AB236" s="161"/>
      <c r="AC236" s="161"/>
    </row>
    <row r="237" spans="1:29" ht="18" customHeight="1" x14ac:dyDescent="0.2">
      <c r="A237" s="166"/>
      <c r="B237" s="192" t="s">
        <v>95</v>
      </c>
      <c r="C237" s="198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37" s="152"/>
      <c r="E237" s="152"/>
      <c r="F237" s="192" t="s">
        <v>11</v>
      </c>
      <c r="G237" s="19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37" s="190"/>
      <c r="I237" s="446" t="s">
        <v>114</v>
      </c>
      <c r="J237" s="413"/>
      <c r="K237" s="193">
        <f>G237</f>
        <v>0</v>
      </c>
      <c r="L237" s="199"/>
      <c r="M237" s="161"/>
      <c r="N237" s="178"/>
      <c r="O237" s="179" t="s">
        <v>106</v>
      </c>
      <c r="P237" s="179">
        <v>28</v>
      </c>
      <c r="Q237" s="179">
        <v>2</v>
      </c>
      <c r="R237" s="179">
        <v>0</v>
      </c>
      <c r="S237" s="159"/>
      <c r="T237" s="179" t="s">
        <v>106</v>
      </c>
      <c r="U237" s="185">
        <f t="shared" si="73"/>
        <v>0</v>
      </c>
      <c r="V237" s="181"/>
      <c r="W237" s="185">
        <f t="shared" si="74"/>
        <v>0</v>
      </c>
      <c r="X237" s="181"/>
      <c r="Y237" s="185">
        <f t="shared" si="75"/>
        <v>0</v>
      </c>
      <c r="Z237" s="186"/>
      <c r="AA237" s="161"/>
      <c r="AB237" s="161"/>
      <c r="AC237" s="161"/>
    </row>
    <row r="238" spans="1:29" ht="18" customHeight="1" x14ac:dyDescent="0.2">
      <c r="A238" s="166"/>
      <c r="B238" s="207" t="s">
        <v>116</v>
      </c>
      <c r="C238" s="198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38" s="152"/>
      <c r="E238" s="152"/>
      <c r="F238" s="207" t="s">
        <v>117</v>
      </c>
      <c r="G238" s="193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38" s="152"/>
      <c r="I238" s="439" t="s">
        <v>13</v>
      </c>
      <c r="J238" s="413"/>
      <c r="K238" s="37">
        <f>K236-K237</f>
        <v>38528.225806451614</v>
      </c>
      <c r="L238" s="183"/>
      <c r="M238" s="161"/>
      <c r="N238" s="178"/>
      <c r="O238" s="179" t="s">
        <v>109</v>
      </c>
      <c r="P238" s="179">
        <v>29</v>
      </c>
      <c r="Q238" s="179">
        <v>2</v>
      </c>
      <c r="R238" s="179">
        <v>0</v>
      </c>
      <c r="S238" s="159"/>
      <c r="T238" s="179" t="s">
        <v>109</v>
      </c>
      <c r="U238" s="185">
        <v>0</v>
      </c>
      <c r="V238" s="181"/>
      <c r="W238" s="185">
        <f t="shared" si="74"/>
        <v>0</v>
      </c>
      <c r="X238" s="181"/>
      <c r="Y238" s="185">
        <f t="shared" si="75"/>
        <v>0</v>
      </c>
      <c r="Z238" s="186"/>
      <c r="AA238" s="161"/>
      <c r="AB238" s="161"/>
      <c r="AC238" s="161"/>
    </row>
    <row r="239" spans="1:29" ht="18" customHeight="1" x14ac:dyDescent="0.2">
      <c r="A239" s="166"/>
      <c r="B239" s="152"/>
      <c r="C239" s="152"/>
      <c r="D239" s="152"/>
      <c r="E239" s="152"/>
      <c r="F239" s="152"/>
      <c r="G239" s="152"/>
      <c r="H239" s="152"/>
      <c r="I239" s="434"/>
      <c r="J239" s="435"/>
      <c r="K239" s="154"/>
      <c r="L239" s="189"/>
      <c r="M239" s="161"/>
      <c r="N239" s="178"/>
      <c r="O239" s="179" t="s">
        <v>85</v>
      </c>
      <c r="P239" s="208">
        <v>26</v>
      </c>
      <c r="Q239" s="208">
        <v>4</v>
      </c>
      <c r="R239" s="179">
        <v>0</v>
      </c>
      <c r="S239" s="159"/>
      <c r="T239" s="179" t="s">
        <v>85</v>
      </c>
      <c r="U239" s="185">
        <f t="shared" ref="U239:U245" si="76">Y238</f>
        <v>0</v>
      </c>
      <c r="V239" s="181"/>
      <c r="W239" s="185">
        <f t="shared" si="74"/>
        <v>0</v>
      </c>
      <c r="X239" s="181"/>
      <c r="Y239" s="185">
        <f t="shared" si="75"/>
        <v>0</v>
      </c>
      <c r="Z239" s="186"/>
      <c r="AA239" s="161"/>
      <c r="AB239" s="161"/>
      <c r="AC239" s="161"/>
    </row>
    <row r="240" spans="1:29" ht="18" customHeight="1" x14ac:dyDescent="0.3">
      <c r="A240" s="166"/>
      <c r="B240" s="150"/>
      <c r="C240" s="150"/>
      <c r="D240" s="150"/>
      <c r="E240" s="150"/>
      <c r="F240" s="150"/>
      <c r="G240" s="150"/>
      <c r="H240" s="150"/>
      <c r="I240" s="434"/>
      <c r="J240" s="435"/>
      <c r="K240" s="154"/>
      <c r="L240" s="189"/>
      <c r="M240" s="161"/>
      <c r="N240" s="178"/>
      <c r="O240" s="179" t="s">
        <v>113</v>
      </c>
      <c r="P240" s="179">
        <v>29</v>
      </c>
      <c r="Q240" s="179">
        <v>2</v>
      </c>
      <c r="R240" s="179">
        <v>0</v>
      </c>
      <c r="S240" s="159"/>
      <c r="T240" s="179" t="s">
        <v>113</v>
      </c>
      <c r="U240" s="185">
        <f t="shared" si="76"/>
        <v>0</v>
      </c>
      <c r="V240" s="181"/>
      <c r="W240" s="185">
        <f t="shared" si="74"/>
        <v>0</v>
      </c>
      <c r="X240" s="181"/>
      <c r="Y240" s="185">
        <f t="shared" si="75"/>
        <v>0</v>
      </c>
      <c r="Z240" s="186"/>
      <c r="AA240" s="161"/>
      <c r="AB240" s="161"/>
      <c r="AC240" s="161"/>
    </row>
    <row r="241" spans="1:29" ht="18" customHeight="1" thickBot="1" x14ac:dyDescent="0.35">
      <c r="A241" s="200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2"/>
      <c r="M241" s="161"/>
      <c r="N241" s="178"/>
      <c r="O241" s="179" t="s">
        <v>115</v>
      </c>
      <c r="P241" s="179"/>
      <c r="Q241" s="179"/>
      <c r="R241" s="179">
        <v>0</v>
      </c>
      <c r="S241" s="159"/>
      <c r="T241" s="179" t="s">
        <v>115</v>
      </c>
      <c r="U241" s="185">
        <f t="shared" si="76"/>
        <v>0</v>
      </c>
      <c r="V241" s="181"/>
      <c r="W241" s="185">
        <f t="shared" si="74"/>
        <v>0</v>
      </c>
      <c r="X241" s="181"/>
      <c r="Y241" s="185">
        <f t="shared" si="75"/>
        <v>0</v>
      </c>
      <c r="Z241" s="186"/>
      <c r="AA241" s="161"/>
      <c r="AB241" s="161"/>
      <c r="AC241" s="161"/>
    </row>
    <row r="242" spans="1:29" ht="18" customHeight="1" thickBot="1" x14ac:dyDescent="0.25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161"/>
      <c r="N242" s="178"/>
      <c r="O242" s="179" t="s">
        <v>118</v>
      </c>
      <c r="P242" s="179"/>
      <c r="Q242" s="179"/>
      <c r="R242" s="179">
        <v>0</v>
      </c>
      <c r="S242" s="159"/>
      <c r="T242" s="179" t="s">
        <v>118</v>
      </c>
      <c r="U242" s="185">
        <f t="shared" si="76"/>
        <v>0</v>
      </c>
      <c r="V242" s="181"/>
      <c r="W242" s="185">
        <f t="shared" si="74"/>
        <v>0</v>
      </c>
      <c r="X242" s="181"/>
      <c r="Y242" s="185">
        <f t="shared" si="75"/>
        <v>0</v>
      </c>
      <c r="Z242" s="186"/>
      <c r="AA242" s="161"/>
      <c r="AB242" s="161"/>
      <c r="AC242" s="161"/>
    </row>
    <row r="243" spans="1:29" ht="18" customHeight="1" thickBot="1" x14ac:dyDescent="0.25">
      <c r="A243" s="447" t="s">
        <v>89</v>
      </c>
      <c r="B243" s="453"/>
      <c r="C243" s="453"/>
      <c r="D243" s="453"/>
      <c r="E243" s="453"/>
      <c r="F243" s="453"/>
      <c r="G243" s="453"/>
      <c r="H243" s="453"/>
      <c r="I243" s="453"/>
      <c r="J243" s="453"/>
      <c r="K243" s="453"/>
      <c r="L243" s="454"/>
      <c r="M243" s="161"/>
      <c r="N243" s="178"/>
      <c r="O243" s="179" t="s">
        <v>119</v>
      </c>
      <c r="P243" s="179"/>
      <c r="Q243" s="179"/>
      <c r="R243" s="179">
        <v>0</v>
      </c>
      <c r="S243" s="159"/>
      <c r="T243" s="179" t="s">
        <v>119</v>
      </c>
      <c r="U243" s="185">
        <f t="shared" si="76"/>
        <v>0</v>
      </c>
      <c r="V243" s="181"/>
      <c r="W243" s="185">
        <f t="shared" si="74"/>
        <v>0</v>
      </c>
      <c r="X243" s="181"/>
      <c r="Y243" s="185">
        <f t="shared" si="75"/>
        <v>0</v>
      </c>
      <c r="Z243" s="186"/>
      <c r="AA243" s="161"/>
      <c r="AB243" s="161"/>
      <c r="AC243" s="161"/>
    </row>
    <row r="244" spans="1:29" ht="18" customHeight="1" x14ac:dyDescent="0.2">
      <c r="A244" s="166"/>
      <c r="B244" s="152"/>
      <c r="C244" s="443" t="s">
        <v>152</v>
      </c>
      <c r="D244" s="435"/>
      <c r="E244" s="435"/>
      <c r="F244" s="435"/>
      <c r="G244" s="167" t="str">
        <f>$J$1</f>
        <v>August</v>
      </c>
      <c r="H244" s="444">
        <f>$K$1</f>
        <v>2024</v>
      </c>
      <c r="I244" s="435"/>
      <c r="J244" s="152"/>
      <c r="K244" s="168"/>
      <c r="L244" s="169"/>
      <c r="M244" s="161"/>
      <c r="N244" s="178"/>
      <c r="O244" s="179" t="s">
        <v>120</v>
      </c>
      <c r="P244" s="179"/>
      <c r="Q244" s="179"/>
      <c r="R244" s="179">
        <v>0</v>
      </c>
      <c r="S244" s="159"/>
      <c r="T244" s="179" t="s">
        <v>120</v>
      </c>
      <c r="U244" s="185">
        <f t="shared" si="76"/>
        <v>0</v>
      </c>
      <c r="V244" s="181"/>
      <c r="W244" s="185">
        <f t="shared" si="74"/>
        <v>0</v>
      </c>
      <c r="X244" s="181"/>
      <c r="Y244" s="185">
        <f t="shared" si="75"/>
        <v>0</v>
      </c>
      <c r="Z244" s="186"/>
      <c r="AA244" s="161"/>
      <c r="AB244" s="161"/>
      <c r="AC244" s="161"/>
    </row>
    <row r="245" spans="1:29" ht="18" customHeight="1" x14ac:dyDescent="0.2">
      <c r="A245" s="166"/>
      <c r="B245" s="152"/>
      <c r="C245" s="152"/>
      <c r="D245" s="175"/>
      <c r="E245" s="175"/>
      <c r="F245" s="175"/>
      <c r="G245" s="175"/>
      <c r="H245" s="175"/>
      <c r="I245" s="152"/>
      <c r="J245" s="176" t="s">
        <v>99</v>
      </c>
      <c r="K245" s="154">
        <f>32000+3000+15000</f>
        <v>50000</v>
      </c>
      <c r="L245" s="177"/>
      <c r="M245" s="161"/>
      <c r="N245" s="178"/>
      <c r="O245" s="179" t="s">
        <v>121</v>
      </c>
      <c r="P245" s="179"/>
      <c r="Q245" s="179"/>
      <c r="R245" s="179">
        <v>0</v>
      </c>
      <c r="S245" s="159"/>
      <c r="T245" s="179" t="s">
        <v>121</v>
      </c>
      <c r="U245" s="185">
        <f t="shared" si="76"/>
        <v>0</v>
      </c>
      <c r="V245" s="181"/>
      <c r="W245" s="185">
        <f t="shared" si="74"/>
        <v>0</v>
      </c>
      <c r="X245" s="181"/>
      <c r="Y245" s="185">
        <f t="shared" si="75"/>
        <v>0</v>
      </c>
      <c r="Z245" s="186"/>
      <c r="AA245" s="161"/>
      <c r="AB245" s="161"/>
      <c r="AC245" s="161"/>
    </row>
    <row r="246" spans="1:29" ht="18" customHeight="1" thickBot="1" x14ac:dyDescent="0.25">
      <c r="A246" s="166"/>
      <c r="B246" s="152" t="s">
        <v>101</v>
      </c>
      <c r="C246" s="151" t="s">
        <v>153</v>
      </c>
      <c r="D246" s="152"/>
      <c r="E246" s="152"/>
      <c r="F246" s="152"/>
      <c r="G246" s="152"/>
      <c r="H246" s="182"/>
      <c r="I246" s="175"/>
      <c r="J246" s="152"/>
      <c r="K246" s="152"/>
      <c r="L246" s="183"/>
      <c r="M246" s="204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4"/>
      <c r="AB246" s="204"/>
      <c r="AC246" s="204"/>
    </row>
    <row r="247" spans="1:29" ht="18" customHeight="1" x14ac:dyDescent="0.2">
      <c r="A247" s="166"/>
      <c r="B247" s="187" t="s">
        <v>103</v>
      </c>
      <c r="C247" s="188"/>
      <c r="D247" s="152"/>
      <c r="E247" s="152"/>
      <c r="F247" s="439" t="s">
        <v>91</v>
      </c>
      <c r="G247" s="413"/>
      <c r="H247" s="152"/>
      <c r="I247" s="439" t="s">
        <v>104</v>
      </c>
      <c r="J247" s="412"/>
      <c r="K247" s="413"/>
      <c r="L247" s="189"/>
      <c r="M247" s="162"/>
      <c r="N247" s="163"/>
      <c r="O247" s="440" t="s">
        <v>90</v>
      </c>
      <c r="P247" s="441"/>
      <c r="Q247" s="441"/>
      <c r="R247" s="442"/>
      <c r="S247" s="164"/>
      <c r="T247" s="440" t="s">
        <v>91</v>
      </c>
      <c r="U247" s="441"/>
      <c r="V247" s="441"/>
      <c r="W247" s="441"/>
      <c r="X247" s="441"/>
      <c r="Y247" s="442"/>
      <c r="Z247" s="165"/>
      <c r="AA247" s="162"/>
      <c r="AB247" s="161"/>
      <c r="AC247" s="161"/>
    </row>
    <row r="248" spans="1:29" ht="18" customHeight="1" x14ac:dyDescent="0.2">
      <c r="A248" s="166"/>
      <c r="B248" s="152"/>
      <c r="C248" s="152"/>
      <c r="D248" s="152"/>
      <c r="E248" s="152"/>
      <c r="F248" s="152"/>
      <c r="G248" s="152"/>
      <c r="H248" s="190"/>
      <c r="I248" s="152"/>
      <c r="J248" s="152"/>
      <c r="K248" s="152"/>
      <c r="L248" s="191"/>
      <c r="M248" s="170"/>
      <c r="N248" s="171"/>
      <c r="O248" s="172" t="s">
        <v>93</v>
      </c>
      <c r="P248" s="172" t="s">
        <v>94</v>
      </c>
      <c r="Q248" s="172" t="s">
        <v>95</v>
      </c>
      <c r="R248" s="172" t="s">
        <v>96</v>
      </c>
      <c r="S248" s="173"/>
      <c r="T248" s="172" t="s">
        <v>93</v>
      </c>
      <c r="U248" s="172" t="s">
        <v>97</v>
      </c>
      <c r="V248" s="172" t="s">
        <v>9</v>
      </c>
      <c r="W248" s="172" t="s">
        <v>10</v>
      </c>
      <c r="X248" s="172" t="s">
        <v>11</v>
      </c>
      <c r="Y248" s="172" t="s">
        <v>98</v>
      </c>
      <c r="Z248" s="174"/>
      <c r="AA248" s="170"/>
      <c r="AB248" s="161"/>
      <c r="AC248" s="161"/>
    </row>
    <row r="249" spans="1:29" ht="18" customHeight="1" x14ac:dyDescent="0.2">
      <c r="A249" s="166"/>
      <c r="B249" s="445" t="s">
        <v>90</v>
      </c>
      <c r="C249" s="413"/>
      <c r="D249" s="152"/>
      <c r="E249" s="152"/>
      <c r="F249" s="192" t="s">
        <v>107</v>
      </c>
      <c r="G249" s="193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49" s="190"/>
      <c r="I249" s="194">
        <f>IF(C253&gt;=C252,$K$2,C251+C253)</f>
        <v>31</v>
      </c>
      <c r="J249" s="195" t="s">
        <v>108</v>
      </c>
      <c r="K249" s="196">
        <f>K245/$K$2*I249</f>
        <v>50000</v>
      </c>
      <c r="L249" s="197"/>
      <c r="M249" s="161"/>
      <c r="N249" s="178"/>
      <c r="O249" s="179" t="s">
        <v>100</v>
      </c>
      <c r="P249" s="179">
        <v>30</v>
      </c>
      <c r="Q249" s="179">
        <v>1</v>
      </c>
      <c r="R249" s="179">
        <f>9-Q249</f>
        <v>8</v>
      </c>
      <c r="S249" s="180"/>
      <c r="T249" s="179" t="s">
        <v>100</v>
      </c>
      <c r="U249" s="181">
        <v>61870</v>
      </c>
      <c r="V249" s="181"/>
      <c r="W249" s="181">
        <f>V249+U249</f>
        <v>61870</v>
      </c>
      <c r="X249" s="181">
        <v>5000</v>
      </c>
      <c r="Y249" s="181">
        <f>W249-X249</f>
        <v>56870</v>
      </c>
      <c r="Z249" s="174"/>
      <c r="AA249" s="161"/>
      <c r="AB249" s="161"/>
      <c r="AC249" s="161"/>
    </row>
    <row r="250" spans="1:29" ht="18" customHeight="1" x14ac:dyDescent="0.2">
      <c r="A250" s="166"/>
      <c r="B250" s="198"/>
      <c r="C250" s="198"/>
      <c r="D250" s="152"/>
      <c r="E250" s="152"/>
      <c r="F250" s="192" t="s">
        <v>9</v>
      </c>
      <c r="G250" s="193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0" s="190"/>
      <c r="I250" s="214">
        <v>28</v>
      </c>
      <c r="J250" s="195" t="s">
        <v>110</v>
      </c>
      <c r="K250" s="193">
        <f>K245/$K$2/8*I250</f>
        <v>5645.1612903225814</v>
      </c>
      <c r="L250" s="199"/>
      <c r="M250" s="162"/>
      <c r="N250" s="184"/>
      <c r="O250" s="179" t="s">
        <v>102</v>
      </c>
      <c r="P250" s="179">
        <v>29</v>
      </c>
      <c r="Q250" s="179">
        <v>0</v>
      </c>
      <c r="R250" s="179">
        <f t="shared" ref="R250:R260" si="77">R249-Q250</f>
        <v>8</v>
      </c>
      <c r="S250" s="159"/>
      <c r="T250" s="179" t="s">
        <v>102</v>
      </c>
      <c r="U250" s="185">
        <f t="shared" ref="U250:U251" si="78">Y249</f>
        <v>56870</v>
      </c>
      <c r="V250" s="181">
        <v>4000</v>
      </c>
      <c r="W250" s="185">
        <f t="shared" ref="W250:W260" si="79">IF(U250="","",U250+V250)</f>
        <v>60870</v>
      </c>
      <c r="X250" s="181">
        <v>5000</v>
      </c>
      <c r="Y250" s="185">
        <f t="shared" ref="Y250:Y260" si="80">IF(W250="","",W250-X250)</f>
        <v>55870</v>
      </c>
      <c r="Z250" s="186"/>
      <c r="AA250" s="162"/>
      <c r="AB250" s="161"/>
      <c r="AC250" s="161"/>
    </row>
    <row r="251" spans="1:29" ht="18" customHeight="1" x14ac:dyDescent="0.2">
      <c r="A251" s="166"/>
      <c r="B251" s="192" t="s">
        <v>94</v>
      </c>
      <c r="C251" s="198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0</v>
      </c>
      <c r="D251" s="152"/>
      <c r="E251" s="152"/>
      <c r="F251" s="192" t="s">
        <v>111</v>
      </c>
      <c r="G251" s="193" t="str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/>
      </c>
      <c r="H251" s="190"/>
      <c r="I251" s="446" t="s">
        <v>112</v>
      </c>
      <c r="J251" s="413"/>
      <c r="K251" s="193">
        <f>K249+K250</f>
        <v>55645.161290322583</v>
      </c>
      <c r="L251" s="199"/>
      <c r="M251" s="161"/>
      <c r="N251" s="178"/>
      <c r="O251" s="179" t="s">
        <v>105</v>
      </c>
      <c r="P251" s="179">
        <v>29</v>
      </c>
      <c r="Q251" s="179">
        <v>1</v>
      </c>
      <c r="R251" s="179">
        <f t="shared" si="77"/>
        <v>7</v>
      </c>
      <c r="S251" s="159"/>
      <c r="T251" s="179" t="s">
        <v>105</v>
      </c>
      <c r="U251" s="185">
        <f t="shared" si="78"/>
        <v>55870</v>
      </c>
      <c r="V251" s="181"/>
      <c r="W251" s="185">
        <f t="shared" si="79"/>
        <v>55870</v>
      </c>
      <c r="X251" s="181">
        <v>5000</v>
      </c>
      <c r="Y251" s="185">
        <f t="shared" si="80"/>
        <v>50870</v>
      </c>
      <c r="Z251" s="186"/>
      <c r="AA251" s="161"/>
      <c r="AB251" s="161"/>
      <c r="AC251" s="161"/>
    </row>
    <row r="252" spans="1:29" ht="18" customHeight="1" x14ac:dyDescent="0.2">
      <c r="A252" s="166"/>
      <c r="B252" s="192" t="s">
        <v>95</v>
      </c>
      <c r="C252" s="198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2" s="152"/>
      <c r="E252" s="152"/>
      <c r="F252" s="192" t="s">
        <v>11</v>
      </c>
      <c r="G252" s="193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2" s="190"/>
      <c r="I252" s="446" t="s">
        <v>114</v>
      </c>
      <c r="J252" s="413"/>
      <c r="K252" s="193">
        <f>G252</f>
        <v>0</v>
      </c>
      <c r="L252" s="199"/>
      <c r="M252" s="161"/>
      <c r="N252" s="178"/>
      <c r="O252" s="179" t="s">
        <v>106</v>
      </c>
      <c r="P252" s="179">
        <v>29</v>
      </c>
      <c r="Q252" s="179">
        <v>1</v>
      </c>
      <c r="R252" s="179">
        <f t="shared" si="77"/>
        <v>6</v>
      </c>
      <c r="S252" s="159"/>
      <c r="T252" s="179" t="s">
        <v>106</v>
      </c>
      <c r="U252" s="185">
        <f>IF($J$1="March","",Y251)</f>
        <v>50870</v>
      </c>
      <c r="V252" s="181">
        <v>100000</v>
      </c>
      <c r="W252" s="185">
        <f t="shared" si="79"/>
        <v>150870</v>
      </c>
      <c r="X252" s="181">
        <v>5000</v>
      </c>
      <c r="Y252" s="185">
        <f t="shared" si="80"/>
        <v>145870</v>
      </c>
      <c r="Z252" s="186"/>
      <c r="AA252" s="161"/>
      <c r="AB252" s="161"/>
      <c r="AC252" s="161"/>
    </row>
    <row r="253" spans="1:29" ht="18" customHeight="1" x14ac:dyDescent="0.2">
      <c r="A253" s="166"/>
      <c r="B253" s="207" t="s">
        <v>116</v>
      </c>
      <c r="C253" s="198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1</v>
      </c>
      <c r="D253" s="152"/>
      <c r="E253" s="152"/>
      <c r="F253" s="207" t="s">
        <v>117</v>
      </c>
      <c r="G253" s="193" t="str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/>
      </c>
      <c r="H253" s="152"/>
      <c r="I253" s="439" t="s">
        <v>13</v>
      </c>
      <c r="J253" s="413"/>
      <c r="K253" s="37">
        <f>K251-K252</f>
        <v>55645.161290322583</v>
      </c>
      <c r="L253" s="183"/>
      <c r="M253" s="161"/>
      <c r="N253" s="178"/>
      <c r="O253" s="179" t="s">
        <v>109</v>
      </c>
      <c r="P253" s="179">
        <v>29</v>
      </c>
      <c r="Q253" s="179">
        <v>2</v>
      </c>
      <c r="R253" s="179">
        <f t="shared" si="77"/>
        <v>4</v>
      </c>
      <c r="S253" s="159"/>
      <c r="T253" s="179" t="s">
        <v>109</v>
      </c>
      <c r="U253" s="185">
        <f t="shared" ref="U253:U254" si="81">Y252</f>
        <v>145870</v>
      </c>
      <c r="V253" s="181"/>
      <c r="W253" s="185">
        <f t="shared" si="79"/>
        <v>145870</v>
      </c>
      <c r="X253" s="181">
        <v>5000</v>
      </c>
      <c r="Y253" s="185">
        <f t="shared" si="80"/>
        <v>140870</v>
      </c>
      <c r="Z253" s="186"/>
      <c r="AA253" s="161"/>
      <c r="AB253" s="161"/>
      <c r="AC253" s="161"/>
    </row>
    <row r="254" spans="1:29" ht="18" customHeight="1" x14ac:dyDescent="0.2">
      <c r="A254" s="166"/>
      <c r="B254" s="152"/>
      <c r="C254" s="152"/>
      <c r="D254" s="152"/>
      <c r="E254" s="152"/>
      <c r="F254" s="152"/>
      <c r="G254" s="152"/>
      <c r="H254" s="152"/>
      <c r="I254" s="434"/>
      <c r="J254" s="435"/>
      <c r="K254" s="154"/>
      <c r="L254" s="189"/>
      <c r="M254" s="161"/>
      <c r="N254" s="178"/>
      <c r="O254" s="179" t="s">
        <v>85</v>
      </c>
      <c r="P254" s="179">
        <v>28</v>
      </c>
      <c r="Q254" s="179">
        <v>2</v>
      </c>
      <c r="R254" s="179">
        <f t="shared" si="77"/>
        <v>2</v>
      </c>
      <c r="S254" s="159"/>
      <c r="T254" s="179" t="s">
        <v>85</v>
      </c>
      <c r="U254" s="185">
        <f t="shared" si="81"/>
        <v>140870</v>
      </c>
      <c r="V254" s="181"/>
      <c r="W254" s="185">
        <f t="shared" si="79"/>
        <v>140870</v>
      </c>
      <c r="X254" s="181">
        <v>5000</v>
      </c>
      <c r="Y254" s="185">
        <f t="shared" si="80"/>
        <v>135870</v>
      </c>
      <c r="Z254" s="186"/>
      <c r="AA254" s="161"/>
      <c r="AB254" s="161"/>
      <c r="AC254" s="161"/>
    </row>
    <row r="255" spans="1:29" ht="18" customHeight="1" x14ac:dyDescent="0.3">
      <c r="A255" s="166"/>
      <c r="B255" s="150"/>
      <c r="C255" s="150"/>
      <c r="D255" s="150"/>
      <c r="E255" s="150"/>
      <c r="F255" s="150"/>
      <c r="G255" s="150"/>
      <c r="H255" s="150"/>
      <c r="I255" s="434"/>
      <c r="J255" s="435"/>
      <c r="K255" s="154"/>
      <c r="L255" s="189"/>
      <c r="M255" s="161"/>
      <c r="N255" s="178"/>
      <c r="O255" s="179" t="s">
        <v>113</v>
      </c>
      <c r="P255" s="179">
        <v>30</v>
      </c>
      <c r="Q255" s="179">
        <v>1</v>
      </c>
      <c r="R255" s="179">
        <f t="shared" si="77"/>
        <v>1</v>
      </c>
      <c r="S255" s="159"/>
      <c r="T255" s="179" t="s">
        <v>113</v>
      </c>
      <c r="U255" s="185">
        <f>Y254</f>
        <v>135870</v>
      </c>
      <c r="V255" s="181"/>
      <c r="W255" s="185">
        <f t="shared" si="79"/>
        <v>135870</v>
      </c>
      <c r="X255" s="181">
        <v>5000</v>
      </c>
      <c r="Y255" s="185">
        <f t="shared" si="80"/>
        <v>130870</v>
      </c>
      <c r="Z255" s="186"/>
      <c r="AA255" s="161"/>
      <c r="AB255" s="161"/>
      <c r="AC255" s="161"/>
    </row>
    <row r="256" spans="1:29" ht="18" customHeight="1" thickBot="1" x14ac:dyDescent="0.35">
      <c r="A256" s="200"/>
      <c r="B256" s="201"/>
      <c r="C256" s="201"/>
      <c r="D256" s="201"/>
      <c r="E256" s="201"/>
      <c r="F256" s="201"/>
      <c r="G256" s="201"/>
      <c r="H256" s="201"/>
      <c r="I256" s="439"/>
      <c r="J256" s="413"/>
      <c r="K256" s="37"/>
      <c r="L256" s="202"/>
      <c r="M256" s="161"/>
      <c r="N256" s="178"/>
      <c r="O256" s="179" t="s">
        <v>115</v>
      </c>
      <c r="P256" s="179"/>
      <c r="Q256" s="179"/>
      <c r="R256" s="179">
        <f t="shared" si="77"/>
        <v>1</v>
      </c>
      <c r="S256" s="159"/>
      <c r="T256" s="179" t="s">
        <v>115</v>
      </c>
      <c r="U256" s="185"/>
      <c r="V256" s="181"/>
      <c r="W256" s="185" t="str">
        <f t="shared" si="79"/>
        <v/>
      </c>
      <c r="X256" s="181"/>
      <c r="Y256" s="185" t="str">
        <f t="shared" si="80"/>
        <v/>
      </c>
      <c r="Z256" s="186"/>
      <c r="AA256" s="161"/>
      <c r="AB256" s="161"/>
      <c r="AC256" s="161"/>
    </row>
    <row r="257" spans="1:29" ht="18" customHeight="1" thickBot="1" x14ac:dyDescent="0.25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161"/>
      <c r="N257" s="178"/>
      <c r="O257" s="179" t="s">
        <v>118</v>
      </c>
      <c r="P257" s="179"/>
      <c r="Q257" s="179"/>
      <c r="R257" s="179">
        <f t="shared" si="77"/>
        <v>1</v>
      </c>
      <c r="S257" s="159"/>
      <c r="T257" s="179" t="s">
        <v>118</v>
      </c>
      <c r="U257" s="185"/>
      <c r="V257" s="181"/>
      <c r="W257" s="185" t="str">
        <f t="shared" si="79"/>
        <v/>
      </c>
      <c r="X257" s="181"/>
      <c r="Y257" s="185" t="str">
        <f t="shared" si="80"/>
        <v/>
      </c>
      <c r="Z257" s="186"/>
      <c r="AA257" s="161"/>
      <c r="AB257" s="161"/>
      <c r="AC257" s="161"/>
    </row>
    <row r="258" spans="1:29" ht="18" customHeight="1" thickBot="1" x14ac:dyDescent="0.25">
      <c r="A258" s="447" t="s">
        <v>89</v>
      </c>
      <c r="B258" s="448"/>
      <c r="C258" s="448"/>
      <c r="D258" s="448"/>
      <c r="E258" s="448"/>
      <c r="F258" s="448"/>
      <c r="G258" s="448"/>
      <c r="H258" s="448"/>
      <c r="I258" s="448"/>
      <c r="J258" s="448"/>
      <c r="K258" s="448"/>
      <c r="L258" s="449"/>
      <c r="M258" s="161"/>
      <c r="N258" s="178"/>
      <c r="O258" s="179" t="s">
        <v>119</v>
      </c>
      <c r="P258" s="208"/>
      <c r="Q258" s="208"/>
      <c r="R258" s="179">
        <f t="shared" si="77"/>
        <v>1</v>
      </c>
      <c r="S258" s="159"/>
      <c r="T258" s="179" t="s">
        <v>119</v>
      </c>
      <c r="U258" s="185"/>
      <c r="V258" s="181"/>
      <c r="W258" s="185" t="str">
        <f t="shared" si="79"/>
        <v/>
      </c>
      <c r="X258" s="181"/>
      <c r="Y258" s="185" t="str">
        <f t="shared" si="80"/>
        <v/>
      </c>
      <c r="Z258" s="186"/>
      <c r="AA258" s="161"/>
      <c r="AB258" s="161"/>
      <c r="AC258" s="161"/>
    </row>
    <row r="259" spans="1:29" ht="18" customHeight="1" x14ac:dyDescent="0.2">
      <c r="A259" s="166"/>
      <c r="B259" s="152"/>
      <c r="C259" s="443" t="s">
        <v>154</v>
      </c>
      <c r="D259" s="435"/>
      <c r="E259" s="435"/>
      <c r="F259" s="435"/>
      <c r="G259" s="167" t="str">
        <f>$J$1</f>
        <v>August</v>
      </c>
      <c r="H259" s="444">
        <f>$K$1</f>
        <v>2024</v>
      </c>
      <c r="I259" s="435"/>
      <c r="J259" s="152"/>
      <c r="K259" s="168"/>
      <c r="L259" s="169"/>
      <c r="M259" s="161"/>
      <c r="N259" s="178"/>
      <c r="O259" s="179" t="s">
        <v>120</v>
      </c>
      <c r="P259" s="179"/>
      <c r="Q259" s="179"/>
      <c r="R259" s="179">
        <f t="shared" si="77"/>
        <v>1</v>
      </c>
      <c r="S259" s="159"/>
      <c r="T259" s="179" t="s">
        <v>120</v>
      </c>
      <c r="U259" s="185"/>
      <c r="V259" s="181"/>
      <c r="W259" s="185" t="str">
        <f t="shared" si="79"/>
        <v/>
      </c>
      <c r="X259" s="181"/>
      <c r="Y259" s="185" t="str">
        <f t="shared" si="80"/>
        <v/>
      </c>
      <c r="Z259" s="186"/>
      <c r="AA259" s="161"/>
      <c r="AB259" s="161"/>
      <c r="AC259" s="161"/>
    </row>
    <row r="260" spans="1:29" ht="18" customHeight="1" x14ac:dyDescent="0.2">
      <c r="A260" s="166"/>
      <c r="B260" s="152"/>
      <c r="C260" s="152"/>
      <c r="D260" s="175"/>
      <c r="E260" s="175"/>
      <c r="F260" s="175"/>
      <c r="G260" s="175"/>
      <c r="H260" s="175"/>
      <c r="I260" s="152"/>
      <c r="J260" s="176" t="s">
        <v>99</v>
      </c>
      <c r="K260" s="154">
        <f>45000+20000+10000</f>
        <v>75000</v>
      </c>
      <c r="L260" s="177"/>
      <c r="M260" s="161"/>
      <c r="N260" s="178"/>
      <c r="O260" s="179" t="s">
        <v>121</v>
      </c>
      <c r="P260" s="179"/>
      <c r="Q260" s="179"/>
      <c r="R260" s="179">
        <f t="shared" si="77"/>
        <v>1</v>
      </c>
      <c r="S260" s="159"/>
      <c r="T260" s="179" t="s">
        <v>121</v>
      </c>
      <c r="U260" s="185"/>
      <c r="V260" s="181"/>
      <c r="W260" s="185" t="str">
        <f t="shared" si="79"/>
        <v/>
      </c>
      <c r="X260" s="181"/>
      <c r="Y260" s="185" t="str">
        <f t="shared" si="80"/>
        <v/>
      </c>
      <c r="Z260" s="186"/>
      <c r="AA260" s="161"/>
      <c r="AB260" s="161"/>
      <c r="AC260" s="161"/>
    </row>
    <row r="261" spans="1:29" ht="18" customHeight="1" thickBot="1" x14ac:dyDescent="0.25">
      <c r="A261" s="166"/>
      <c r="B261" s="152" t="s">
        <v>101</v>
      </c>
      <c r="C261" s="151" t="s">
        <v>155</v>
      </c>
      <c r="D261" s="152"/>
      <c r="E261" s="152"/>
      <c r="F261" s="152"/>
      <c r="G261" s="152"/>
      <c r="H261" s="182"/>
      <c r="I261" s="175"/>
      <c r="J261" s="152"/>
      <c r="K261" s="152"/>
      <c r="L261" s="183"/>
      <c r="M261" s="204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  <c r="AA261" s="204"/>
      <c r="AB261" s="204"/>
      <c r="AC261" s="204"/>
    </row>
    <row r="262" spans="1:29" s="285" customFormat="1" ht="18" customHeight="1" x14ac:dyDescent="0.2">
      <c r="A262" s="166"/>
      <c r="B262" s="187" t="s">
        <v>103</v>
      </c>
      <c r="C262" s="188"/>
      <c r="D262" s="152"/>
      <c r="E262" s="152"/>
      <c r="F262" s="439" t="s">
        <v>91</v>
      </c>
      <c r="G262" s="413"/>
      <c r="H262" s="152"/>
      <c r="I262" s="439" t="s">
        <v>104</v>
      </c>
      <c r="J262" s="412"/>
      <c r="K262" s="413"/>
      <c r="L262" s="189"/>
      <c r="M262" s="292"/>
      <c r="N262" s="293"/>
      <c r="O262" s="450" t="s">
        <v>90</v>
      </c>
      <c r="P262" s="451"/>
      <c r="Q262" s="451"/>
      <c r="R262" s="452"/>
      <c r="S262" s="294"/>
      <c r="T262" s="450" t="s">
        <v>91</v>
      </c>
      <c r="U262" s="451"/>
      <c r="V262" s="451"/>
      <c r="W262" s="451"/>
      <c r="X262" s="451"/>
      <c r="Y262" s="452"/>
      <c r="Z262" s="295"/>
      <c r="AA262" s="292"/>
      <c r="AB262" s="296"/>
      <c r="AC262" s="296"/>
    </row>
    <row r="263" spans="1:29" ht="18" customHeight="1" x14ac:dyDescent="0.2">
      <c r="A263" s="166"/>
      <c r="B263" s="152"/>
      <c r="C263" s="152"/>
      <c r="D263" s="152"/>
      <c r="E263" s="152"/>
      <c r="F263" s="152"/>
      <c r="G263" s="152"/>
      <c r="H263" s="190"/>
      <c r="I263" s="152"/>
      <c r="J263" s="152"/>
      <c r="K263" s="152"/>
      <c r="L263" s="191"/>
      <c r="M263" s="170"/>
      <c r="N263" s="171"/>
      <c r="O263" s="172" t="s">
        <v>93</v>
      </c>
      <c r="P263" s="172" t="s">
        <v>94</v>
      </c>
      <c r="Q263" s="172" t="s">
        <v>95</v>
      </c>
      <c r="R263" s="172" t="s">
        <v>96</v>
      </c>
      <c r="S263" s="173"/>
      <c r="T263" s="172" t="s">
        <v>93</v>
      </c>
      <c r="U263" s="172" t="s">
        <v>97</v>
      </c>
      <c r="V263" s="172" t="s">
        <v>9</v>
      </c>
      <c r="W263" s="172" t="s">
        <v>10</v>
      </c>
      <c r="X263" s="172" t="s">
        <v>11</v>
      </c>
      <c r="Y263" s="172" t="s">
        <v>98</v>
      </c>
      <c r="Z263" s="174"/>
      <c r="AA263" s="170"/>
      <c r="AB263" s="161"/>
      <c r="AC263" s="161"/>
    </row>
    <row r="264" spans="1:29" ht="18" customHeight="1" x14ac:dyDescent="0.2">
      <c r="A264" s="166"/>
      <c r="B264" s="445" t="s">
        <v>90</v>
      </c>
      <c r="C264" s="413"/>
      <c r="D264" s="152"/>
      <c r="E264" s="152"/>
      <c r="F264" s="192" t="s">
        <v>107</v>
      </c>
      <c r="G264" s="193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4" s="190"/>
      <c r="I264" s="194">
        <f>IF(C268&gt;=C267,$K$2,C266+C268)-4</f>
        <v>27</v>
      </c>
      <c r="J264" s="195" t="s">
        <v>108</v>
      </c>
      <c r="K264" s="196">
        <f>K260/$K$2*I264</f>
        <v>65322.580645161295</v>
      </c>
      <c r="L264" s="197"/>
      <c r="M264" s="161"/>
      <c r="N264" s="178"/>
      <c r="O264" s="179" t="s">
        <v>100</v>
      </c>
      <c r="P264" s="179">
        <v>25</v>
      </c>
      <c r="Q264" s="179">
        <v>6</v>
      </c>
      <c r="R264" s="179">
        <f>15-Q264+6</f>
        <v>15</v>
      </c>
      <c r="S264" s="180"/>
      <c r="T264" s="179" t="s">
        <v>100</v>
      </c>
      <c r="U264" s="181">
        <v>12000</v>
      </c>
      <c r="V264" s="181"/>
      <c r="W264" s="181">
        <f t="shared" ref="W264:W266" si="82">V264+U264</f>
        <v>12000</v>
      </c>
      <c r="X264" s="181">
        <v>5000</v>
      </c>
      <c r="Y264" s="181">
        <f>W264-X264</f>
        <v>7000</v>
      </c>
      <c r="Z264" s="174"/>
      <c r="AA264" s="161"/>
      <c r="AB264" s="161"/>
      <c r="AC264" s="161"/>
    </row>
    <row r="265" spans="1:29" ht="18" customHeight="1" x14ac:dyDescent="0.2">
      <c r="A265" s="166"/>
      <c r="B265" s="198"/>
      <c r="C265" s="198"/>
      <c r="D265" s="152"/>
      <c r="E265" s="152"/>
      <c r="F265" s="192" t="s">
        <v>9</v>
      </c>
      <c r="G265" s="193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5" s="190"/>
      <c r="I265" s="214">
        <v>6</v>
      </c>
      <c r="J265" s="195" t="s">
        <v>110</v>
      </c>
      <c r="K265" s="193">
        <f>K260/$K$2/8*I265</f>
        <v>1814.516129032258</v>
      </c>
      <c r="L265" s="199"/>
      <c r="M265" s="162"/>
      <c r="N265" s="184"/>
      <c r="O265" s="179" t="s">
        <v>102</v>
      </c>
      <c r="P265" s="179">
        <v>1</v>
      </c>
      <c r="Q265" s="179"/>
      <c r="R265" s="179">
        <f>R264-Q265</f>
        <v>15</v>
      </c>
      <c r="S265" s="159"/>
      <c r="T265" s="179" t="s">
        <v>102</v>
      </c>
      <c r="U265" s="185">
        <f t="shared" ref="U265:U266" si="83">Y264</f>
        <v>7000</v>
      </c>
      <c r="V265" s="181">
        <v>15000</v>
      </c>
      <c r="W265" s="181">
        <f t="shared" si="82"/>
        <v>22000</v>
      </c>
      <c r="X265" s="181"/>
      <c r="Y265" s="185">
        <f t="shared" ref="Y265:Y275" si="84">IF(W265="","",W265-X265)</f>
        <v>22000</v>
      </c>
      <c r="Z265" s="186"/>
      <c r="AA265" s="162"/>
      <c r="AB265" s="161"/>
      <c r="AC265" s="161"/>
    </row>
    <row r="266" spans="1:29" ht="18" customHeight="1" x14ac:dyDescent="0.2">
      <c r="A266" s="166"/>
      <c r="B266" s="192" t="s">
        <v>94</v>
      </c>
      <c r="C266" s="198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0</v>
      </c>
      <c r="D266" s="152"/>
      <c r="E266" s="152"/>
      <c r="F266" s="192" t="s">
        <v>111</v>
      </c>
      <c r="G266" s="193" t="str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/>
      </c>
      <c r="H266" s="190"/>
      <c r="I266" s="446" t="s">
        <v>112</v>
      </c>
      <c r="J266" s="413"/>
      <c r="K266" s="193">
        <f>K264+K265</f>
        <v>67137.09677419356</v>
      </c>
      <c r="L266" s="199"/>
      <c r="M266" s="161"/>
      <c r="N266" s="178"/>
      <c r="O266" s="179" t="s">
        <v>105</v>
      </c>
      <c r="P266" s="179">
        <f>31-Q266</f>
        <v>18</v>
      </c>
      <c r="Q266" s="179">
        <v>13</v>
      </c>
      <c r="R266" s="179">
        <f>R265-Q266+13-3</f>
        <v>12</v>
      </c>
      <c r="S266" s="159"/>
      <c r="T266" s="179" t="s">
        <v>105</v>
      </c>
      <c r="U266" s="185">
        <f t="shared" si="83"/>
        <v>22000</v>
      </c>
      <c r="V266" s="181"/>
      <c r="W266" s="181">
        <f t="shared" si="82"/>
        <v>22000</v>
      </c>
      <c r="X266" s="181"/>
      <c r="Y266" s="185">
        <f t="shared" si="84"/>
        <v>22000</v>
      </c>
      <c r="Z266" s="186"/>
      <c r="AA266" s="161"/>
      <c r="AB266" s="161"/>
      <c r="AC266" s="161"/>
    </row>
    <row r="267" spans="1:29" ht="18" customHeight="1" x14ac:dyDescent="0.2">
      <c r="A267" s="166"/>
      <c r="B267" s="192" t="s">
        <v>95</v>
      </c>
      <c r="C267" s="198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67" s="152"/>
      <c r="E267" s="152"/>
      <c r="F267" s="192" t="s">
        <v>11</v>
      </c>
      <c r="G267" s="193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67" s="190"/>
      <c r="I267" s="446" t="s">
        <v>114</v>
      </c>
      <c r="J267" s="413"/>
      <c r="K267" s="193">
        <f>G267</f>
        <v>0</v>
      </c>
      <c r="L267" s="199"/>
      <c r="M267" s="161"/>
      <c r="N267" s="178"/>
      <c r="O267" s="179" t="s">
        <v>106</v>
      </c>
      <c r="P267" s="179">
        <v>28</v>
      </c>
      <c r="Q267" s="179">
        <v>2</v>
      </c>
      <c r="R267" s="179">
        <f>R266-Q267</f>
        <v>10</v>
      </c>
      <c r="S267" s="159"/>
      <c r="T267" s="179" t="s">
        <v>106</v>
      </c>
      <c r="U267" s="185">
        <f>IF($J$1="March","",Y266)</f>
        <v>22000</v>
      </c>
      <c r="V267" s="181"/>
      <c r="W267" s="185">
        <f t="shared" ref="W267:W275" si="85">IF(U267="","",U267+V267)</f>
        <v>22000</v>
      </c>
      <c r="X267" s="181">
        <v>5000</v>
      </c>
      <c r="Y267" s="185">
        <f t="shared" si="84"/>
        <v>17000</v>
      </c>
      <c r="Z267" s="186"/>
      <c r="AA267" s="161"/>
      <c r="AB267" s="161"/>
      <c r="AC267" s="161"/>
    </row>
    <row r="268" spans="1:29" ht="18" customHeight="1" x14ac:dyDescent="0.2">
      <c r="A268" s="166"/>
      <c r="B268" s="207" t="s">
        <v>116</v>
      </c>
      <c r="C268" s="198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10</v>
      </c>
      <c r="D268" s="152"/>
      <c r="E268" s="152"/>
      <c r="F268" s="207" t="s">
        <v>117</v>
      </c>
      <c r="G268" s="193" t="str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/>
      </c>
      <c r="H268" s="152"/>
      <c r="I268" s="439" t="s">
        <v>13</v>
      </c>
      <c r="J268" s="413"/>
      <c r="K268" s="37">
        <f>K266-K267</f>
        <v>67137.09677419356</v>
      </c>
      <c r="L268" s="183"/>
      <c r="M268" s="161"/>
      <c r="N268" s="178"/>
      <c r="O268" s="179" t="s">
        <v>109</v>
      </c>
      <c r="P268" s="179">
        <v>16</v>
      </c>
      <c r="Q268" s="179">
        <v>15</v>
      </c>
      <c r="R268" s="179">
        <f>R267-Q268+15</f>
        <v>10</v>
      </c>
      <c r="S268" s="159"/>
      <c r="T268" s="179" t="s">
        <v>109</v>
      </c>
      <c r="U268" s="185">
        <f t="shared" ref="U268:U269" si="86">Y267</f>
        <v>17000</v>
      </c>
      <c r="V268" s="181"/>
      <c r="W268" s="185">
        <f t="shared" si="85"/>
        <v>17000</v>
      </c>
      <c r="X268" s="181"/>
      <c r="Y268" s="185">
        <f t="shared" si="84"/>
        <v>17000</v>
      </c>
      <c r="Z268" s="186"/>
      <c r="AA268" s="161"/>
      <c r="AB268" s="161"/>
      <c r="AC268" s="161"/>
    </row>
    <row r="269" spans="1:29" ht="18" customHeight="1" x14ac:dyDescent="0.2">
      <c r="A269" s="166"/>
      <c r="B269" s="152"/>
      <c r="C269" s="152"/>
      <c r="D269" s="152"/>
      <c r="E269" s="152"/>
      <c r="F269" s="152"/>
      <c r="G269" s="152"/>
      <c r="H269" s="152"/>
      <c r="I269" s="434"/>
      <c r="J269" s="435"/>
      <c r="K269" s="154"/>
      <c r="L269" s="189"/>
      <c r="M269" s="161"/>
      <c r="N269" s="178"/>
      <c r="O269" s="179" t="s">
        <v>85</v>
      </c>
      <c r="P269" s="179">
        <v>26</v>
      </c>
      <c r="Q269" s="179">
        <v>4</v>
      </c>
      <c r="R269" s="179">
        <f>R268-Q269+4</f>
        <v>10</v>
      </c>
      <c r="S269" s="159"/>
      <c r="T269" s="179" t="s">
        <v>85</v>
      </c>
      <c r="U269" s="185">
        <f t="shared" si="86"/>
        <v>17000</v>
      </c>
      <c r="V269" s="181"/>
      <c r="W269" s="185">
        <f t="shared" si="85"/>
        <v>17000</v>
      </c>
      <c r="X269" s="181">
        <v>5000</v>
      </c>
      <c r="Y269" s="185">
        <f t="shared" si="84"/>
        <v>12000</v>
      </c>
      <c r="Z269" s="186"/>
      <c r="AA269" s="161"/>
      <c r="AB269" s="161"/>
      <c r="AC269" s="161"/>
    </row>
    <row r="270" spans="1:29" ht="18" customHeight="1" x14ac:dyDescent="0.3">
      <c r="A270" s="166"/>
      <c r="B270" s="150"/>
      <c r="C270" s="150"/>
      <c r="D270" s="150"/>
      <c r="E270" s="150"/>
      <c r="F270" s="150"/>
      <c r="G270" s="150"/>
      <c r="H270" s="150"/>
      <c r="I270" s="434"/>
      <c r="J270" s="435"/>
      <c r="K270" s="154"/>
      <c r="L270" s="189"/>
      <c r="M270" s="161"/>
      <c r="N270" s="178"/>
      <c r="O270" s="179" t="s">
        <v>113</v>
      </c>
      <c r="P270" s="179">
        <v>27</v>
      </c>
      <c r="Q270" s="179">
        <v>4</v>
      </c>
      <c r="R270" s="179">
        <f>R269-Q270+4</f>
        <v>10</v>
      </c>
      <c r="S270" s="159"/>
      <c r="T270" s="179" t="s">
        <v>113</v>
      </c>
      <c r="U270" s="185">
        <f>Y269</f>
        <v>12000</v>
      </c>
      <c r="V270" s="181"/>
      <c r="W270" s="185">
        <f t="shared" si="85"/>
        <v>12000</v>
      </c>
      <c r="X270" s="181"/>
      <c r="Y270" s="185">
        <f t="shared" si="84"/>
        <v>12000</v>
      </c>
      <c r="Z270" s="186"/>
      <c r="AA270" s="161"/>
      <c r="AB270" s="161"/>
      <c r="AC270" s="161"/>
    </row>
    <row r="271" spans="1:29" ht="18" customHeight="1" thickBot="1" x14ac:dyDescent="0.35">
      <c r="A271" s="20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2"/>
      <c r="M271" s="161"/>
      <c r="N271" s="178"/>
      <c r="O271" s="179" t="s">
        <v>115</v>
      </c>
      <c r="P271" s="179"/>
      <c r="Q271" s="179"/>
      <c r="R271" s="179">
        <f t="shared" ref="R271:R274" si="87">R270-Q271</f>
        <v>10</v>
      </c>
      <c r="S271" s="159"/>
      <c r="T271" s="179" t="s">
        <v>115</v>
      </c>
      <c r="U271" s="185"/>
      <c r="V271" s="181"/>
      <c r="W271" s="185" t="str">
        <f t="shared" si="85"/>
        <v/>
      </c>
      <c r="X271" s="181"/>
      <c r="Y271" s="185" t="str">
        <f t="shared" si="84"/>
        <v/>
      </c>
      <c r="Z271" s="186"/>
      <c r="AA271" s="161"/>
      <c r="AB271" s="161"/>
      <c r="AC271" s="161"/>
    </row>
    <row r="272" spans="1:29" ht="18" customHeight="1" thickBot="1" x14ac:dyDescent="0.25">
      <c r="A272" s="203"/>
      <c r="B272" s="203"/>
      <c r="C272" s="203"/>
      <c r="D272" s="203"/>
      <c r="E272" s="203"/>
      <c r="F272" s="203"/>
      <c r="G272" s="203"/>
      <c r="H272" s="203"/>
      <c r="I272" s="203"/>
      <c r="J272" s="203"/>
      <c r="K272" s="203"/>
      <c r="L272" s="203"/>
      <c r="M272" s="161"/>
      <c r="N272" s="178"/>
      <c r="O272" s="179" t="s">
        <v>118</v>
      </c>
      <c r="P272" s="179"/>
      <c r="Q272" s="179"/>
      <c r="R272" s="179">
        <f t="shared" si="87"/>
        <v>10</v>
      </c>
      <c r="S272" s="159"/>
      <c r="T272" s="179" t="s">
        <v>118</v>
      </c>
      <c r="U272" s="185"/>
      <c r="V272" s="181"/>
      <c r="W272" s="185" t="str">
        <f t="shared" si="85"/>
        <v/>
      </c>
      <c r="X272" s="181"/>
      <c r="Y272" s="185" t="str">
        <f t="shared" si="84"/>
        <v/>
      </c>
      <c r="Z272" s="186"/>
      <c r="AA272" s="161"/>
      <c r="AB272" s="161"/>
      <c r="AC272" s="161"/>
    </row>
    <row r="273" spans="1:29" ht="18" customHeight="1" thickBot="1" x14ac:dyDescent="0.25">
      <c r="A273" s="447" t="s">
        <v>89</v>
      </c>
      <c r="B273" s="453"/>
      <c r="C273" s="453"/>
      <c r="D273" s="453"/>
      <c r="E273" s="453"/>
      <c r="F273" s="453"/>
      <c r="G273" s="453"/>
      <c r="H273" s="453"/>
      <c r="I273" s="453"/>
      <c r="J273" s="453"/>
      <c r="K273" s="453"/>
      <c r="L273" s="454"/>
      <c r="M273" s="161"/>
      <c r="N273" s="178"/>
      <c r="O273" s="179" t="s">
        <v>119</v>
      </c>
      <c r="P273" s="179"/>
      <c r="Q273" s="179"/>
      <c r="R273" s="179">
        <f t="shared" si="87"/>
        <v>10</v>
      </c>
      <c r="S273" s="159"/>
      <c r="T273" s="179" t="s">
        <v>119</v>
      </c>
      <c r="U273" s="185"/>
      <c r="V273" s="181"/>
      <c r="W273" s="185" t="str">
        <f t="shared" si="85"/>
        <v/>
      </c>
      <c r="X273" s="181"/>
      <c r="Y273" s="185" t="str">
        <f t="shared" si="84"/>
        <v/>
      </c>
      <c r="Z273" s="186"/>
      <c r="AA273" s="161"/>
      <c r="AB273" s="161"/>
      <c r="AC273" s="161"/>
    </row>
    <row r="274" spans="1:29" ht="18" customHeight="1" x14ac:dyDescent="0.2">
      <c r="A274" s="166"/>
      <c r="B274" s="152"/>
      <c r="C274" s="443" t="s">
        <v>156</v>
      </c>
      <c r="D274" s="435"/>
      <c r="E274" s="435"/>
      <c r="F274" s="435"/>
      <c r="G274" s="167" t="str">
        <f>$J$1</f>
        <v>August</v>
      </c>
      <c r="H274" s="444">
        <f>$K$1</f>
        <v>2024</v>
      </c>
      <c r="I274" s="435"/>
      <c r="J274" s="152"/>
      <c r="K274" s="168"/>
      <c r="L274" s="169"/>
      <c r="M274" s="161"/>
      <c r="N274" s="178"/>
      <c r="O274" s="179" t="s">
        <v>120</v>
      </c>
      <c r="P274" s="179"/>
      <c r="Q274" s="179"/>
      <c r="R274" s="179">
        <f t="shared" si="87"/>
        <v>10</v>
      </c>
      <c r="S274" s="159"/>
      <c r="T274" s="179" t="s">
        <v>120</v>
      </c>
      <c r="U274" s="185"/>
      <c r="V274" s="181"/>
      <c r="W274" s="185" t="str">
        <f t="shared" si="85"/>
        <v/>
      </c>
      <c r="X274" s="181"/>
      <c r="Y274" s="185" t="str">
        <f t="shared" si="84"/>
        <v/>
      </c>
      <c r="Z274" s="186"/>
      <c r="AA274" s="161"/>
      <c r="AB274" s="161"/>
      <c r="AC274" s="161"/>
    </row>
    <row r="275" spans="1:29" ht="18" customHeight="1" x14ac:dyDescent="0.2">
      <c r="A275" s="166"/>
      <c r="B275" s="152"/>
      <c r="C275" s="152"/>
      <c r="D275" s="175"/>
      <c r="E275" s="175"/>
      <c r="F275" s="175"/>
      <c r="G275" s="175"/>
      <c r="H275" s="175"/>
      <c r="I275" s="152"/>
      <c r="J275" s="176" t="s">
        <v>99</v>
      </c>
      <c r="K275" s="154">
        <f>22000+13000</f>
        <v>35000</v>
      </c>
      <c r="L275" s="177"/>
      <c r="M275" s="161"/>
      <c r="N275" s="178"/>
      <c r="O275" s="179" t="s">
        <v>121</v>
      </c>
      <c r="P275" s="179"/>
      <c r="Q275" s="179"/>
      <c r="R275" s="179">
        <v>0</v>
      </c>
      <c r="S275" s="159"/>
      <c r="T275" s="179" t="s">
        <v>121</v>
      </c>
      <c r="U275" s="185"/>
      <c r="V275" s="181"/>
      <c r="W275" s="185" t="str">
        <f t="shared" si="85"/>
        <v/>
      </c>
      <c r="X275" s="181"/>
      <c r="Y275" s="185" t="str">
        <f t="shared" si="84"/>
        <v/>
      </c>
      <c r="Z275" s="186"/>
      <c r="AA275" s="161"/>
      <c r="AB275" s="161"/>
      <c r="AC275" s="161"/>
    </row>
    <row r="276" spans="1:29" ht="18" customHeight="1" thickBot="1" x14ac:dyDescent="0.25">
      <c r="A276" s="166"/>
      <c r="B276" s="152" t="s">
        <v>101</v>
      </c>
      <c r="C276" s="151" t="s">
        <v>157</v>
      </c>
      <c r="D276" s="152"/>
      <c r="E276" s="152"/>
      <c r="F276" s="152"/>
      <c r="G276" s="152"/>
      <c r="H276" s="182"/>
      <c r="I276" s="175"/>
      <c r="J276" s="152"/>
      <c r="K276" s="152"/>
      <c r="L276" s="183"/>
      <c r="M276" s="204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4"/>
      <c r="AB276" s="204"/>
      <c r="AC276" s="204"/>
    </row>
    <row r="277" spans="1:29" ht="18" customHeight="1" x14ac:dyDescent="0.2">
      <c r="A277" s="166"/>
      <c r="B277" s="187" t="s">
        <v>103</v>
      </c>
      <c r="C277" s="188"/>
      <c r="D277" s="152"/>
      <c r="E277" s="152"/>
      <c r="F277" s="439" t="s">
        <v>91</v>
      </c>
      <c r="G277" s="413"/>
      <c r="H277" s="152"/>
      <c r="I277" s="439" t="s">
        <v>104</v>
      </c>
      <c r="J277" s="412"/>
      <c r="K277" s="413"/>
      <c r="L277" s="189"/>
      <c r="M277" s="162"/>
      <c r="N277" s="163"/>
      <c r="O277" s="440" t="s">
        <v>90</v>
      </c>
      <c r="P277" s="441"/>
      <c r="Q277" s="441"/>
      <c r="R277" s="442"/>
      <c r="S277" s="164"/>
      <c r="T277" s="440" t="s">
        <v>91</v>
      </c>
      <c r="U277" s="441"/>
      <c r="V277" s="441"/>
      <c r="W277" s="441"/>
      <c r="X277" s="441"/>
      <c r="Y277" s="442"/>
      <c r="Z277" s="165"/>
      <c r="AA277" s="162"/>
      <c r="AB277" s="161"/>
      <c r="AC277" s="161"/>
    </row>
    <row r="278" spans="1:29" ht="18" customHeight="1" x14ac:dyDescent="0.2">
      <c r="A278" s="166"/>
      <c r="B278" s="152"/>
      <c r="C278" s="152"/>
      <c r="D278" s="152"/>
      <c r="E278" s="152"/>
      <c r="F278" s="152"/>
      <c r="G278" s="152"/>
      <c r="H278" s="190"/>
      <c r="I278" s="152"/>
      <c r="J278" s="152"/>
      <c r="K278" s="152"/>
      <c r="L278" s="191"/>
      <c r="M278" s="170"/>
      <c r="N278" s="171"/>
      <c r="O278" s="172" t="s">
        <v>93</v>
      </c>
      <c r="P278" s="172" t="s">
        <v>94</v>
      </c>
      <c r="Q278" s="172" t="s">
        <v>95</v>
      </c>
      <c r="R278" s="172" t="s">
        <v>96</v>
      </c>
      <c r="S278" s="173"/>
      <c r="T278" s="172" t="s">
        <v>93</v>
      </c>
      <c r="U278" s="172" t="s">
        <v>97</v>
      </c>
      <c r="V278" s="172" t="s">
        <v>9</v>
      </c>
      <c r="W278" s="172" t="s">
        <v>10</v>
      </c>
      <c r="X278" s="172" t="s">
        <v>11</v>
      </c>
      <c r="Y278" s="172" t="s">
        <v>98</v>
      </c>
      <c r="Z278" s="174"/>
      <c r="AA278" s="170"/>
      <c r="AB278" s="161"/>
      <c r="AC278" s="161"/>
    </row>
    <row r="279" spans="1:29" ht="18" customHeight="1" x14ac:dyDescent="0.2">
      <c r="A279" s="166"/>
      <c r="B279" s="445" t="s">
        <v>90</v>
      </c>
      <c r="C279" s="413"/>
      <c r="D279" s="152"/>
      <c r="E279" s="152"/>
      <c r="F279" s="192" t="s">
        <v>107</v>
      </c>
      <c r="G279" s="193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0</v>
      </c>
      <c r="H279" s="190"/>
      <c r="I279" s="194">
        <f>IF(C283&gt;=C282,$K$2,C281+C283)</f>
        <v>31</v>
      </c>
      <c r="J279" s="195" t="s">
        <v>108</v>
      </c>
      <c r="K279" s="196">
        <f>K275/$K$2*I279</f>
        <v>35000</v>
      </c>
      <c r="L279" s="197"/>
      <c r="M279" s="161"/>
      <c r="N279" s="178"/>
      <c r="O279" s="179" t="s">
        <v>100</v>
      </c>
      <c r="P279" s="179">
        <v>31</v>
      </c>
      <c r="Q279" s="179">
        <v>0</v>
      </c>
      <c r="R279" s="179">
        <f>15-Q279</f>
        <v>15</v>
      </c>
      <c r="S279" s="180"/>
      <c r="T279" s="179" t="s">
        <v>100</v>
      </c>
      <c r="U279" s="181">
        <v>14760</v>
      </c>
      <c r="V279" s="181"/>
      <c r="W279" s="181">
        <f>V279+U279</f>
        <v>14760</v>
      </c>
      <c r="X279" s="181">
        <v>2000</v>
      </c>
      <c r="Y279" s="181">
        <f>W279-X279</f>
        <v>12760</v>
      </c>
      <c r="Z279" s="174"/>
      <c r="AA279" s="161"/>
      <c r="AB279" s="161"/>
      <c r="AC279" s="161"/>
    </row>
    <row r="280" spans="1:29" ht="18" customHeight="1" x14ac:dyDescent="0.2">
      <c r="A280" s="166"/>
      <c r="B280" s="198"/>
      <c r="C280" s="198"/>
      <c r="D280" s="152"/>
      <c r="E280" s="152"/>
      <c r="F280" s="192" t="s">
        <v>9</v>
      </c>
      <c r="G280" s="193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0" s="190"/>
      <c r="I280" s="194">
        <v>90</v>
      </c>
      <c r="J280" s="195" t="s">
        <v>110</v>
      </c>
      <c r="K280" s="193">
        <f>K275/$K$2/8*I280</f>
        <v>12701.612903225807</v>
      </c>
      <c r="L280" s="199"/>
      <c r="M280" s="162"/>
      <c r="N280" s="184"/>
      <c r="O280" s="179" t="s">
        <v>102</v>
      </c>
      <c r="P280" s="179">
        <v>28</v>
      </c>
      <c r="Q280" s="179">
        <v>1</v>
      </c>
      <c r="R280" s="179">
        <f t="shared" ref="R280:R290" si="88">R279-Q280</f>
        <v>14</v>
      </c>
      <c r="S280" s="159"/>
      <c r="T280" s="179" t="s">
        <v>102</v>
      </c>
      <c r="U280" s="185">
        <f t="shared" ref="U280:U281" si="89">Y279</f>
        <v>12760</v>
      </c>
      <c r="V280" s="181">
        <v>4000</v>
      </c>
      <c r="W280" s="185">
        <f t="shared" ref="W280:W290" si="90">IF(U280="","",U280+V280)</f>
        <v>16760</v>
      </c>
      <c r="X280" s="181">
        <v>2000</v>
      </c>
      <c r="Y280" s="185">
        <f t="shared" ref="Y280:Y290" si="91">IF(W280="","",W280-X280)</f>
        <v>14760</v>
      </c>
      <c r="Z280" s="186"/>
      <c r="AA280" s="162"/>
      <c r="AB280" s="161"/>
      <c r="AC280" s="161"/>
    </row>
    <row r="281" spans="1:29" ht="18" customHeight="1" x14ac:dyDescent="0.2">
      <c r="A281" s="166"/>
      <c r="B281" s="192" t="s">
        <v>94</v>
      </c>
      <c r="C281" s="198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0</v>
      </c>
      <c r="D281" s="152"/>
      <c r="E281" s="152"/>
      <c r="F281" s="192" t="s">
        <v>111</v>
      </c>
      <c r="G281" s="193" t="str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/>
      </c>
      <c r="H281" s="190"/>
      <c r="I281" s="446" t="s">
        <v>112</v>
      </c>
      <c r="J281" s="413"/>
      <c r="K281" s="193">
        <f>K279+K280</f>
        <v>47701.612903225803</v>
      </c>
      <c r="L281" s="199"/>
      <c r="M281" s="161"/>
      <c r="N281" s="178"/>
      <c r="O281" s="179" t="s">
        <v>105</v>
      </c>
      <c r="P281" s="179">
        <v>31</v>
      </c>
      <c r="Q281" s="179">
        <v>0</v>
      </c>
      <c r="R281" s="179">
        <f t="shared" si="88"/>
        <v>14</v>
      </c>
      <c r="S281" s="159"/>
      <c r="T281" s="179" t="s">
        <v>105</v>
      </c>
      <c r="U281" s="185">
        <f t="shared" si="89"/>
        <v>14760</v>
      </c>
      <c r="V281" s="181"/>
      <c r="W281" s="185">
        <f t="shared" si="90"/>
        <v>14760</v>
      </c>
      <c r="X281" s="181">
        <v>2000</v>
      </c>
      <c r="Y281" s="185">
        <f t="shared" si="91"/>
        <v>12760</v>
      </c>
      <c r="Z281" s="186"/>
      <c r="AA281" s="161"/>
      <c r="AB281" s="161"/>
      <c r="AC281" s="161"/>
    </row>
    <row r="282" spans="1:29" ht="18" customHeight="1" x14ac:dyDescent="0.2">
      <c r="A282" s="166"/>
      <c r="B282" s="192" t="s">
        <v>95</v>
      </c>
      <c r="C282" s="198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2" s="152"/>
      <c r="E282" s="152"/>
      <c r="F282" s="192" t="s">
        <v>11</v>
      </c>
      <c r="G282" s="193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2" s="190"/>
      <c r="I282" s="446" t="s">
        <v>114</v>
      </c>
      <c r="J282" s="413"/>
      <c r="K282" s="193">
        <f>G282</f>
        <v>0</v>
      </c>
      <c r="L282" s="199"/>
      <c r="M282" s="161"/>
      <c r="N282" s="178"/>
      <c r="O282" s="179" t="s">
        <v>106</v>
      </c>
      <c r="P282" s="179">
        <v>30</v>
      </c>
      <c r="Q282" s="179">
        <v>0</v>
      </c>
      <c r="R282" s="179">
        <f t="shared" si="88"/>
        <v>14</v>
      </c>
      <c r="S282" s="159"/>
      <c r="T282" s="179" t="s">
        <v>106</v>
      </c>
      <c r="U282" s="185">
        <f>IF($J$1="March","",Y281)</f>
        <v>12760</v>
      </c>
      <c r="V282" s="181">
        <v>2000</v>
      </c>
      <c r="W282" s="185">
        <f t="shared" si="90"/>
        <v>14760</v>
      </c>
      <c r="X282" s="181">
        <v>2000</v>
      </c>
      <c r="Y282" s="185">
        <f t="shared" si="91"/>
        <v>12760</v>
      </c>
      <c r="Z282" s="186"/>
      <c r="AA282" s="161"/>
      <c r="AB282" s="161"/>
      <c r="AC282" s="161"/>
    </row>
    <row r="283" spans="1:29" ht="18" customHeight="1" x14ac:dyDescent="0.2">
      <c r="A283" s="166"/>
      <c r="B283" s="207" t="s">
        <v>116</v>
      </c>
      <c r="C283" s="198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12</v>
      </c>
      <c r="D283" s="152"/>
      <c r="E283" s="152"/>
      <c r="F283" s="207" t="s">
        <v>117</v>
      </c>
      <c r="G283" s="193" t="str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/>
      </c>
      <c r="H283" s="152"/>
      <c r="I283" s="439" t="s">
        <v>13</v>
      </c>
      <c r="J283" s="413"/>
      <c r="K283" s="37">
        <f>K281-K282</f>
        <v>47701.612903225803</v>
      </c>
      <c r="L283" s="183"/>
      <c r="M283" s="161"/>
      <c r="N283" s="178"/>
      <c r="O283" s="179" t="s">
        <v>109</v>
      </c>
      <c r="P283" s="179">
        <v>31</v>
      </c>
      <c r="Q283" s="179">
        <v>0</v>
      </c>
      <c r="R283" s="179">
        <f t="shared" si="88"/>
        <v>14</v>
      </c>
      <c r="S283" s="159"/>
      <c r="T283" s="179" t="s">
        <v>109</v>
      </c>
      <c r="U283" s="185">
        <f t="shared" ref="U283:U284" si="92">Y282</f>
        <v>12760</v>
      </c>
      <c r="V283" s="181"/>
      <c r="W283" s="185">
        <f t="shared" si="90"/>
        <v>12760</v>
      </c>
      <c r="X283" s="181">
        <v>2000</v>
      </c>
      <c r="Y283" s="185">
        <f t="shared" si="91"/>
        <v>10760</v>
      </c>
      <c r="Z283" s="186"/>
      <c r="AA283" s="161"/>
      <c r="AB283" s="161"/>
      <c r="AC283" s="161"/>
    </row>
    <row r="284" spans="1:29" ht="18" customHeight="1" x14ac:dyDescent="0.2">
      <c r="A284" s="166"/>
      <c r="B284" s="152"/>
      <c r="C284" s="152"/>
      <c r="D284" s="152"/>
      <c r="E284" s="152"/>
      <c r="F284" s="152"/>
      <c r="G284" s="152"/>
      <c r="H284" s="152"/>
      <c r="I284" s="434"/>
      <c r="J284" s="435"/>
      <c r="K284" s="154"/>
      <c r="L284" s="189"/>
      <c r="M284" s="161"/>
      <c r="N284" s="178"/>
      <c r="O284" s="179" t="s">
        <v>85</v>
      </c>
      <c r="P284" s="179">
        <v>29</v>
      </c>
      <c r="Q284" s="179">
        <v>1</v>
      </c>
      <c r="R284" s="179">
        <f t="shared" si="88"/>
        <v>13</v>
      </c>
      <c r="S284" s="159"/>
      <c r="T284" s="179" t="s">
        <v>85</v>
      </c>
      <c r="U284" s="185">
        <f t="shared" si="92"/>
        <v>10760</v>
      </c>
      <c r="V284" s="181"/>
      <c r="W284" s="185">
        <f t="shared" si="90"/>
        <v>10760</v>
      </c>
      <c r="X284" s="181"/>
      <c r="Y284" s="185">
        <f t="shared" si="91"/>
        <v>10760</v>
      </c>
      <c r="Z284" s="186"/>
      <c r="AA284" s="161"/>
      <c r="AB284" s="161"/>
      <c r="AC284" s="161"/>
    </row>
    <row r="285" spans="1:29" ht="18" customHeight="1" x14ac:dyDescent="0.3">
      <c r="A285" s="166"/>
      <c r="B285" s="150"/>
      <c r="C285" s="150"/>
      <c r="D285" s="150"/>
      <c r="E285" s="150"/>
      <c r="F285" s="150"/>
      <c r="G285" s="150"/>
      <c r="H285" s="150"/>
      <c r="I285" s="434"/>
      <c r="J285" s="435"/>
      <c r="K285" s="154"/>
      <c r="L285" s="189"/>
      <c r="M285" s="161"/>
      <c r="N285" s="178"/>
      <c r="O285" s="179" t="s">
        <v>113</v>
      </c>
      <c r="P285" s="179">
        <v>30</v>
      </c>
      <c r="Q285" s="179">
        <v>1</v>
      </c>
      <c r="R285" s="179">
        <f t="shared" si="88"/>
        <v>12</v>
      </c>
      <c r="S285" s="159"/>
      <c r="T285" s="179" t="s">
        <v>113</v>
      </c>
      <c r="U285" s="185">
        <f>Y284</f>
        <v>10760</v>
      </c>
      <c r="V285" s="181"/>
      <c r="W285" s="185">
        <f t="shared" si="90"/>
        <v>10760</v>
      </c>
      <c r="X285" s="181">
        <v>2000</v>
      </c>
      <c r="Y285" s="185">
        <f t="shared" si="91"/>
        <v>8760</v>
      </c>
      <c r="Z285" s="186"/>
      <c r="AA285" s="161"/>
      <c r="AB285" s="161"/>
      <c r="AC285" s="161"/>
    </row>
    <row r="286" spans="1:29" ht="18" customHeight="1" thickBot="1" x14ac:dyDescent="0.35">
      <c r="A286" s="200"/>
      <c r="B286" s="201"/>
      <c r="C286" s="201"/>
      <c r="D286" s="201"/>
      <c r="E286" s="201"/>
      <c r="F286" s="201"/>
      <c r="G286" s="201"/>
      <c r="H286" s="201"/>
      <c r="I286" s="201"/>
      <c r="J286" s="201"/>
      <c r="K286" s="201"/>
      <c r="L286" s="202"/>
      <c r="M286" s="161"/>
      <c r="N286" s="178"/>
      <c r="O286" s="179" t="s">
        <v>115</v>
      </c>
      <c r="P286" s="179"/>
      <c r="Q286" s="179"/>
      <c r="R286" s="179">
        <f t="shared" si="88"/>
        <v>12</v>
      </c>
      <c r="S286" s="159"/>
      <c r="T286" s="179" t="s">
        <v>115</v>
      </c>
      <c r="U286" s="185"/>
      <c r="V286" s="181"/>
      <c r="W286" s="185" t="str">
        <f t="shared" si="90"/>
        <v/>
      </c>
      <c r="X286" s="181"/>
      <c r="Y286" s="185" t="str">
        <f t="shared" si="91"/>
        <v/>
      </c>
      <c r="Z286" s="186"/>
      <c r="AA286" s="161"/>
      <c r="AB286" s="161"/>
      <c r="AC286" s="161"/>
    </row>
    <row r="287" spans="1:29" ht="18" customHeight="1" thickBot="1" x14ac:dyDescent="0.25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  <c r="L287" s="203"/>
      <c r="M287" s="161"/>
      <c r="N287" s="178"/>
      <c r="O287" s="179" t="s">
        <v>118</v>
      </c>
      <c r="P287" s="179"/>
      <c r="Q287" s="179"/>
      <c r="R287" s="179">
        <f t="shared" si="88"/>
        <v>12</v>
      </c>
      <c r="S287" s="159"/>
      <c r="T287" s="179" t="s">
        <v>118</v>
      </c>
      <c r="U287" s="185"/>
      <c r="V287" s="181"/>
      <c r="W287" s="185" t="str">
        <f t="shared" si="90"/>
        <v/>
      </c>
      <c r="X287" s="181"/>
      <c r="Y287" s="185" t="str">
        <f t="shared" si="91"/>
        <v/>
      </c>
      <c r="Z287" s="186"/>
      <c r="AA287" s="161"/>
      <c r="AB287" s="161"/>
      <c r="AC287" s="161"/>
    </row>
    <row r="288" spans="1:29" ht="18" customHeight="1" thickBot="1" x14ac:dyDescent="0.25">
      <c r="A288" s="447" t="s">
        <v>89</v>
      </c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4"/>
      <c r="M288" s="161"/>
      <c r="N288" s="178"/>
      <c r="O288" s="179" t="s">
        <v>119</v>
      </c>
      <c r="P288" s="179"/>
      <c r="Q288" s="179"/>
      <c r="R288" s="179">
        <f t="shared" si="88"/>
        <v>12</v>
      </c>
      <c r="S288" s="159"/>
      <c r="T288" s="179" t="s">
        <v>119</v>
      </c>
      <c r="U288" s="185"/>
      <c r="V288" s="181"/>
      <c r="W288" s="185" t="str">
        <f t="shared" si="90"/>
        <v/>
      </c>
      <c r="X288" s="181"/>
      <c r="Y288" s="185" t="str">
        <f t="shared" si="91"/>
        <v/>
      </c>
      <c r="Z288" s="186"/>
      <c r="AA288" s="161"/>
      <c r="AB288" s="161"/>
      <c r="AC288" s="161"/>
    </row>
    <row r="289" spans="1:29" ht="18" customHeight="1" x14ac:dyDescent="0.2">
      <c r="A289" s="166"/>
      <c r="B289" s="152"/>
      <c r="C289" s="443" t="s">
        <v>158</v>
      </c>
      <c r="D289" s="435"/>
      <c r="E289" s="435"/>
      <c r="F289" s="435"/>
      <c r="G289" s="167" t="str">
        <f>$J$1</f>
        <v>August</v>
      </c>
      <c r="H289" s="444">
        <f>$K$1</f>
        <v>2024</v>
      </c>
      <c r="I289" s="435"/>
      <c r="J289" s="152"/>
      <c r="K289" s="168"/>
      <c r="L289" s="169"/>
      <c r="M289" s="161"/>
      <c r="N289" s="178"/>
      <c r="O289" s="179" t="s">
        <v>120</v>
      </c>
      <c r="P289" s="179"/>
      <c r="Q289" s="179"/>
      <c r="R289" s="179">
        <f t="shared" si="88"/>
        <v>12</v>
      </c>
      <c r="S289" s="159"/>
      <c r="T289" s="179" t="s">
        <v>120</v>
      </c>
      <c r="U289" s="185"/>
      <c r="V289" s="181"/>
      <c r="W289" s="185" t="str">
        <f t="shared" si="90"/>
        <v/>
      </c>
      <c r="X289" s="181"/>
      <c r="Y289" s="185" t="str">
        <f t="shared" si="91"/>
        <v/>
      </c>
      <c r="Z289" s="186"/>
      <c r="AA289" s="161"/>
      <c r="AB289" s="161"/>
      <c r="AC289" s="161"/>
    </row>
    <row r="290" spans="1:29" ht="18" customHeight="1" x14ac:dyDescent="0.2">
      <c r="A290" s="166"/>
      <c r="B290" s="152"/>
      <c r="C290" s="152"/>
      <c r="D290" s="175"/>
      <c r="E290" s="175"/>
      <c r="F290" s="175"/>
      <c r="G290" s="175"/>
      <c r="H290" s="175"/>
      <c r="I290" s="152"/>
      <c r="J290" s="176" t="s">
        <v>99</v>
      </c>
      <c r="K290" s="154">
        <f>19000+3000+5000</f>
        <v>27000</v>
      </c>
      <c r="L290" s="177"/>
      <c r="M290" s="161"/>
      <c r="N290" s="178"/>
      <c r="O290" s="179" t="s">
        <v>121</v>
      </c>
      <c r="P290" s="179"/>
      <c r="Q290" s="179"/>
      <c r="R290" s="179">
        <f t="shared" si="88"/>
        <v>12</v>
      </c>
      <c r="S290" s="159"/>
      <c r="T290" s="179" t="s">
        <v>121</v>
      </c>
      <c r="U290" s="185"/>
      <c r="V290" s="181"/>
      <c r="W290" s="185" t="str">
        <f t="shared" si="90"/>
        <v/>
      </c>
      <c r="X290" s="181"/>
      <c r="Y290" s="185" t="str">
        <f t="shared" si="91"/>
        <v/>
      </c>
      <c r="Z290" s="186"/>
      <c r="AA290" s="161"/>
      <c r="AB290" s="161"/>
      <c r="AC290" s="161"/>
    </row>
    <row r="291" spans="1:29" ht="18" customHeight="1" thickBot="1" x14ac:dyDescent="0.25">
      <c r="A291" s="166"/>
      <c r="B291" s="152" t="s">
        <v>101</v>
      </c>
      <c r="C291" s="151" t="s">
        <v>159</v>
      </c>
      <c r="D291" s="152"/>
      <c r="E291" s="152"/>
      <c r="F291" s="152"/>
      <c r="G291" s="152"/>
      <c r="H291" s="182"/>
      <c r="I291" s="175"/>
      <c r="J291" s="152"/>
      <c r="K291" s="152"/>
      <c r="L291" s="183"/>
      <c r="M291" s="204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  <c r="AA291" s="204"/>
      <c r="AB291" s="204"/>
      <c r="AC291" s="204"/>
    </row>
    <row r="292" spans="1:29" ht="18" customHeight="1" x14ac:dyDescent="0.2">
      <c r="A292" s="166"/>
      <c r="B292" s="187" t="s">
        <v>103</v>
      </c>
      <c r="C292" s="188"/>
      <c r="D292" s="152"/>
      <c r="E292" s="152"/>
      <c r="F292" s="439" t="s">
        <v>91</v>
      </c>
      <c r="G292" s="413"/>
      <c r="H292" s="152"/>
      <c r="I292" s="439" t="s">
        <v>104</v>
      </c>
      <c r="J292" s="412"/>
      <c r="K292" s="413"/>
      <c r="L292" s="189"/>
      <c r="M292" s="162"/>
      <c r="N292" s="163"/>
      <c r="O292" s="440" t="s">
        <v>90</v>
      </c>
      <c r="P292" s="441"/>
      <c r="Q292" s="441"/>
      <c r="R292" s="442"/>
      <c r="S292" s="164"/>
      <c r="T292" s="440" t="s">
        <v>91</v>
      </c>
      <c r="U292" s="441"/>
      <c r="V292" s="441"/>
      <c r="W292" s="441"/>
      <c r="X292" s="441"/>
      <c r="Y292" s="442"/>
      <c r="Z292" s="165"/>
      <c r="AA292" s="162"/>
      <c r="AB292" s="161"/>
      <c r="AC292" s="161"/>
    </row>
    <row r="293" spans="1:29" ht="18" customHeight="1" x14ac:dyDescent="0.2">
      <c r="A293" s="166"/>
      <c r="B293" s="152"/>
      <c r="C293" s="152"/>
      <c r="D293" s="152"/>
      <c r="E293" s="152"/>
      <c r="F293" s="152"/>
      <c r="G293" s="152"/>
      <c r="H293" s="190"/>
      <c r="I293" s="152"/>
      <c r="J293" s="152"/>
      <c r="K293" s="152"/>
      <c r="L293" s="191"/>
      <c r="M293" s="170"/>
      <c r="N293" s="171"/>
      <c r="O293" s="172" t="s">
        <v>93</v>
      </c>
      <c r="P293" s="172" t="s">
        <v>94</v>
      </c>
      <c r="Q293" s="172" t="s">
        <v>95</v>
      </c>
      <c r="R293" s="172" t="s">
        <v>96</v>
      </c>
      <c r="S293" s="173"/>
      <c r="T293" s="172" t="s">
        <v>93</v>
      </c>
      <c r="U293" s="172" t="s">
        <v>97</v>
      </c>
      <c r="V293" s="172" t="s">
        <v>9</v>
      </c>
      <c r="W293" s="172" t="s">
        <v>10</v>
      </c>
      <c r="X293" s="172" t="s">
        <v>11</v>
      </c>
      <c r="Y293" s="172" t="s">
        <v>98</v>
      </c>
      <c r="Z293" s="174"/>
      <c r="AA293" s="170"/>
      <c r="AB293" s="161"/>
      <c r="AC293" s="161"/>
    </row>
    <row r="294" spans="1:29" ht="18" customHeight="1" x14ac:dyDescent="0.2">
      <c r="A294" s="166"/>
      <c r="B294" s="445" t="s">
        <v>90</v>
      </c>
      <c r="C294" s="413"/>
      <c r="D294" s="152"/>
      <c r="E294" s="152"/>
      <c r="F294" s="192" t="s">
        <v>107</v>
      </c>
      <c r="G294" s="193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0</v>
      </c>
      <c r="H294" s="190"/>
      <c r="I294" s="194">
        <f>IF(C298&gt;=C297,$K$2,C296+C298)</f>
        <v>31</v>
      </c>
      <c r="J294" s="195" t="s">
        <v>108</v>
      </c>
      <c r="K294" s="196">
        <f>K290/$K$2*I294</f>
        <v>27000</v>
      </c>
      <c r="L294" s="197"/>
      <c r="M294" s="161"/>
      <c r="N294" s="178"/>
      <c r="O294" s="179" t="s">
        <v>100</v>
      </c>
      <c r="P294" s="179">
        <v>29</v>
      </c>
      <c r="Q294" s="179">
        <v>2</v>
      </c>
      <c r="R294" s="179">
        <f>15-Q294</f>
        <v>13</v>
      </c>
      <c r="S294" s="180"/>
      <c r="T294" s="179" t="s">
        <v>100</v>
      </c>
      <c r="U294" s="181">
        <v>18000</v>
      </c>
      <c r="V294" s="181"/>
      <c r="W294" s="181">
        <f>V294+U294</f>
        <v>18000</v>
      </c>
      <c r="X294" s="181">
        <v>3000</v>
      </c>
      <c r="Y294" s="181">
        <f>W294-X294</f>
        <v>15000</v>
      </c>
      <c r="Z294" s="174"/>
      <c r="AA294" s="161"/>
      <c r="AB294" s="161"/>
      <c r="AC294" s="161"/>
    </row>
    <row r="295" spans="1:29" ht="18" customHeight="1" x14ac:dyDescent="0.2">
      <c r="A295" s="166"/>
      <c r="B295" s="198"/>
      <c r="C295" s="198"/>
      <c r="D295" s="152"/>
      <c r="E295" s="152"/>
      <c r="F295" s="192" t="s">
        <v>9</v>
      </c>
      <c r="G295" s="193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5" s="190"/>
      <c r="I295" s="194">
        <v>5</v>
      </c>
      <c r="J295" s="195" t="s">
        <v>110</v>
      </c>
      <c r="K295" s="193">
        <f>K290/$K$2/8*I295</f>
        <v>544.35483870967744</v>
      </c>
      <c r="L295" s="199"/>
      <c r="M295" s="162"/>
      <c r="N295" s="184"/>
      <c r="O295" s="179" t="s">
        <v>102</v>
      </c>
      <c r="P295" s="179">
        <v>28</v>
      </c>
      <c r="Q295" s="179">
        <v>1</v>
      </c>
      <c r="R295" s="179">
        <f t="shared" ref="R295:R305" si="93">IF(Q295="","",R294-Q295)</f>
        <v>12</v>
      </c>
      <c r="S295" s="159"/>
      <c r="T295" s="179" t="s">
        <v>102</v>
      </c>
      <c r="U295" s="185">
        <f t="shared" ref="U295:U296" si="94">Y294</f>
        <v>15000</v>
      </c>
      <c r="V295" s="181"/>
      <c r="W295" s="185">
        <f t="shared" ref="W295:W305" si="95">IF(U295="","",U295+V295)</f>
        <v>15000</v>
      </c>
      <c r="X295" s="181">
        <v>3000</v>
      </c>
      <c r="Y295" s="185">
        <f t="shared" ref="Y295:Y305" si="96">IF(W295="","",W295-X295)</f>
        <v>12000</v>
      </c>
      <c r="Z295" s="186"/>
      <c r="AA295" s="162"/>
      <c r="AB295" s="161"/>
      <c r="AC295" s="161"/>
    </row>
    <row r="296" spans="1:29" ht="18" customHeight="1" x14ac:dyDescent="0.2">
      <c r="A296" s="166"/>
      <c r="B296" s="192" t="s">
        <v>94</v>
      </c>
      <c r="C296" s="198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296" s="152"/>
      <c r="E296" s="152"/>
      <c r="F296" s="192" t="s">
        <v>111</v>
      </c>
      <c r="G296" s="193" t="str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/>
      </c>
      <c r="H296" s="190"/>
      <c r="I296" s="446" t="s">
        <v>112</v>
      </c>
      <c r="J296" s="413"/>
      <c r="K296" s="193">
        <f>K294+K295</f>
        <v>27544.354838709678</v>
      </c>
      <c r="L296" s="199"/>
      <c r="M296" s="161"/>
      <c r="N296" s="178"/>
      <c r="O296" s="179" t="s">
        <v>105</v>
      </c>
      <c r="P296" s="179">
        <v>31</v>
      </c>
      <c r="Q296" s="179">
        <v>0</v>
      </c>
      <c r="R296" s="179">
        <f t="shared" si="93"/>
        <v>12</v>
      </c>
      <c r="S296" s="159"/>
      <c r="T296" s="179" t="s">
        <v>105</v>
      </c>
      <c r="U296" s="185">
        <f t="shared" si="94"/>
        <v>12000</v>
      </c>
      <c r="V296" s="181"/>
      <c r="W296" s="185">
        <f t="shared" si="95"/>
        <v>12000</v>
      </c>
      <c r="X296" s="181">
        <v>3000</v>
      </c>
      <c r="Y296" s="185">
        <f t="shared" si="96"/>
        <v>9000</v>
      </c>
      <c r="Z296" s="186"/>
      <c r="AA296" s="161"/>
      <c r="AB296" s="161"/>
      <c r="AC296" s="161"/>
    </row>
    <row r="297" spans="1:29" ht="18" customHeight="1" x14ac:dyDescent="0.2">
      <c r="A297" s="166"/>
      <c r="B297" s="192" t="s">
        <v>95</v>
      </c>
      <c r="C297" s="198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297" s="152"/>
      <c r="E297" s="152"/>
      <c r="F297" s="192" t="s">
        <v>11</v>
      </c>
      <c r="G297" s="193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297" s="190"/>
      <c r="I297" s="446" t="s">
        <v>114</v>
      </c>
      <c r="J297" s="413"/>
      <c r="K297" s="193">
        <f>G297</f>
        <v>0</v>
      </c>
      <c r="L297" s="199"/>
      <c r="M297" s="161"/>
      <c r="N297" s="178"/>
      <c r="O297" s="179" t="s">
        <v>106</v>
      </c>
      <c r="P297" s="179">
        <v>29</v>
      </c>
      <c r="Q297" s="179">
        <v>1</v>
      </c>
      <c r="R297" s="179">
        <f t="shared" si="93"/>
        <v>11</v>
      </c>
      <c r="S297" s="159"/>
      <c r="T297" s="179" t="s">
        <v>106</v>
      </c>
      <c r="U297" s="185">
        <f>IF($J$1="March","",Y296)</f>
        <v>9000</v>
      </c>
      <c r="V297" s="181"/>
      <c r="W297" s="185">
        <f t="shared" si="95"/>
        <v>9000</v>
      </c>
      <c r="X297" s="181">
        <v>3000</v>
      </c>
      <c r="Y297" s="185">
        <f t="shared" si="96"/>
        <v>6000</v>
      </c>
      <c r="Z297" s="186"/>
      <c r="AA297" s="161"/>
      <c r="AB297" s="161"/>
      <c r="AC297" s="161">
        <v>20</v>
      </c>
    </row>
    <row r="298" spans="1:29" ht="18" customHeight="1" x14ac:dyDescent="0.2">
      <c r="A298" s="166"/>
      <c r="B298" s="207" t="s">
        <v>116</v>
      </c>
      <c r="C298" s="198" t="str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/>
      </c>
      <c r="D298" s="152"/>
      <c r="E298" s="152"/>
      <c r="F298" s="207" t="s">
        <v>117</v>
      </c>
      <c r="G298" s="193" t="str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/>
      </c>
      <c r="H298" s="152"/>
      <c r="I298" s="439" t="s">
        <v>13</v>
      </c>
      <c r="J298" s="413"/>
      <c r="K298" s="37">
        <f>K296-K297</f>
        <v>27544.354838709678</v>
      </c>
      <c r="L298" s="183"/>
      <c r="M298" s="161"/>
      <c r="N298" s="178"/>
      <c r="O298" s="179" t="s">
        <v>109</v>
      </c>
      <c r="P298" s="179">
        <v>30</v>
      </c>
      <c r="Q298" s="179">
        <v>1</v>
      </c>
      <c r="R298" s="179">
        <f t="shared" si="93"/>
        <v>10</v>
      </c>
      <c r="S298" s="159"/>
      <c r="T298" s="179" t="s">
        <v>109</v>
      </c>
      <c r="U298" s="185">
        <f>IF($J$1="April","",Y297)</f>
        <v>6000</v>
      </c>
      <c r="V298" s="181"/>
      <c r="W298" s="185">
        <f t="shared" si="95"/>
        <v>6000</v>
      </c>
      <c r="X298" s="181">
        <v>3000</v>
      </c>
      <c r="Y298" s="185">
        <f t="shared" si="96"/>
        <v>3000</v>
      </c>
      <c r="Z298" s="186"/>
      <c r="AA298" s="161"/>
      <c r="AB298" s="161"/>
      <c r="AC298" s="161"/>
    </row>
    <row r="299" spans="1:29" ht="18" customHeight="1" x14ac:dyDescent="0.2">
      <c r="A299" s="166"/>
      <c r="B299" s="152"/>
      <c r="C299" s="152"/>
      <c r="D299" s="152"/>
      <c r="E299" s="152"/>
      <c r="F299" s="152"/>
      <c r="G299" s="152"/>
      <c r="H299" s="152"/>
      <c r="I299" s="434"/>
      <c r="J299" s="435"/>
      <c r="K299" s="154"/>
      <c r="L299" s="189"/>
      <c r="M299" s="161"/>
      <c r="N299" s="178"/>
      <c r="O299" s="179" t="s">
        <v>85</v>
      </c>
      <c r="P299" s="179">
        <v>27</v>
      </c>
      <c r="Q299" s="179">
        <v>3</v>
      </c>
      <c r="R299" s="179">
        <f t="shared" si="93"/>
        <v>7</v>
      </c>
      <c r="S299" s="159"/>
      <c r="T299" s="179" t="s">
        <v>85</v>
      </c>
      <c r="U299" s="185">
        <f>Y298</f>
        <v>3000</v>
      </c>
      <c r="V299" s="181"/>
      <c r="W299" s="185">
        <f t="shared" si="95"/>
        <v>3000</v>
      </c>
      <c r="X299" s="181">
        <v>1000</v>
      </c>
      <c r="Y299" s="185">
        <f t="shared" si="96"/>
        <v>2000</v>
      </c>
      <c r="Z299" s="186"/>
      <c r="AA299" s="161"/>
      <c r="AB299" s="161"/>
      <c r="AC299" s="161"/>
    </row>
    <row r="300" spans="1:29" ht="18" customHeight="1" x14ac:dyDescent="0.3">
      <c r="A300" s="166"/>
      <c r="B300" s="150"/>
      <c r="C300" s="150"/>
      <c r="D300" s="150"/>
      <c r="E300" s="150"/>
      <c r="F300" s="150"/>
      <c r="G300" s="150"/>
      <c r="H300" s="150"/>
      <c r="I300" s="434"/>
      <c r="J300" s="435"/>
      <c r="K300" s="154"/>
      <c r="L300" s="189"/>
      <c r="M300" s="161"/>
      <c r="N300" s="178"/>
      <c r="O300" s="179" t="s">
        <v>113</v>
      </c>
      <c r="P300" s="179">
        <v>29</v>
      </c>
      <c r="Q300" s="179">
        <v>2</v>
      </c>
      <c r="R300" s="179">
        <f t="shared" si="93"/>
        <v>5</v>
      </c>
      <c r="S300" s="159"/>
      <c r="T300" s="179" t="s">
        <v>113</v>
      </c>
      <c r="U300" s="185">
        <f>Y299</f>
        <v>2000</v>
      </c>
      <c r="V300" s="181"/>
      <c r="W300" s="185">
        <f t="shared" si="95"/>
        <v>2000</v>
      </c>
      <c r="X300" s="181">
        <v>1000</v>
      </c>
      <c r="Y300" s="185">
        <f t="shared" si="96"/>
        <v>1000</v>
      </c>
      <c r="Z300" s="186"/>
      <c r="AA300" s="161"/>
      <c r="AB300" s="161"/>
      <c r="AC300" s="161"/>
    </row>
    <row r="301" spans="1:29" ht="18" customHeight="1" thickBot="1" x14ac:dyDescent="0.35">
      <c r="A301" s="200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2"/>
      <c r="M301" s="161"/>
      <c r="N301" s="178"/>
      <c r="O301" s="179" t="s">
        <v>115</v>
      </c>
      <c r="P301" s="179"/>
      <c r="Q301" s="179"/>
      <c r="R301" s="179" t="str">
        <f t="shared" si="93"/>
        <v/>
      </c>
      <c r="S301" s="159"/>
      <c r="T301" s="179" t="s">
        <v>115</v>
      </c>
      <c r="U301" s="185"/>
      <c r="V301" s="181"/>
      <c r="W301" s="185" t="str">
        <f t="shared" si="95"/>
        <v/>
      </c>
      <c r="X301" s="181"/>
      <c r="Y301" s="185" t="str">
        <f t="shared" si="96"/>
        <v/>
      </c>
      <c r="Z301" s="186"/>
      <c r="AA301" s="161"/>
      <c r="AB301" s="161"/>
      <c r="AC301" s="161"/>
    </row>
    <row r="302" spans="1:29" ht="18" customHeight="1" thickBot="1" x14ac:dyDescent="0.25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161"/>
      <c r="N302" s="178"/>
      <c r="O302" s="179" t="s">
        <v>118</v>
      </c>
      <c r="P302" s="179"/>
      <c r="Q302" s="179"/>
      <c r="R302" s="179" t="str">
        <f t="shared" si="93"/>
        <v/>
      </c>
      <c r="S302" s="159"/>
      <c r="T302" s="179" t="s">
        <v>118</v>
      </c>
      <c r="U302" s="185"/>
      <c r="V302" s="181"/>
      <c r="W302" s="185" t="str">
        <f t="shared" si="95"/>
        <v/>
      </c>
      <c r="X302" s="181"/>
      <c r="Y302" s="185" t="str">
        <f t="shared" si="96"/>
        <v/>
      </c>
      <c r="Z302" s="186"/>
      <c r="AA302" s="161"/>
      <c r="AB302" s="161"/>
      <c r="AC302" s="161"/>
    </row>
    <row r="303" spans="1:29" ht="18" customHeight="1" thickBot="1" x14ac:dyDescent="0.25">
      <c r="A303" s="447" t="s">
        <v>89</v>
      </c>
      <c r="B303" s="453"/>
      <c r="C303" s="453"/>
      <c r="D303" s="453"/>
      <c r="E303" s="453"/>
      <c r="F303" s="453"/>
      <c r="G303" s="453"/>
      <c r="H303" s="453"/>
      <c r="I303" s="453"/>
      <c r="J303" s="453"/>
      <c r="K303" s="453"/>
      <c r="L303" s="454"/>
      <c r="M303" s="161"/>
      <c r="N303" s="178"/>
      <c r="O303" s="179" t="s">
        <v>119</v>
      </c>
      <c r="P303" s="179"/>
      <c r="Q303" s="179"/>
      <c r="R303" s="179" t="str">
        <f t="shared" si="93"/>
        <v/>
      </c>
      <c r="S303" s="159"/>
      <c r="T303" s="179" t="s">
        <v>119</v>
      </c>
      <c r="U303" s="185"/>
      <c r="V303" s="181"/>
      <c r="W303" s="185" t="str">
        <f t="shared" si="95"/>
        <v/>
      </c>
      <c r="X303" s="181"/>
      <c r="Y303" s="185" t="str">
        <f t="shared" si="96"/>
        <v/>
      </c>
      <c r="Z303" s="186"/>
      <c r="AA303" s="161"/>
      <c r="AB303" s="161"/>
      <c r="AC303" s="161"/>
    </row>
    <row r="304" spans="1:29" ht="18" customHeight="1" x14ac:dyDescent="0.2">
      <c r="A304" s="166"/>
      <c r="B304" s="152"/>
      <c r="C304" s="443" t="s">
        <v>160</v>
      </c>
      <c r="D304" s="435"/>
      <c r="E304" s="435"/>
      <c r="F304" s="435"/>
      <c r="G304" s="167" t="str">
        <f>$J$1</f>
        <v>August</v>
      </c>
      <c r="H304" s="444">
        <f>$K$1</f>
        <v>2024</v>
      </c>
      <c r="I304" s="435"/>
      <c r="J304" s="152"/>
      <c r="K304" s="168"/>
      <c r="L304" s="169"/>
      <c r="M304" s="161"/>
      <c r="N304" s="178"/>
      <c r="O304" s="179" t="s">
        <v>120</v>
      </c>
      <c r="P304" s="179"/>
      <c r="Q304" s="179"/>
      <c r="R304" s="179" t="str">
        <f t="shared" si="93"/>
        <v/>
      </c>
      <c r="S304" s="159"/>
      <c r="T304" s="179" t="s">
        <v>120</v>
      </c>
      <c r="U304" s="185"/>
      <c r="V304" s="181"/>
      <c r="W304" s="185" t="str">
        <f t="shared" si="95"/>
        <v/>
      </c>
      <c r="X304" s="181"/>
      <c r="Y304" s="185" t="str">
        <f t="shared" si="96"/>
        <v/>
      </c>
      <c r="Z304" s="186"/>
      <c r="AA304" s="161"/>
      <c r="AB304" s="161"/>
      <c r="AC304" s="161"/>
    </row>
    <row r="305" spans="1:29" ht="18" customHeight="1" x14ac:dyDescent="0.2">
      <c r="A305" s="166"/>
      <c r="B305" s="152"/>
      <c r="C305" s="152"/>
      <c r="D305" s="175"/>
      <c r="E305" s="175"/>
      <c r="F305" s="175"/>
      <c r="G305" s="175"/>
      <c r="H305" s="175"/>
      <c r="I305" s="152"/>
      <c r="J305" s="176" t="s">
        <v>99</v>
      </c>
      <c r="K305" s="154">
        <f>27000+8000</f>
        <v>35000</v>
      </c>
      <c r="L305" s="177"/>
      <c r="M305" s="161"/>
      <c r="N305" s="178"/>
      <c r="O305" s="179" t="s">
        <v>121</v>
      </c>
      <c r="P305" s="179"/>
      <c r="Q305" s="179"/>
      <c r="R305" s="179" t="str">
        <f t="shared" si="93"/>
        <v/>
      </c>
      <c r="S305" s="159"/>
      <c r="T305" s="179" t="s">
        <v>121</v>
      </c>
      <c r="U305" s="185"/>
      <c r="V305" s="181"/>
      <c r="W305" s="185" t="str">
        <f t="shared" si="95"/>
        <v/>
      </c>
      <c r="X305" s="181"/>
      <c r="Y305" s="185" t="str">
        <f t="shared" si="96"/>
        <v/>
      </c>
      <c r="Z305" s="186"/>
      <c r="AA305" s="161"/>
      <c r="AB305" s="161"/>
      <c r="AC305" s="161"/>
    </row>
    <row r="306" spans="1:29" ht="18" customHeight="1" thickBot="1" x14ac:dyDescent="0.25">
      <c r="A306" s="166"/>
      <c r="B306" s="152" t="s">
        <v>101</v>
      </c>
      <c r="C306" s="151" t="s">
        <v>162</v>
      </c>
      <c r="D306" s="152"/>
      <c r="E306" s="152"/>
      <c r="F306" s="152"/>
      <c r="G306" s="152"/>
      <c r="H306" s="182"/>
      <c r="I306" s="175"/>
      <c r="J306" s="152"/>
      <c r="K306" s="152"/>
      <c r="L306" s="183"/>
      <c r="M306" s="204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4"/>
      <c r="AB306" s="204"/>
      <c r="AC306" s="204"/>
    </row>
    <row r="307" spans="1:29" ht="18" customHeight="1" x14ac:dyDescent="0.2">
      <c r="A307" s="166"/>
      <c r="B307" s="187" t="s">
        <v>103</v>
      </c>
      <c r="C307" s="188"/>
      <c r="D307" s="152"/>
      <c r="E307" s="152"/>
      <c r="F307" s="439" t="s">
        <v>91</v>
      </c>
      <c r="G307" s="413"/>
      <c r="H307" s="152"/>
      <c r="I307" s="439" t="s">
        <v>104</v>
      </c>
      <c r="J307" s="412"/>
      <c r="K307" s="413"/>
      <c r="L307" s="189"/>
      <c r="M307" s="162"/>
      <c r="N307" s="163"/>
      <c r="O307" s="440" t="s">
        <v>90</v>
      </c>
      <c r="P307" s="441"/>
      <c r="Q307" s="441"/>
      <c r="R307" s="442"/>
      <c r="S307" s="164"/>
      <c r="T307" s="440" t="s">
        <v>91</v>
      </c>
      <c r="U307" s="441"/>
      <c r="V307" s="441"/>
      <c r="W307" s="441"/>
      <c r="X307" s="441"/>
      <c r="Y307" s="442"/>
      <c r="Z307" s="165"/>
      <c r="AA307" s="161"/>
      <c r="AB307" s="161"/>
      <c r="AC307" s="161"/>
    </row>
    <row r="308" spans="1:29" ht="18" customHeight="1" x14ac:dyDescent="0.2">
      <c r="A308" s="166"/>
      <c r="B308" s="152"/>
      <c r="C308" s="152"/>
      <c r="D308" s="152"/>
      <c r="E308" s="152"/>
      <c r="F308" s="152"/>
      <c r="G308" s="152"/>
      <c r="H308" s="190"/>
      <c r="I308" s="152"/>
      <c r="J308" s="152"/>
      <c r="K308" s="152"/>
      <c r="L308" s="191"/>
      <c r="M308" s="170"/>
      <c r="N308" s="171"/>
      <c r="O308" s="172" t="s">
        <v>93</v>
      </c>
      <c r="P308" s="172" t="s">
        <v>94</v>
      </c>
      <c r="Q308" s="172" t="s">
        <v>95</v>
      </c>
      <c r="R308" s="172" t="s">
        <v>96</v>
      </c>
      <c r="S308" s="173"/>
      <c r="T308" s="172" t="s">
        <v>93</v>
      </c>
      <c r="U308" s="172" t="s">
        <v>97</v>
      </c>
      <c r="V308" s="172" t="s">
        <v>9</v>
      </c>
      <c r="W308" s="172" t="s">
        <v>10</v>
      </c>
      <c r="X308" s="172" t="s">
        <v>11</v>
      </c>
      <c r="Y308" s="172" t="s">
        <v>98</v>
      </c>
      <c r="Z308" s="174"/>
      <c r="AA308" s="161"/>
      <c r="AB308" s="161"/>
      <c r="AC308" s="161"/>
    </row>
    <row r="309" spans="1:29" ht="18" customHeight="1" x14ac:dyDescent="0.2">
      <c r="A309" s="166"/>
      <c r="B309" s="445" t="s">
        <v>90</v>
      </c>
      <c r="C309" s="413"/>
      <c r="D309" s="152"/>
      <c r="E309" s="152"/>
      <c r="F309" s="192" t="s">
        <v>107</v>
      </c>
      <c r="G309" s="193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0</v>
      </c>
      <c r="H309" s="190"/>
      <c r="I309" s="194">
        <f>IF(C313&gt;=C312,$K$2,C311+C313)</f>
        <v>31</v>
      </c>
      <c r="J309" s="195" t="s">
        <v>108</v>
      </c>
      <c r="K309" s="196">
        <f>K305/$K$2*I309</f>
        <v>35000</v>
      </c>
      <c r="L309" s="197"/>
      <c r="M309" s="161"/>
      <c r="N309" s="178"/>
      <c r="O309" s="179" t="s">
        <v>100</v>
      </c>
      <c r="P309" s="179">
        <v>30</v>
      </c>
      <c r="Q309" s="179">
        <v>1</v>
      </c>
      <c r="R309" s="179">
        <f>15-Q309</f>
        <v>14</v>
      </c>
      <c r="S309" s="180"/>
      <c r="T309" s="179" t="s">
        <v>100</v>
      </c>
      <c r="U309" s="181"/>
      <c r="V309" s="181">
        <v>20000</v>
      </c>
      <c r="W309" s="181">
        <f>V309+U309</f>
        <v>20000</v>
      </c>
      <c r="X309" s="181">
        <v>2000</v>
      </c>
      <c r="Y309" s="181">
        <f>W309-X309-15000</f>
        <v>3000</v>
      </c>
      <c r="Z309" s="174"/>
      <c r="AA309" s="161" t="s">
        <v>161</v>
      </c>
      <c r="AB309" s="161"/>
      <c r="AC309" s="161"/>
    </row>
    <row r="310" spans="1:29" ht="18" customHeight="1" x14ac:dyDescent="0.2">
      <c r="A310" s="166"/>
      <c r="B310" s="198"/>
      <c r="C310" s="198"/>
      <c r="D310" s="152"/>
      <c r="E310" s="152"/>
      <c r="F310" s="192" t="s">
        <v>9</v>
      </c>
      <c r="G310" s="193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0" s="190"/>
      <c r="I310" s="194">
        <v>36</v>
      </c>
      <c r="J310" s="195" t="s">
        <v>110</v>
      </c>
      <c r="K310" s="193">
        <f>K305/$K$2/8*I310</f>
        <v>5080.645161290322</v>
      </c>
      <c r="L310" s="199"/>
      <c r="M310" s="162"/>
      <c r="N310" s="184"/>
      <c r="O310" s="179" t="s">
        <v>102</v>
      </c>
      <c r="P310" s="179">
        <v>28</v>
      </c>
      <c r="Q310" s="179">
        <v>1</v>
      </c>
      <c r="R310" s="179">
        <f t="shared" ref="R310:R320" si="97">IF(Q310="","",R309-Q310)</f>
        <v>13</v>
      </c>
      <c r="S310" s="159"/>
      <c r="T310" s="179" t="s">
        <v>102</v>
      </c>
      <c r="U310" s="185">
        <f t="shared" ref="U310:U311" si="98">Y309</f>
        <v>3000</v>
      </c>
      <c r="V310" s="181"/>
      <c r="W310" s="185">
        <f t="shared" ref="W310:W320" si="99">IF(U310="","",U310+V310)</f>
        <v>3000</v>
      </c>
      <c r="X310" s="181">
        <v>1500</v>
      </c>
      <c r="Y310" s="185">
        <f t="shared" ref="Y310:Y320" si="100">IF(W310="","",W310-X310)</f>
        <v>1500</v>
      </c>
      <c r="Z310" s="186"/>
      <c r="AA310" s="161"/>
      <c r="AB310" s="161"/>
      <c r="AC310" s="161"/>
    </row>
    <row r="311" spans="1:29" ht="18" customHeight="1" x14ac:dyDescent="0.2">
      <c r="A311" s="166"/>
      <c r="B311" s="192" t="s">
        <v>94</v>
      </c>
      <c r="C311" s="198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1" s="152"/>
      <c r="E311" s="152"/>
      <c r="F311" s="192" t="s">
        <v>111</v>
      </c>
      <c r="G311" s="193" t="str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/>
      </c>
      <c r="H311" s="190"/>
      <c r="I311" s="446" t="s">
        <v>112</v>
      </c>
      <c r="J311" s="413"/>
      <c r="K311" s="193">
        <f>K309+K310</f>
        <v>40080.645161290318</v>
      </c>
      <c r="L311" s="199"/>
      <c r="M311" s="161"/>
      <c r="N311" s="178"/>
      <c r="O311" s="179" t="s">
        <v>105</v>
      </c>
      <c r="P311" s="179">
        <v>30</v>
      </c>
      <c r="Q311" s="179">
        <v>1</v>
      </c>
      <c r="R311" s="179">
        <f t="shared" si="97"/>
        <v>12</v>
      </c>
      <c r="S311" s="159"/>
      <c r="T311" s="179" t="s">
        <v>105</v>
      </c>
      <c r="U311" s="185">
        <f t="shared" si="98"/>
        <v>1500</v>
      </c>
      <c r="V311" s="181"/>
      <c r="W311" s="185">
        <f t="shared" si="99"/>
        <v>1500</v>
      </c>
      <c r="X311" s="181">
        <v>1500</v>
      </c>
      <c r="Y311" s="185">
        <f t="shared" si="100"/>
        <v>0</v>
      </c>
      <c r="Z311" s="186"/>
      <c r="AA311" s="161"/>
      <c r="AB311" s="161"/>
      <c r="AC311" s="161"/>
    </row>
    <row r="312" spans="1:29" ht="18" customHeight="1" x14ac:dyDescent="0.2">
      <c r="A312" s="166"/>
      <c r="B312" s="192" t="s">
        <v>95</v>
      </c>
      <c r="C312" s="198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2" s="152"/>
      <c r="E312" s="152"/>
      <c r="F312" s="192" t="s">
        <v>11</v>
      </c>
      <c r="G312" s="193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2" s="190"/>
      <c r="I312" s="446" t="s">
        <v>114</v>
      </c>
      <c r="J312" s="413"/>
      <c r="K312" s="193">
        <f>G312</f>
        <v>0</v>
      </c>
      <c r="L312" s="199"/>
      <c r="M312" s="161"/>
      <c r="N312" s="178"/>
      <c r="O312" s="179" t="s">
        <v>106</v>
      </c>
      <c r="P312" s="179">
        <v>25</v>
      </c>
      <c r="Q312" s="179">
        <v>5</v>
      </c>
      <c r="R312" s="179">
        <f t="shared" si="97"/>
        <v>7</v>
      </c>
      <c r="S312" s="159"/>
      <c r="T312" s="179" t="s">
        <v>106</v>
      </c>
      <c r="U312" s="185">
        <f>IF($J$1="March","",Y311)</f>
        <v>0</v>
      </c>
      <c r="V312" s="181"/>
      <c r="W312" s="185">
        <f t="shared" si="99"/>
        <v>0</v>
      </c>
      <c r="X312" s="181"/>
      <c r="Y312" s="185">
        <f t="shared" si="100"/>
        <v>0</v>
      </c>
      <c r="Z312" s="186"/>
      <c r="AA312" s="161"/>
      <c r="AB312" s="161"/>
      <c r="AC312" s="161"/>
    </row>
    <row r="313" spans="1:29" ht="18" customHeight="1" x14ac:dyDescent="0.2">
      <c r="A313" s="166"/>
      <c r="B313" s="207" t="s">
        <v>116</v>
      </c>
      <c r="C313" s="198" t="str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/>
      </c>
      <c r="D313" s="152"/>
      <c r="E313" s="152"/>
      <c r="F313" s="207" t="s">
        <v>117</v>
      </c>
      <c r="G313" s="193" t="str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/>
      </c>
      <c r="H313" s="152"/>
      <c r="I313" s="439" t="s">
        <v>13</v>
      </c>
      <c r="J313" s="413"/>
      <c r="K313" s="37">
        <f>K311-K312</f>
        <v>40080.645161290318</v>
      </c>
      <c r="L313" s="183"/>
      <c r="M313" s="161"/>
      <c r="N313" s="178"/>
      <c r="O313" s="179" t="s">
        <v>109</v>
      </c>
      <c r="P313" s="179">
        <v>30</v>
      </c>
      <c r="Q313" s="179">
        <v>1</v>
      </c>
      <c r="R313" s="179">
        <f t="shared" si="97"/>
        <v>6</v>
      </c>
      <c r="S313" s="159"/>
      <c r="T313" s="179" t="s">
        <v>109</v>
      </c>
      <c r="U313" s="185">
        <f>IF($J$1="April","",Y312)</f>
        <v>0</v>
      </c>
      <c r="V313" s="181"/>
      <c r="W313" s="185">
        <f t="shared" si="99"/>
        <v>0</v>
      </c>
      <c r="X313" s="181"/>
      <c r="Y313" s="185">
        <f t="shared" si="100"/>
        <v>0</v>
      </c>
      <c r="Z313" s="186"/>
      <c r="AA313" s="161"/>
      <c r="AB313" s="161"/>
      <c r="AC313" s="161"/>
    </row>
    <row r="314" spans="1:29" ht="18" customHeight="1" x14ac:dyDescent="0.2">
      <c r="A314" s="166"/>
      <c r="B314" s="152"/>
      <c r="C314" s="152"/>
      <c r="D314" s="152"/>
      <c r="E314" s="152"/>
      <c r="F314" s="152"/>
      <c r="G314" s="152"/>
      <c r="H314" s="152"/>
      <c r="I314" s="434"/>
      <c r="J314" s="435"/>
      <c r="K314" s="154"/>
      <c r="L314" s="189"/>
      <c r="M314" s="161"/>
      <c r="N314" s="178"/>
      <c r="O314" s="179" t="s">
        <v>85</v>
      </c>
      <c r="P314" s="179">
        <v>30</v>
      </c>
      <c r="Q314" s="179">
        <v>0</v>
      </c>
      <c r="R314" s="179">
        <f t="shared" si="97"/>
        <v>6</v>
      </c>
      <c r="S314" s="159"/>
      <c r="T314" s="179" t="s">
        <v>85</v>
      </c>
      <c r="U314" s="185">
        <f>Y313</f>
        <v>0</v>
      </c>
      <c r="V314" s="181"/>
      <c r="W314" s="185">
        <f t="shared" si="99"/>
        <v>0</v>
      </c>
      <c r="X314" s="181"/>
      <c r="Y314" s="185">
        <f t="shared" si="100"/>
        <v>0</v>
      </c>
      <c r="Z314" s="186"/>
      <c r="AA314" s="161"/>
      <c r="AB314" s="161"/>
      <c r="AC314" s="161"/>
    </row>
    <row r="315" spans="1:29" ht="18" customHeight="1" x14ac:dyDescent="0.3">
      <c r="A315" s="166"/>
      <c r="B315" s="150"/>
      <c r="C315" s="150"/>
      <c r="D315" s="150"/>
      <c r="E315" s="150"/>
      <c r="F315" s="150"/>
      <c r="G315" s="150"/>
      <c r="H315" s="150"/>
      <c r="I315" s="434"/>
      <c r="J315" s="435"/>
      <c r="K315" s="154"/>
      <c r="L315" s="189"/>
      <c r="M315" s="161"/>
      <c r="N315" s="178"/>
      <c r="O315" s="179" t="s">
        <v>113</v>
      </c>
      <c r="P315" s="179">
        <v>30</v>
      </c>
      <c r="Q315" s="179">
        <v>1</v>
      </c>
      <c r="R315" s="179">
        <f t="shared" si="97"/>
        <v>5</v>
      </c>
      <c r="S315" s="159"/>
      <c r="T315" s="179" t="s">
        <v>113</v>
      </c>
      <c r="U315" s="185">
        <f>IF($J$1="June","",Y314)</f>
        <v>0</v>
      </c>
      <c r="V315" s="181"/>
      <c r="W315" s="185">
        <f t="shared" si="99"/>
        <v>0</v>
      </c>
      <c r="X315" s="181"/>
      <c r="Y315" s="185">
        <f t="shared" si="100"/>
        <v>0</v>
      </c>
      <c r="Z315" s="186"/>
      <c r="AA315" s="161"/>
      <c r="AB315" s="161"/>
      <c r="AC315" s="161"/>
    </row>
    <row r="316" spans="1:29" ht="18" customHeight="1" thickBot="1" x14ac:dyDescent="0.35">
      <c r="A316" s="200"/>
      <c r="B316" s="201"/>
      <c r="C316" s="201"/>
      <c r="D316" s="201"/>
      <c r="E316" s="201"/>
      <c r="F316" s="201"/>
      <c r="G316" s="201"/>
      <c r="H316" s="201"/>
      <c r="I316" s="201"/>
      <c r="J316" s="201"/>
      <c r="K316" s="201"/>
      <c r="L316" s="202"/>
      <c r="M316" s="161"/>
      <c r="N316" s="178"/>
      <c r="O316" s="179" t="s">
        <v>115</v>
      </c>
      <c r="P316" s="179"/>
      <c r="Q316" s="179"/>
      <c r="R316" s="179" t="str">
        <f t="shared" si="97"/>
        <v/>
      </c>
      <c r="S316" s="159"/>
      <c r="T316" s="179" t="s">
        <v>115</v>
      </c>
      <c r="U316" s="185"/>
      <c r="V316" s="181"/>
      <c r="W316" s="185" t="str">
        <f t="shared" si="99"/>
        <v/>
      </c>
      <c r="X316" s="181"/>
      <c r="Y316" s="185" t="str">
        <f t="shared" si="100"/>
        <v/>
      </c>
      <c r="Z316" s="186"/>
      <c r="AA316" s="161"/>
      <c r="AB316" s="161"/>
      <c r="AC316" s="161"/>
    </row>
    <row r="317" spans="1:29" ht="18" customHeight="1" thickBot="1" x14ac:dyDescent="0.25">
      <c r="A317" s="203"/>
      <c r="B317" s="203"/>
      <c r="C317" s="203"/>
      <c r="D317" s="203"/>
      <c r="E317" s="203"/>
      <c r="F317" s="203"/>
      <c r="G317" s="203"/>
      <c r="H317" s="203"/>
      <c r="I317" s="203"/>
      <c r="J317" s="203"/>
      <c r="K317" s="203"/>
      <c r="L317" s="203"/>
      <c r="M317" s="161"/>
      <c r="N317" s="178"/>
      <c r="O317" s="179" t="s">
        <v>118</v>
      </c>
      <c r="P317" s="179"/>
      <c r="Q317" s="179"/>
      <c r="R317" s="179" t="str">
        <f t="shared" si="97"/>
        <v/>
      </c>
      <c r="S317" s="159"/>
      <c r="T317" s="179" t="s">
        <v>118</v>
      </c>
      <c r="U317" s="185"/>
      <c r="V317" s="181"/>
      <c r="W317" s="185" t="str">
        <f t="shared" si="99"/>
        <v/>
      </c>
      <c r="X317" s="181"/>
      <c r="Y317" s="185" t="str">
        <f t="shared" si="100"/>
        <v/>
      </c>
      <c r="Z317" s="186"/>
      <c r="AA317" s="161"/>
      <c r="AB317" s="161"/>
      <c r="AC317" s="161"/>
    </row>
    <row r="318" spans="1:29" ht="18" customHeight="1" thickBot="1" x14ac:dyDescent="0.25">
      <c r="A318" s="447" t="s">
        <v>89</v>
      </c>
      <c r="B318" s="453"/>
      <c r="C318" s="453"/>
      <c r="D318" s="453"/>
      <c r="E318" s="453"/>
      <c r="F318" s="453"/>
      <c r="G318" s="453"/>
      <c r="H318" s="453"/>
      <c r="I318" s="453"/>
      <c r="J318" s="453"/>
      <c r="K318" s="453"/>
      <c r="L318" s="454"/>
      <c r="M318" s="161"/>
      <c r="N318" s="178"/>
      <c r="O318" s="179" t="s">
        <v>119</v>
      </c>
      <c r="P318" s="179"/>
      <c r="Q318" s="179"/>
      <c r="R318" s="179" t="str">
        <f t="shared" si="97"/>
        <v/>
      </c>
      <c r="S318" s="159"/>
      <c r="T318" s="179" t="s">
        <v>119</v>
      </c>
      <c r="U318" s="185"/>
      <c r="V318" s="181"/>
      <c r="W318" s="185" t="str">
        <f t="shared" si="99"/>
        <v/>
      </c>
      <c r="X318" s="181"/>
      <c r="Y318" s="185" t="str">
        <f t="shared" si="100"/>
        <v/>
      </c>
      <c r="Z318" s="186"/>
      <c r="AA318" s="161"/>
      <c r="AB318" s="161"/>
      <c r="AC318" s="161"/>
    </row>
    <row r="319" spans="1:29" ht="18" customHeight="1" x14ac:dyDescent="0.2">
      <c r="A319" s="166"/>
      <c r="B319" s="152"/>
      <c r="C319" s="443" t="s">
        <v>163</v>
      </c>
      <c r="D319" s="435"/>
      <c r="E319" s="435"/>
      <c r="F319" s="435"/>
      <c r="G319" s="167" t="str">
        <f>$J$1</f>
        <v>August</v>
      </c>
      <c r="H319" s="444">
        <f>$K$1</f>
        <v>2024</v>
      </c>
      <c r="I319" s="435"/>
      <c r="J319" s="152"/>
      <c r="K319" s="168"/>
      <c r="L319" s="169"/>
      <c r="M319" s="161"/>
      <c r="N319" s="178"/>
      <c r="O319" s="179" t="s">
        <v>120</v>
      </c>
      <c r="P319" s="179"/>
      <c r="Q319" s="179"/>
      <c r="R319" s="179" t="str">
        <f t="shared" si="97"/>
        <v/>
      </c>
      <c r="S319" s="159"/>
      <c r="T319" s="179" t="s">
        <v>120</v>
      </c>
      <c r="U319" s="185"/>
      <c r="V319" s="181"/>
      <c r="W319" s="185" t="str">
        <f t="shared" si="99"/>
        <v/>
      </c>
      <c r="X319" s="181"/>
      <c r="Y319" s="185" t="str">
        <f t="shared" si="100"/>
        <v/>
      </c>
      <c r="Z319" s="186"/>
      <c r="AA319" s="161"/>
      <c r="AB319" s="161"/>
      <c r="AC319" s="161"/>
    </row>
    <row r="320" spans="1:29" ht="18" customHeight="1" x14ac:dyDescent="0.2">
      <c r="A320" s="166"/>
      <c r="B320" s="152"/>
      <c r="C320" s="152"/>
      <c r="D320" s="175"/>
      <c r="E320" s="175"/>
      <c r="F320" s="175"/>
      <c r="G320" s="175"/>
      <c r="H320" s="175"/>
      <c r="I320" s="152"/>
      <c r="J320" s="176" t="s">
        <v>99</v>
      </c>
      <c r="K320" s="154">
        <f>21000+6000</f>
        <v>27000</v>
      </c>
      <c r="L320" s="177"/>
      <c r="M320" s="161"/>
      <c r="N320" s="178"/>
      <c r="O320" s="179" t="s">
        <v>121</v>
      </c>
      <c r="P320" s="179"/>
      <c r="Q320" s="179"/>
      <c r="R320" s="179" t="str">
        <f t="shared" si="97"/>
        <v/>
      </c>
      <c r="S320" s="159"/>
      <c r="T320" s="179" t="s">
        <v>121</v>
      </c>
      <c r="U320" s="185"/>
      <c r="V320" s="181"/>
      <c r="W320" s="185" t="str">
        <f t="shared" si="99"/>
        <v/>
      </c>
      <c r="X320" s="181"/>
      <c r="Y320" s="185" t="str">
        <f t="shared" si="100"/>
        <v/>
      </c>
      <c r="Z320" s="186"/>
      <c r="AA320" s="161"/>
      <c r="AB320" s="161"/>
      <c r="AC320" s="161"/>
    </row>
    <row r="321" spans="1:29" ht="18" customHeight="1" thickBot="1" x14ac:dyDescent="0.25">
      <c r="A321" s="166"/>
      <c r="B321" s="152" t="s">
        <v>101</v>
      </c>
      <c r="C321" s="151" t="s">
        <v>164</v>
      </c>
      <c r="D321" s="152"/>
      <c r="E321" s="152"/>
      <c r="F321" s="152"/>
      <c r="G321" s="152"/>
      <c r="H321" s="182"/>
      <c r="I321" s="175"/>
      <c r="J321" s="152"/>
      <c r="K321" s="152"/>
      <c r="L321" s="183"/>
      <c r="M321" s="204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  <c r="AA321" s="204"/>
      <c r="AB321" s="204"/>
      <c r="AC321" s="204"/>
    </row>
    <row r="322" spans="1:29" ht="18" customHeight="1" x14ac:dyDescent="0.2">
      <c r="A322" s="166"/>
      <c r="B322" s="187" t="s">
        <v>103</v>
      </c>
      <c r="C322" s="188"/>
      <c r="D322" s="152"/>
      <c r="E322" s="152"/>
      <c r="F322" s="439" t="s">
        <v>91</v>
      </c>
      <c r="G322" s="413"/>
      <c r="H322" s="152"/>
      <c r="I322" s="439" t="s">
        <v>104</v>
      </c>
      <c r="J322" s="412"/>
      <c r="K322" s="413"/>
      <c r="L322" s="189"/>
      <c r="M322" s="162"/>
      <c r="N322" s="163"/>
      <c r="O322" s="440" t="s">
        <v>90</v>
      </c>
      <c r="P322" s="441"/>
      <c r="Q322" s="441"/>
      <c r="R322" s="442"/>
      <c r="S322" s="164"/>
      <c r="T322" s="440" t="s">
        <v>91</v>
      </c>
      <c r="U322" s="441"/>
      <c r="V322" s="441"/>
      <c r="W322" s="441"/>
      <c r="X322" s="441"/>
      <c r="Y322" s="442"/>
      <c r="Z322" s="165"/>
      <c r="AA322" s="161"/>
      <c r="AB322" s="161"/>
      <c r="AC322" s="161"/>
    </row>
    <row r="323" spans="1:29" ht="18" customHeight="1" x14ac:dyDescent="0.2">
      <c r="A323" s="166"/>
      <c r="B323" s="152"/>
      <c r="C323" s="152"/>
      <c r="D323" s="152"/>
      <c r="E323" s="152"/>
      <c r="F323" s="152"/>
      <c r="G323" s="152"/>
      <c r="H323" s="190"/>
      <c r="I323" s="152"/>
      <c r="J323" s="152"/>
      <c r="K323" s="152"/>
      <c r="L323" s="191"/>
      <c r="M323" s="170"/>
      <c r="N323" s="171"/>
      <c r="O323" s="172" t="s">
        <v>93</v>
      </c>
      <c r="P323" s="172" t="s">
        <v>94</v>
      </c>
      <c r="Q323" s="172" t="s">
        <v>95</v>
      </c>
      <c r="R323" s="172" t="s">
        <v>96</v>
      </c>
      <c r="S323" s="173"/>
      <c r="T323" s="172" t="s">
        <v>93</v>
      </c>
      <c r="U323" s="172" t="s">
        <v>97</v>
      </c>
      <c r="V323" s="172" t="s">
        <v>9</v>
      </c>
      <c r="W323" s="172" t="s">
        <v>10</v>
      </c>
      <c r="X323" s="172" t="s">
        <v>11</v>
      </c>
      <c r="Y323" s="172" t="s">
        <v>98</v>
      </c>
      <c r="Z323" s="174"/>
      <c r="AA323" s="161"/>
      <c r="AB323" s="161"/>
      <c r="AC323" s="161"/>
    </row>
    <row r="324" spans="1:29" ht="18" customHeight="1" x14ac:dyDescent="0.2">
      <c r="A324" s="166"/>
      <c r="B324" s="445" t="s">
        <v>90</v>
      </c>
      <c r="C324" s="413"/>
      <c r="D324" s="152"/>
      <c r="E324" s="152"/>
      <c r="F324" s="192" t="s">
        <v>107</v>
      </c>
      <c r="G324" s="193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0</v>
      </c>
      <c r="H324" s="190"/>
      <c r="I324" s="194">
        <f>IF(C328&gt;=C327,$K$2,C326+C328)</f>
        <v>31</v>
      </c>
      <c r="J324" s="195" t="s">
        <v>108</v>
      </c>
      <c r="K324" s="196">
        <f>K320/$K$2*I324</f>
        <v>27000</v>
      </c>
      <c r="L324" s="197"/>
      <c r="M324" s="161"/>
      <c r="N324" s="178"/>
      <c r="O324" s="179" t="s">
        <v>100</v>
      </c>
      <c r="P324" s="179">
        <v>30</v>
      </c>
      <c r="Q324" s="179">
        <v>1</v>
      </c>
      <c r="R324" s="179">
        <f>15-Q324</f>
        <v>14</v>
      </c>
      <c r="S324" s="180"/>
      <c r="T324" s="179" t="s">
        <v>100</v>
      </c>
      <c r="U324" s="181"/>
      <c r="V324" s="181"/>
      <c r="W324" s="181">
        <f>V324+U324</f>
        <v>0</v>
      </c>
      <c r="X324" s="181"/>
      <c r="Y324" s="181">
        <f>W324-X324</f>
        <v>0</v>
      </c>
      <c r="Z324" s="174"/>
      <c r="AA324" s="161"/>
      <c r="AB324" s="161"/>
      <c r="AC324" s="161"/>
    </row>
    <row r="325" spans="1:29" ht="18" customHeight="1" x14ac:dyDescent="0.2">
      <c r="A325" s="166"/>
      <c r="B325" s="198"/>
      <c r="C325" s="198"/>
      <c r="D325" s="152"/>
      <c r="E325" s="152"/>
      <c r="F325" s="192" t="s">
        <v>9</v>
      </c>
      <c r="G325" s="193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5" s="190"/>
      <c r="I325" s="194">
        <v>0</v>
      </c>
      <c r="J325" s="195" t="s">
        <v>110</v>
      </c>
      <c r="K325" s="193">
        <f>K320/$K$2/8*I325</f>
        <v>0</v>
      </c>
      <c r="L325" s="199"/>
      <c r="M325" s="162"/>
      <c r="N325" s="184"/>
      <c r="O325" s="179" t="s">
        <v>102</v>
      </c>
      <c r="P325" s="179">
        <v>27</v>
      </c>
      <c r="Q325" s="179">
        <v>2</v>
      </c>
      <c r="R325" s="179">
        <f t="shared" ref="R325:R334" si="101">IF(Q325="","",R324-Q325)</f>
        <v>12</v>
      </c>
      <c r="S325" s="159"/>
      <c r="T325" s="179" t="s">
        <v>102</v>
      </c>
      <c r="U325" s="185">
        <f>IF($J$1="January","",Y324)</f>
        <v>0</v>
      </c>
      <c r="V325" s="181"/>
      <c r="W325" s="185">
        <f t="shared" ref="W325:W335" si="102">IF(U325="","",U325+V325)</f>
        <v>0</v>
      </c>
      <c r="X325" s="181"/>
      <c r="Y325" s="185">
        <f t="shared" ref="Y325:Y335" si="103">IF(W325="","",W325-X325)</f>
        <v>0</v>
      </c>
      <c r="Z325" s="186"/>
      <c r="AA325" s="161"/>
      <c r="AB325" s="161"/>
      <c r="AC325" s="161"/>
    </row>
    <row r="326" spans="1:29" ht="18" customHeight="1" x14ac:dyDescent="0.2">
      <c r="A326" s="166"/>
      <c r="B326" s="192" t="s">
        <v>94</v>
      </c>
      <c r="C326" s="198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0</v>
      </c>
      <c r="D326" s="152"/>
      <c r="E326" s="152"/>
      <c r="F326" s="192" t="s">
        <v>111</v>
      </c>
      <c r="G326" s="193" t="str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/>
      </c>
      <c r="H326" s="190"/>
      <c r="I326" s="446" t="s">
        <v>112</v>
      </c>
      <c r="J326" s="413"/>
      <c r="K326" s="193">
        <f>K324+K325</f>
        <v>27000</v>
      </c>
      <c r="L326" s="199"/>
      <c r="M326" s="161"/>
      <c r="N326" s="178"/>
      <c r="O326" s="179" t="s">
        <v>105</v>
      </c>
      <c r="P326" s="179">
        <v>31</v>
      </c>
      <c r="Q326" s="179">
        <v>0</v>
      </c>
      <c r="R326" s="179">
        <f t="shared" si="101"/>
        <v>12</v>
      </c>
      <c r="S326" s="159"/>
      <c r="T326" s="179" t="s">
        <v>105</v>
      </c>
      <c r="U326" s="185">
        <f>IF($J$1="February","",Y325)</f>
        <v>0</v>
      </c>
      <c r="V326" s="181"/>
      <c r="W326" s="185">
        <f t="shared" si="102"/>
        <v>0</v>
      </c>
      <c r="X326" s="181"/>
      <c r="Y326" s="185">
        <f t="shared" si="103"/>
        <v>0</v>
      </c>
      <c r="Z326" s="186"/>
      <c r="AA326" s="161"/>
      <c r="AB326" s="161"/>
      <c r="AC326" s="161"/>
    </row>
    <row r="327" spans="1:29" ht="18" customHeight="1" x14ac:dyDescent="0.2">
      <c r="A327" s="166"/>
      <c r="B327" s="192" t="s">
        <v>95</v>
      </c>
      <c r="C327" s="198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27" s="152"/>
      <c r="E327" s="152"/>
      <c r="F327" s="192" t="s">
        <v>11</v>
      </c>
      <c r="G327" s="193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0</v>
      </c>
      <c r="H327" s="190"/>
      <c r="I327" s="446" t="s">
        <v>114</v>
      </c>
      <c r="J327" s="413"/>
      <c r="K327" s="193">
        <f>G327</f>
        <v>0</v>
      </c>
      <c r="L327" s="199"/>
      <c r="M327" s="161"/>
      <c r="N327" s="178"/>
      <c r="O327" s="179" t="s">
        <v>106</v>
      </c>
      <c r="P327" s="179">
        <v>29</v>
      </c>
      <c r="Q327" s="179">
        <v>1</v>
      </c>
      <c r="R327" s="179">
        <f t="shared" si="101"/>
        <v>11</v>
      </c>
      <c r="S327" s="159"/>
      <c r="T327" s="179" t="s">
        <v>106</v>
      </c>
      <c r="U327" s="185">
        <f>IF($J$1="March","",Y326)</f>
        <v>0</v>
      </c>
      <c r="V327" s="181"/>
      <c r="W327" s="185">
        <f t="shared" si="102"/>
        <v>0</v>
      </c>
      <c r="X327" s="181"/>
      <c r="Y327" s="185">
        <f t="shared" si="103"/>
        <v>0</v>
      </c>
      <c r="Z327" s="186"/>
      <c r="AA327" s="161"/>
      <c r="AB327" s="161"/>
      <c r="AC327" s="161"/>
    </row>
    <row r="328" spans="1:29" ht="18" customHeight="1" x14ac:dyDescent="0.2">
      <c r="A328" s="166"/>
      <c r="B328" s="207" t="s">
        <v>116</v>
      </c>
      <c r="C328" s="198" t="str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/>
      </c>
      <c r="D328" s="152"/>
      <c r="E328" s="152"/>
      <c r="F328" s="207" t="s">
        <v>117</v>
      </c>
      <c r="G328" s="193" t="str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/>
      </c>
      <c r="H328" s="152"/>
      <c r="I328" s="439" t="s">
        <v>13</v>
      </c>
      <c r="J328" s="413"/>
      <c r="K328" s="37">
        <f>K326-K327</f>
        <v>27000</v>
      </c>
      <c r="L328" s="183"/>
      <c r="M328" s="161"/>
      <c r="N328" s="178"/>
      <c r="O328" s="179" t="s">
        <v>109</v>
      </c>
      <c r="P328" s="179">
        <v>29</v>
      </c>
      <c r="Q328" s="179">
        <v>2</v>
      </c>
      <c r="R328" s="179">
        <f t="shared" si="101"/>
        <v>9</v>
      </c>
      <c r="S328" s="159"/>
      <c r="T328" s="179" t="s">
        <v>109</v>
      </c>
      <c r="U328" s="185">
        <f>IF($J$1="April","",Y327)</f>
        <v>0</v>
      </c>
      <c r="V328" s="181">
        <v>20000</v>
      </c>
      <c r="W328" s="185">
        <f t="shared" si="102"/>
        <v>20000</v>
      </c>
      <c r="X328" s="181">
        <v>2000</v>
      </c>
      <c r="Y328" s="185">
        <f t="shared" si="103"/>
        <v>18000</v>
      </c>
      <c r="Z328" s="186"/>
      <c r="AA328" s="161"/>
      <c r="AB328" s="161"/>
      <c r="AC328" s="161"/>
    </row>
    <row r="329" spans="1:29" ht="18" customHeight="1" x14ac:dyDescent="0.2">
      <c r="A329" s="166"/>
      <c r="B329" s="152"/>
      <c r="C329" s="152"/>
      <c r="D329" s="152"/>
      <c r="E329" s="152"/>
      <c r="F329" s="152"/>
      <c r="G329" s="152"/>
      <c r="H329" s="152"/>
      <c r="I329" s="434"/>
      <c r="J329" s="435"/>
      <c r="K329" s="154"/>
      <c r="L329" s="189"/>
      <c r="M329" s="161"/>
      <c r="N329" s="178"/>
      <c r="O329" s="179" t="s">
        <v>85</v>
      </c>
      <c r="P329" s="179">
        <v>29</v>
      </c>
      <c r="Q329" s="179">
        <v>1</v>
      </c>
      <c r="R329" s="179">
        <f t="shared" si="101"/>
        <v>8</v>
      </c>
      <c r="S329" s="159"/>
      <c r="T329" s="179" t="s">
        <v>85</v>
      </c>
      <c r="U329" s="185">
        <f>Y328</f>
        <v>18000</v>
      </c>
      <c r="V329" s="181"/>
      <c r="W329" s="185">
        <f t="shared" si="102"/>
        <v>18000</v>
      </c>
      <c r="X329" s="181">
        <v>2000</v>
      </c>
      <c r="Y329" s="185">
        <f t="shared" si="103"/>
        <v>16000</v>
      </c>
      <c r="Z329" s="186"/>
      <c r="AA329" s="161"/>
      <c r="AB329" s="161"/>
      <c r="AC329" s="161"/>
    </row>
    <row r="330" spans="1:29" ht="18" customHeight="1" x14ac:dyDescent="0.3">
      <c r="A330" s="166"/>
      <c r="B330" s="150"/>
      <c r="C330" s="150"/>
      <c r="D330" s="150"/>
      <c r="E330" s="150"/>
      <c r="F330" s="150"/>
      <c r="G330" s="150"/>
      <c r="H330" s="150"/>
      <c r="I330" s="434"/>
      <c r="J330" s="435"/>
      <c r="K330" s="154"/>
      <c r="L330" s="189"/>
      <c r="M330" s="161"/>
      <c r="N330" s="178"/>
      <c r="O330" s="179" t="s">
        <v>113</v>
      </c>
      <c r="P330" s="179">
        <v>29</v>
      </c>
      <c r="Q330" s="179">
        <v>2</v>
      </c>
      <c r="R330" s="179">
        <f t="shared" si="101"/>
        <v>6</v>
      </c>
      <c r="S330" s="159"/>
      <c r="T330" s="179" t="s">
        <v>113</v>
      </c>
      <c r="U330" s="185">
        <f>Y329</f>
        <v>16000</v>
      </c>
      <c r="V330" s="181"/>
      <c r="W330" s="185">
        <f t="shared" si="102"/>
        <v>16000</v>
      </c>
      <c r="X330" s="181">
        <v>2000</v>
      </c>
      <c r="Y330" s="185">
        <f t="shared" si="103"/>
        <v>14000</v>
      </c>
      <c r="Z330" s="186"/>
      <c r="AA330" s="161"/>
      <c r="AB330" s="161"/>
      <c r="AC330" s="161"/>
    </row>
    <row r="331" spans="1:29" ht="18" customHeight="1" thickBot="1" x14ac:dyDescent="0.35">
      <c r="A331" s="200"/>
      <c r="B331" s="201"/>
      <c r="C331" s="201"/>
      <c r="D331" s="201"/>
      <c r="E331" s="201"/>
      <c r="F331" s="201"/>
      <c r="G331" s="201"/>
      <c r="H331" s="201"/>
      <c r="I331" s="201"/>
      <c r="J331" s="201"/>
      <c r="K331" s="201"/>
      <c r="L331" s="202"/>
      <c r="M331" s="161"/>
      <c r="N331" s="178"/>
      <c r="O331" s="179" t="s">
        <v>115</v>
      </c>
      <c r="P331" s="179"/>
      <c r="Q331" s="179"/>
      <c r="R331" s="179" t="str">
        <f t="shared" si="101"/>
        <v/>
      </c>
      <c r="S331" s="159"/>
      <c r="T331" s="179" t="s">
        <v>115</v>
      </c>
      <c r="U331" s="185"/>
      <c r="V331" s="181"/>
      <c r="W331" s="185" t="str">
        <f t="shared" si="102"/>
        <v/>
      </c>
      <c r="X331" s="181"/>
      <c r="Y331" s="185" t="str">
        <f t="shared" si="103"/>
        <v/>
      </c>
      <c r="Z331" s="186"/>
      <c r="AA331" s="161"/>
      <c r="AB331" s="161"/>
      <c r="AC331" s="161"/>
    </row>
    <row r="332" spans="1:29" ht="18" customHeight="1" thickBot="1" x14ac:dyDescent="0.25">
      <c r="A332" s="203"/>
      <c r="B332" s="203"/>
      <c r="C332" s="203"/>
      <c r="D332" s="203"/>
      <c r="E332" s="203"/>
      <c r="F332" s="203"/>
      <c r="G332" s="203"/>
      <c r="H332" s="203"/>
      <c r="I332" s="203"/>
      <c r="J332" s="203"/>
      <c r="K332" s="203"/>
      <c r="L332" s="203"/>
      <c r="M332" s="161"/>
      <c r="N332" s="178"/>
      <c r="O332" s="179" t="s">
        <v>118</v>
      </c>
      <c r="P332" s="179"/>
      <c r="Q332" s="179"/>
      <c r="R332" s="179" t="str">
        <f t="shared" si="101"/>
        <v/>
      </c>
      <c r="S332" s="159"/>
      <c r="T332" s="179" t="s">
        <v>118</v>
      </c>
      <c r="U332" s="185" t="str">
        <f>IF($J$1="September",Y331,"")</f>
        <v/>
      </c>
      <c r="V332" s="181"/>
      <c r="W332" s="185" t="str">
        <f t="shared" si="102"/>
        <v/>
      </c>
      <c r="X332" s="181"/>
      <c r="Y332" s="185" t="str">
        <f t="shared" si="103"/>
        <v/>
      </c>
      <c r="Z332" s="186"/>
      <c r="AA332" s="161"/>
      <c r="AB332" s="161"/>
      <c r="AC332" s="161"/>
    </row>
    <row r="333" spans="1:29" ht="18" customHeight="1" thickBot="1" x14ac:dyDescent="0.25">
      <c r="A333" s="447" t="s">
        <v>89</v>
      </c>
      <c r="B333" s="453"/>
      <c r="C333" s="453"/>
      <c r="D333" s="453"/>
      <c r="E333" s="453"/>
      <c r="F333" s="453"/>
      <c r="G333" s="453"/>
      <c r="H333" s="453"/>
      <c r="I333" s="453"/>
      <c r="J333" s="453"/>
      <c r="K333" s="453"/>
      <c r="L333" s="454"/>
      <c r="M333" s="161"/>
      <c r="N333" s="178"/>
      <c r="O333" s="179" t="s">
        <v>119</v>
      </c>
      <c r="P333" s="179"/>
      <c r="Q333" s="179"/>
      <c r="R333" s="179" t="str">
        <f t="shared" si="101"/>
        <v/>
      </c>
      <c r="S333" s="159"/>
      <c r="T333" s="179" t="s">
        <v>119</v>
      </c>
      <c r="U333" s="185" t="str">
        <f t="shared" ref="U333:U334" si="104">Y332</f>
        <v/>
      </c>
      <c r="V333" s="181"/>
      <c r="W333" s="185" t="str">
        <f t="shared" si="102"/>
        <v/>
      </c>
      <c r="X333" s="181"/>
      <c r="Y333" s="185" t="str">
        <f t="shared" si="103"/>
        <v/>
      </c>
      <c r="Z333" s="186"/>
      <c r="AA333" s="161"/>
      <c r="AB333" s="161"/>
      <c r="AC333" s="161"/>
    </row>
    <row r="334" spans="1:29" ht="18" customHeight="1" x14ac:dyDescent="0.2">
      <c r="A334" s="166"/>
      <c r="B334" s="152"/>
      <c r="C334" s="443" t="s">
        <v>165</v>
      </c>
      <c r="D334" s="435"/>
      <c r="E334" s="435"/>
      <c r="F334" s="435"/>
      <c r="G334" s="167" t="str">
        <f>$J$1</f>
        <v>August</v>
      </c>
      <c r="H334" s="444">
        <f>$K$1</f>
        <v>2024</v>
      </c>
      <c r="I334" s="435"/>
      <c r="J334" s="152"/>
      <c r="K334" s="168"/>
      <c r="L334" s="169"/>
      <c r="M334" s="161"/>
      <c r="N334" s="178"/>
      <c r="O334" s="179" t="s">
        <v>120</v>
      </c>
      <c r="P334" s="179"/>
      <c r="Q334" s="179"/>
      <c r="R334" s="179" t="str">
        <f t="shared" si="101"/>
        <v/>
      </c>
      <c r="S334" s="159"/>
      <c r="T334" s="179" t="s">
        <v>120</v>
      </c>
      <c r="U334" s="185" t="str">
        <f t="shared" si="104"/>
        <v/>
      </c>
      <c r="V334" s="181"/>
      <c r="W334" s="185" t="str">
        <f t="shared" si="102"/>
        <v/>
      </c>
      <c r="X334" s="181"/>
      <c r="Y334" s="185" t="str">
        <f t="shared" si="103"/>
        <v/>
      </c>
      <c r="Z334" s="186"/>
      <c r="AA334" s="161"/>
      <c r="AB334" s="161"/>
      <c r="AC334" s="161"/>
    </row>
    <row r="335" spans="1:29" ht="18" customHeight="1" x14ac:dyDescent="0.2">
      <c r="A335" s="166"/>
      <c r="B335" s="152"/>
      <c r="C335" s="152"/>
      <c r="D335" s="175"/>
      <c r="E335" s="175"/>
      <c r="F335" s="175"/>
      <c r="G335" s="175"/>
      <c r="H335" s="175"/>
      <c r="I335" s="152"/>
      <c r="J335" s="176" t="s">
        <v>99</v>
      </c>
      <c r="K335" s="154">
        <f>20000+5000</f>
        <v>25000</v>
      </c>
      <c r="L335" s="177"/>
      <c r="M335" s="161"/>
      <c r="N335" s="178"/>
      <c r="O335" s="179" t="s">
        <v>121</v>
      </c>
      <c r="P335" s="179"/>
      <c r="Q335" s="179"/>
      <c r="R335" s="179">
        <v>0</v>
      </c>
      <c r="S335" s="159"/>
      <c r="T335" s="179" t="s">
        <v>121</v>
      </c>
      <c r="U335" s="185">
        <v>0</v>
      </c>
      <c r="V335" s="181"/>
      <c r="W335" s="185">
        <f t="shared" si="102"/>
        <v>0</v>
      </c>
      <c r="X335" s="181"/>
      <c r="Y335" s="185">
        <f t="shared" si="103"/>
        <v>0</v>
      </c>
      <c r="Z335" s="186"/>
      <c r="AA335" s="161"/>
      <c r="AB335" s="161"/>
      <c r="AC335" s="161"/>
    </row>
    <row r="336" spans="1:29" ht="18" customHeight="1" thickBot="1" x14ac:dyDescent="0.25">
      <c r="A336" s="166"/>
      <c r="B336" s="152" t="s">
        <v>101</v>
      </c>
      <c r="C336" s="151" t="s">
        <v>166</v>
      </c>
      <c r="D336" s="152"/>
      <c r="E336" s="152"/>
      <c r="F336" s="152"/>
      <c r="G336" s="152"/>
      <c r="H336" s="182"/>
      <c r="I336" s="175"/>
      <c r="J336" s="152"/>
      <c r="K336" s="152"/>
      <c r="L336" s="183"/>
      <c r="M336" s="204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  <c r="AA336" s="204"/>
      <c r="AB336" s="204"/>
      <c r="AC336" s="204"/>
    </row>
    <row r="337" spans="1:29" ht="18" customHeight="1" x14ac:dyDescent="0.2">
      <c r="A337" s="166"/>
      <c r="B337" s="187" t="s">
        <v>103</v>
      </c>
      <c r="C337" s="188"/>
      <c r="D337" s="152"/>
      <c r="E337" s="152"/>
      <c r="F337" s="439" t="s">
        <v>91</v>
      </c>
      <c r="G337" s="413"/>
      <c r="H337" s="152"/>
      <c r="I337" s="439" t="s">
        <v>104</v>
      </c>
      <c r="J337" s="412"/>
      <c r="K337" s="413"/>
      <c r="L337" s="189"/>
      <c r="M337" s="162"/>
      <c r="N337" s="163"/>
      <c r="O337" s="440" t="s">
        <v>90</v>
      </c>
      <c r="P337" s="441"/>
      <c r="Q337" s="441"/>
      <c r="R337" s="442"/>
      <c r="S337" s="164"/>
      <c r="T337" s="440" t="s">
        <v>91</v>
      </c>
      <c r="U337" s="441"/>
      <c r="V337" s="441"/>
      <c r="W337" s="441"/>
      <c r="X337" s="441"/>
      <c r="Y337" s="442"/>
      <c r="Z337" s="165"/>
      <c r="AA337" s="162"/>
      <c r="AB337" s="161"/>
      <c r="AC337" s="161"/>
    </row>
    <row r="338" spans="1:29" ht="18" customHeight="1" x14ac:dyDescent="0.2">
      <c r="A338" s="166"/>
      <c r="B338" s="152"/>
      <c r="C338" s="152"/>
      <c r="D338" s="152"/>
      <c r="E338" s="152"/>
      <c r="F338" s="152"/>
      <c r="G338" s="152"/>
      <c r="H338" s="190"/>
      <c r="I338" s="152"/>
      <c r="J338" s="152"/>
      <c r="K338" s="152"/>
      <c r="L338" s="191"/>
      <c r="M338" s="170"/>
      <c r="N338" s="171"/>
      <c r="O338" s="172" t="s">
        <v>93</v>
      </c>
      <c r="P338" s="172" t="s">
        <v>94</v>
      </c>
      <c r="Q338" s="172" t="s">
        <v>95</v>
      </c>
      <c r="R338" s="172" t="s">
        <v>96</v>
      </c>
      <c r="S338" s="173"/>
      <c r="T338" s="172" t="s">
        <v>93</v>
      </c>
      <c r="U338" s="172" t="s">
        <v>97</v>
      </c>
      <c r="V338" s="172" t="s">
        <v>9</v>
      </c>
      <c r="W338" s="172" t="s">
        <v>10</v>
      </c>
      <c r="X338" s="172" t="s">
        <v>11</v>
      </c>
      <c r="Y338" s="172" t="s">
        <v>98</v>
      </c>
      <c r="Z338" s="174"/>
      <c r="AA338" s="170"/>
      <c r="AB338" s="161"/>
      <c r="AC338" s="161"/>
    </row>
    <row r="339" spans="1:29" ht="18" customHeight="1" x14ac:dyDescent="0.2">
      <c r="A339" s="166"/>
      <c r="B339" s="445" t="s">
        <v>90</v>
      </c>
      <c r="C339" s="413"/>
      <c r="D339" s="152"/>
      <c r="E339" s="152"/>
      <c r="F339" s="192" t="s">
        <v>107</v>
      </c>
      <c r="G339" s="193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39" s="190"/>
      <c r="I339" s="194">
        <f>IF(C343&gt;=C342,$K$2,C341+C343)</f>
        <v>31</v>
      </c>
      <c r="J339" s="195" t="s">
        <v>108</v>
      </c>
      <c r="K339" s="196">
        <f>K335/$K$2*I339</f>
        <v>25000</v>
      </c>
      <c r="L339" s="197"/>
      <c r="M339" s="161"/>
      <c r="N339" s="178"/>
      <c r="O339" s="179" t="s">
        <v>100</v>
      </c>
      <c r="P339" s="179">
        <v>30</v>
      </c>
      <c r="Q339" s="179">
        <v>1</v>
      </c>
      <c r="R339" s="179">
        <f>15-Q339</f>
        <v>14</v>
      </c>
      <c r="S339" s="180"/>
      <c r="T339" s="179" t="s">
        <v>100</v>
      </c>
      <c r="U339" s="181">
        <v>20000</v>
      </c>
      <c r="V339" s="181"/>
      <c r="W339" s="181">
        <f>V339+U339</f>
        <v>20000</v>
      </c>
      <c r="X339" s="181">
        <v>2000</v>
      </c>
      <c r="Y339" s="181">
        <f t="shared" ref="Y339:Y340" si="105">W339-X339</f>
        <v>18000</v>
      </c>
      <c r="Z339" s="174"/>
      <c r="AA339" s="161"/>
      <c r="AB339" s="161"/>
      <c r="AC339" s="161"/>
    </row>
    <row r="340" spans="1:29" ht="18" customHeight="1" x14ac:dyDescent="0.2">
      <c r="A340" s="166"/>
      <c r="B340" s="198"/>
      <c r="C340" s="198"/>
      <c r="D340" s="152"/>
      <c r="E340" s="152"/>
      <c r="F340" s="192" t="s">
        <v>9</v>
      </c>
      <c r="G340" s="193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0" s="190"/>
      <c r="I340" s="194"/>
      <c r="J340" s="195" t="s">
        <v>110</v>
      </c>
      <c r="K340" s="193">
        <f>K335/$K$2/8*I340</f>
        <v>0</v>
      </c>
      <c r="L340" s="199"/>
      <c r="M340" s="162"/>
      <c r="N340" s="184"/>
      <c r="O340" s="179" t="s">
        <v>102</v>
      </c>
      <c r="P340" s="179">
        <v>28</v>
      </c>
      <c r="Q340" s="179">
        <v>1</v>
      </c>
      <c r="R340" s="179">
        <f t="shared" ref="R340:R350" si="106">IF(Q340="","",R339-Q340)</f>
        <v>13</v>
      </c>
      <c r="S340" s="159"/>
      <c r="T340" s="179" t="s">
        <v>102</v>
      </c>
      <c r="U340" s="185">
        <f t="shared" ref="U340:U341" si="107">Y339</f>
        <v>18000</v>
      </c>
      <c r="V340" s="181"/>
      <c r="W340" s="185">
        <f t="shared" ref="W340:W350" si="108">IF(U340="","",U340+V340)</f>
        <v>18000</v>
      </c>
      <c r="X340" s="181">
        <v>2000</v>
      </c>
      <c r="Y340" s="181">
        <f t="shared" si="105"/>
        <v>16000</v>
      </c>
      <c r="Z340" s="186"/>
      <c r="AA340" s="162"/>
      <c r="AB340" s="161"/>
      <c r="AC340" s="161"/>
    </row>
    <row r="341" spans="1:29" ht="18" customHeight="1" x14ac:dyDescent="0.2">
      <c r="A341" s="166"/>
      <c r="B341" s="192" t="s">
        <v>94</v>
      </c>
      <c r="C341" s="198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0</v>
      </c>
      <c r="D341" s="152"/>
      <c r="E341" s="152"/>
      <c r="F341" s="192" t="s">
        <v>111</v>
      </c>
      <c r="G341" s="193" t="str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/>
      </c>
      <c r="H341" s="190"/>
      <c r="I341" s="446" t="s">
        <v>112</v>
      </c>
      <c r="J341" s="413"/>
      <c r="K341" s="193">
        <f>K339+K340</f>
        <v>25000</v>
      </c>
      <c r="L341" s="199"/>
      <c r="M341" s="161"/>
      <c r="N341" s="178"/>
      <c r="O341" s="179" t="s">
        <v>105</v>
      </c>
      <c r="P341" s="179">
        <v>30</v>
      </c>
      <c r="Q341" s="179">
        <v>1</v>
      </c>
      <c r="R341" s="179">
        <f t="shared" si="106"/>
        <v>12</v>
      </c>
      <c r="S341" s="159"/>
      <c r="T341" s="179" t="s">
        <v>105</v>
      </c>
      <c r="U341" s="185">
        <f t="shared" si="107"/>
        <v>16000</v>
      </c>
      <c r="V341" s="181"/>
      <c r="W341" s="185">
        <f t="shared" si="108"/>
        <v>16000</v>
      </c>
      <c r="X341" s="181">
        <v>2000</v>
      </c>
      <c r="Y341" s="185">
        <f t="shared" ref="Y341:Y350" si="109">IF(W341="","",W341-X341)</f>
        <v>14000</v>
      </c>
      <c r="Z341" s="186"/>
      <c r="AA341" s="161"/>
      <c r="AB341" s="161"/>
      <c r="AC341" s="161"/>
    </row>
    <row r="342" spans="1:29" ht="18" customHeight="1" x14ac:dyDescent="0.2">
      <c r="A342" s="166"/>
      <c r="B342" s="192" t="s">
        <v>95</v>
      </c>
      <c r="C342" s="198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2" s="152"/>
      <c r="E342" s="152"/>
      <c r="F342" s="192" t="s">
        <v>11</v>
      </c>
      <c r="G342" s="193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2" s="190"/>
      <c r="I342" s="446" t="s">
        <v>114</v>
      </c>
      <c r="J342" s="413"/>
      <c r="K342" s="193">
        <f>G342</f>
        <v>0</v>
      </c>
      <c r="L342" s="199"/>
      <c r="M342" s="161"/>
      <c r="N342" s="178"/>
      <c r="O342" s="179" t="s">
        <v>106</v>
      </c>
      <c r="P342" s="179">
        <v>29</v>
      </c>
      <c r="Q342" s="179">
        <v>1</v>
      </c>
      <c r="R342" s="179">
        <f t="shared" si="106"/>
        <v>11</v>
      </c>
      <c r="S342" s="159"/>
      <c r="T342" s="179" t="s">
        <v>106</v>
      </c>
      <c r="U342" s="185">
        <f>IF($J$1="March","",Y341)</f>
        <v>14000</v>
      </c>
      <c r="V342" s="181"/>
      <c r="W342" s="185">
        <f t="shared" si="108"/>
        <v>14000</v>
      </c>
      <c r="X342" s="181">
        <v>2000</v>
      </c>
      <c r="Y342" s="185">
        <f t="shared" si="109"/>
        <v>12000</v>
      </c>
      <c r="Z342" s="186"/>
      <c r="AA342" s="161"/>
      <c r="AB342" s="161"/>
      <c r="AC342" s="161"/>
    </row>
    <row r="343" spans="1:29" ht="18" customHeight="1" x14ac:dyDescent="0.2">
      <c r="A343" s="166"/>
      <c r="B343" s="207" t="s">
        <v>116</v>
      </c>
      <c r="C343" s="198" t="str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/>
      </c>
      <c r="D343" s="152"/>
      <c r="E343" s="152"/>
      <c r="F343" s="207" t="s">
        <v>117</v>
      </c>
      <c r="G343" s="193" t="str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/>
      </c>
      <c r="H343" s="152"/>
      <c r="I343" s="439" t="s">
        <v>13</v>
      </c>
      <c r="J343" s="413"/>
      <c r="K343" s="37">
        <f>K341-K342</f>
        <v>25000</v>
      </c>
      <c r="L343" s="183"/>
      <c r="M343" s="161"/>
      <c r="N343" s="178"/>
      <c r="O343" s="179" t="s">
        <v>109</v>
      </c>
      <c r="P343" s="179">
        <v>29</v>
      </c>
      <c r="Q343" s="179">
        <v>2</v>
      </c>
      <c r="R343" s="179">
        <f t="shared" si="106"/>
        <v>9</v>
      </c>
      <c r="S343" s="159"/>
      <c r="T343" s="179" t="s">
        <v>109</v>
      </c>
      <c r="U343" s="185">
        <f t="shared" ref="U343:U344" si="110">Y342</f>
        <v>12000</v>
      </c>
      <c r="V343" s="181"/>
      <c r="W343" s="185">
        <f t="shared" si="108"/>
        <v>12000</v>
      </c>
      <c r="X343" s="181">
        <v>2000</v>
      </c>
      <c r="Y343" s="185">
        <f t="shared" si="109"/>
        <v>10000</v>
      </c>
      <c r="Z343" s="186"/>
      <c r="AA343" s="161"/>
      <c r="AB343" s="161"/>
      <c r="AC343" s="161"/>
    </row>
    <row r="344" spans="1:29" ht="18" customHeight="1" x14ac:dyDescent="0.2">
      <c r="A344" s="166"/>
      <c r="B344" s="152"/>
      <c r="C344" s="152"/>
      <c r="D344" s="152"/>
      <c r="E344" s="152"/>
      <c r="F344" s="152"/>
      <c r="G344" s="152"/>
      <c r="H344" s="152"/>
      <c r="I344" s="434"/>
      <c r="J344" s="435"/>
      <c r="K344" s="154"/>
      <c r="L344" s="189"/>
      <c r="M344" s="161"/>
      <c r="N344" s="178"/>
      <c r="O344" s="179" t="s">
        <v>85</v>
      </c>
      <c r="P344" s="179">
        <v>29</v>
      </c>
      <c r="Q344" s="179">
        <v>1</v>
      </c>
      <c r="R344" s="179">
        <f t="shared" si="106"/>
        <v>8</v>
      </c>
      <c r="S344" s="159"/>
      <c r="T344" s="179" t="s">
        <v>85</v>
      </c>
      <c r="U344" s="185">
        <f t="shared" si="110"/>
        <v>10000</v>
      </c>
      <c r="V344" s="181"/>
      <c r="W344" s="185">
        <f t="shared" si="108"/>
        <v>10000</v>
      </c>
      <c r="X344" s="181">
        <v>2000</v>
      </c>
      <c r="Y344" s="185">
        <f t="shared" si="109"/>
        <v>8000</v>
      </c>
      <c r="Z344" s="186"/>
      <c r="AA344" s="161"/>
      <c r="AB344" s="161"/>
      <c r="AC344" s="161"/>
    </row>
    <row r="345" spans="1:29" ht="18" customHeight="1" x14ac:dyDescent="0.3">
      <c r="A345" s="166"/>
      <c r="B345" s="150"/>
      <c r="C345" s="150"/>
      <c r="D345" s="150"/>
      <c r="E345" s="150"/>
      <c r="F345" s="150"/>
      <c r="G345" s="150"/>
      <c r="H345" s="150"/>
      <c r="I345" s="434"/>
      <c r="J345" s="435"/>
      <c r="K345" s="154"/>
      <c r="L345" s="189"/>
      <c r="M345" s="161"/>
      <c r="N345" s="178"/>
      <c r="O345" s="179" t="s">
        <v>113</v>
      </c>
      <c r="P345" s="179">
        <v>30</v>
      </c>
      <c r="Q345" s="179">
        <v>1</v>
      </c>
      <c r="R345" s="179">
        <f t="shared" si="106"/>
        <v>7</v>
      </c>
      <c r="S345" s="159"/>
      <c r="T345" s="179" t="s">
        <v>113</v>
      </c>
      <c r="U345" s="185">
        <f>Y344</f>
        <v>8000</v>
      </c>
      <c r="V345" s="181">
        <v>15000</v>
      </c>
      <c r="W345" s="185">
        <f t="shared" si="108"/>
        <v>23000</v>
      </c>
      <c r="X345" s="181">
        <v>2000</v>
      </c>
      <c r="Y345" s="185">
        <f t="shared" si="109"/>
        <v>21000</v>
      </c>
      <c r="Z345" s="186"/>
      <c r="AA345" s="161"/>
      <c r="AB345" s="161"/>
      <c r="AC345" s="161"/>
    </row>
    <row r="346" spans="1:29" ht="18" customHeight="1" thickBot="1" x14ac:dyDescent="0.35">
      <c r="A346" s="200"/>
      <c r="B346" s="201"/>
      <c r="C346" s="201"/>
      <c r="D346" s="201"/>
      <c r="E346" s="201"/>
      <c r="F346" s="201"/>
      <c r="G346" s="201"/>
      <c r="H346" s="201"/>
      <c r="I346" s="201"/>
      <c r="J346" s="201"/>
      <c r="K346" s="201"/>
      <c r="L346" s="202"/>
      <c r="M346" s="161"/>
      <c r="N346" s="178"/>
      <c r="O346" s="179" t="s">
        <v>115</v>
      </c>
      <c r="P346" s="179"/>
      <c r="Q346" s="179"/>
      <c r="R346" s="179" t="str">
        <f t="shared" si="106"/>
        <v/>
      </c>
      <c r="S346" s="159"/>
      <c r="T346" s="179" t="s">
        <v>115</v>
      </c>
      <c r="U346" s="185"/>
      <c r="V346" s="181"/>
      <c r="W346" s="185" t="str">
        <f t="shared" si="108"/>
        <v/>
      </c>
      <c r="X346" s="181"/>
      <c r="Y346" s="185" t="str">
        <f t="shared" si="109"/>
        <v/>
      </c>
      <c r="Z346" s="186"/>
      <c r="AA346" s="161"/>
      <c r="AB346" s="161"/>
      <c r="AC346" s="161"/>
    </row>
    <row r="347" spans="1:29" ht="18" customHeight="1" thickBot="1" x14ac:dyDescent="0.25">
      <c r="A347" s="203"/>
      <c r="B347" s="203"/>
      <c r="C347" s="203"/>
      <c r="D347" s="203"/>
      <c r="E347" s="203"/>
      <c r="F347" s="203"/>
      <c r="G347" s="203"/>
      <c r="H347" s="203"/>
      <c r="I347" s="203"/>
      <c r="J347" s="203"/>
      <c r="K347" s="203"/>
      <c r="L347" s="203"/>
      <c r="M347" s="161"/>
      <c r="N347" s="178"/>
      <c r="O347" s="179" t="s">
        <v>118</v>
      </c>
      <c r="P347" s="179"/>
      <c r="Q347" s="179"/>
      <c r="R347" s="179" t="str">
        <f t="shared" si="106"/>
        <v/>
      </c>
      <c r="S347" s="159"/>
      <c r="T347" s="179" t="s">
        <v>118</v>
      </c>
      <c r="U347" s="185"/>
      <c r="V347" s="181"/>
      <c r="W347" s="185" t="str">
        <f t="shared" si="108"/>
        <v/>
      </c>
      <c r="X347" s="181"/>
      <c r="Y347" s="185" t="str">
        <f t="shared" si="109"/>
        <v/>
      </c>
      <c r="Z347" s="186"/>
      <c r="AA347" s="161"/>
      <c r="AB347" s="161"/>
      <c r="AC347" s="161"/>
    </row>
    <row r="348" spans="1:29" ht="18" customHeight="1" x14ac:dyDescent="0.2">
      <c r="A348" s="455" t="s">
        <v>89</v>
      </c>
      <c r="B348" s="437"/>
      <c r="C348" s="437"/>
      <c r="D348" s="437"/>
      <c r="E348" s="437"/>
      <c r="F348" s="437"/>
      <c r="G348" s="437"/>
      <c r="H348" s="437"/>
      <c r="I348" s="437"/>
      <c r="J348" s="437"/>
      <c r="K348" s="437"/>
      <c r="L348" s="438"/>
      <c r="M348" s="161"/>
      <c r="N348" s="178"/>
      <c r="O348" s="179" t="s">
        <v>119</v>
      </c>
      <c r="P348" s="179"/>
      <c r="Q348" s="179"/>
      <c r="R348" s="179" t="str">
        <f t="shared" si="106"/>
        <v/>
      </c>
      <c r="S348" s="159"/>
      <c r="T348" s="179" t="s">
        <v>119</v>
      </c>
      <c r="U348" s="185"/>
      <c r="V348" s="181"/>
      <c r="W348" s="185" t="str">
        <f t="shared" si="108"/>
        <v/>
      </c>
      <c r="X348" s="181"/>
      <c r="Y348" s="185" t="str">
        <f t="shared" si="109"/>
        <v/>
      </c>
      <c r="Z348" s="186"/>
      <c r="AA348" s="161"/>
      <c r="AB348" s="161"/>
      <c r="AC348" s="161"/>
    </row>
    <row r="349" spans="1:29" ht="18" customHeight="1" x14ac:dyDescent="0.2">
      <c r="A349" s="166"/>
      <c r="B349" s="152"/>
      <c r="C349" s="443" t="s">
        <v>167</v>
      </c>
      <c r="D349" s="435"/>
      <c r="E349" s="435"/>
      <c r="F349" s="435"/>
      <c r="G349" s="167" t="str">
        <f>$J$1</f>
        <v>August</v>
      </c>
      <c r="H349" s="444">
        <f>$K$1</f>
        <v>2024</v>
      </c>
      <c r="I349" s="435"/>
      <c r="J349" s="152"/>
      <c r="K349" s="168"/>
      <c r="L349" s="169"/>
      <c r="M349" s="161"/>
      <c r="N349" s="178"/>
      <c r="O349" s="179" t="s">
        <v>120</v>
      </c>
      <c r="P349" s="179"/>
      <c r="Q349" s="179"/>
      <c r="R349" s="179" t="str">
        <f t="shared" si="106"/>
        <v/>
      </c>
      <c r="S349" s="159"/>
      <c r="T349" s="179" t="s">
        <v>120</v>
      </c>
      <c r="U349" s="185"/>
      <c r="V349" s="181"/>
      <c r="W349" s="185" t="str">
        <f t="shared" si="108"/>
        <v/>
      </c>
      <c r="X349" s="181"/>
      <c r="Y349" s="185" t="str">
        <f t="shared" si="109"/>
        <v/>
      </c>
      <c r="Z349" s="186"/>
      <c r="AA349" s="161"/>
      <c r="AB349" s="161"/>
      <c r="AC349" s="161"/>
    </row>
    <row r="350" spans="1:29" ht="18" customHeight="1" x14ac:dyDescent="0.2">
      <c r="A350" s="166"/>
      <c r="B350" s="152"/>
      <c r="C350" s="152"/>
      <c r="D350" s="175"/>
      <c r="E350" s="175"/>
      <c r="F350" s="175"/>
      <c r="G350" s="175"/>
      <c r="H350" s="175"/>
      <c r="I350" s="152"/>
      <c r="J350" s="176" t="s">
        <v>99</v>
      </c>
      <c r="K350" s="154">
        <v>25000</v>
      </c>
      <c r="L350" s="177"/>
      <c r="M350" s="161"/>
      <c r="N350" s="178"/>
      <c r="O350" s="179" t="s">
        <v>121</v>
      </c>
      <c r="P350" s="179"/>
      <c r="Q350" s="179"/>
      <c r="R350" s="179" t="str">
        <f t="shared" si="106"/>
        <v/>
      </c>
      <c r="S350" s="159"/>
      <c r="T350" s="179" t="s">
        <v>121</v>
      </c>
      <c r="U350" s="185"/>
      <c r="V350" s="181"/>
      <c r="W350" s="185" t="str">
        <f t="shared" si="108"/>
        <v/>
      </c>
      <c r="X350" s="181"/>
      <c r="Y350" s="185" t="str">
        <f t="shared" si="109"/>
        <v/>
      </c>
      <c r="Z350" s="186"/>
      <c r="AA350" s="161"/>
      <c r="AB350" s="161"/>
      <c r="AC350" s="161"/>
    </row>
    <row r="351" spans="1:29" ht="18" customHeight="1" thickBot="1" x14ac:dyDescent="0.25">
      <c r="A351" s="166"/>
      <c r="B351" s="152" t="s">
        <v>101</v>
      </c>
      <c r="C351" s="151" t="s">
        <v>168</v>
      </c>
      <c r="D351" s="152"/>
      <c r="E351" s="152"/>
      <c r="F351" s="152"/>
      <c r="G351" s="152"/>
      <c r="H351" s="182"/>
      <c r="I351" s="175"/>
      <c r="J351" s="152"/>
      <c r="K351" s="152"/>
      <c r="L351" s="183"/>
      <c r="M351" s="204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  <c r="AA351" s="204"/>
      <c r="AB351" s="204"/>
      <c r="AC351" s="204"/>
    </row>
    <row r="352" spans="1:29" ht="18" customHeight="1" x14ac:dyDescent="0.2">
      <c r="A352" s="166"/>
      <c r="B352" s="187" t="s">
        <v>103</v>
      </c>
      <c r="C352" s="188"/>
      <c r="D352" s="152"/>
      <c r="E352" s="152"/>
      <c r="F352" s="439" t="s">
        <v>91</v>
      </c>
      <c r="G352" s="413"/>
      <c r="H352" s="152"/>
      <c r="I352" s="439" t="s">
        <v>104</v>
      </c>
      <c r="J352" s="412"/>
      <c r="K352" s="413"/>
      <c r="L352" s="189"/>
      <c r="M352" s="162"/>
      <c r="N352" s="163"/>
      <c r="O352" s="440" t="s">
        <v>90</v>
      </c>
      <c r="P352" s="441"/>
      <c r="Q352" s="441"/>
      <c r="R352" s="442"/>
      <c r="S352" s="164"/>
      <c r="T352" s="440" t="s">
        <v>91</v>
      </c>
      <c r="U352" s="441"/>
      <c r="V352" s="441"/>
      <c r="W352" s="441"/>
      <c r="X352" s="441"/>
      <c r="Y352" s="442"/>
      <c r="Z352" s="159"/>
      <c r="AA352" s="161"/>
      <c r="AB352" s="161"/>
      <c r="AC352" s="161"/>
    </row>
    <row r="353" spans="1:29" ht="18" customHeight="1" x14ac:dyDescent="0.2">
      <c r="A353" s="166"/>
      <c r="B353" s="152"/>
      <c r="C353" s="152"/>
      <c r="D353" s="152"/>
      <c r="E353" s="152"/>
      <c r="F353" s="152"/>
      <c r="G353" s="152"/>
      <c r="H353" s="190"/>
      <c r="I353" s="152"/>
      <c r="J353" s="152"/>
      <c r="K353" s="152"/>
      <c r="L353" s="191"/>
      <c r="M353" s="170"/>
      <c r="N353" s="171"/>
      <c r="O353" s="172" t="s">
        <v>93</v>
      </c>
      <c r="P353" s="172" t="s">
        <v>94</v>
      </c>
      <c r="Q353" s="172" t="s">
        <v>95</v>
      </c>
      <c r="R353" s="172" t="s">
        <v>96</v>
      </c>
      <c r="S353" s="173"/>
      <c r="T353" s="172" t="s">
        <v>93</v>
      </c>
      <c r="U353" s="172" t="s">
        <v>97</v>
      </c>
      <c r="V353" s="172" t="s">
        <v>9</v>
      </c>
      <c r="W353" s="172" t="s">
        <v>10</v>
      </c>
      <c r="X353" s="172" t="s">
        <v>11</v>
      </c>
      <c r="Y353" s="172" t="s">
        <v>98</v>
      </c>
      <c r="Z353" s="159"/>
      <c r="AA353" s="161"/>
      <c r="AB353" s="161"/>
      <c r="AC353" s="161"/>
    </row>
    <row r="354" spans="1:29" ht="18" customHeight="1" x14ac:dyDescent="0.2">
      <c r="A354" s="166"/>
      <c r="B354" s="445" t="s">
        <v>90</v>
      </c>
      <c r="C354" s="413"/>
      <c r="D354" s="152"/>
      <c r="E354" s="152"/>
      <c r="F354" s="192" t="s">
        <v>107</v>
      </c>
      <c r="G354" s="193" t="str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/>
      </c>
      <c r="H354" s="190"/>
      <c r="I354" s="194">
        <f>IF(C358&gt;0,$K$2,C356)</f>
        <v>31</v>
      </c>
      <c r="J354" s="195" t="s">
        <v>108</v>
      </c>
      <c r="K354" s="196">
        <f>K350/$K$2*I354</f>
        <v>25000</v>
      </c>
      <c r="L354" s="197"/>
      <c r="M354" s="161"/>
      <c r="N354" s="178"/>
      <c r="O354" s="179" t="s">
        <v>100</v>
      </c>
      <c r="P354" s="179">
        <v>31</v>
      </c>
      <c r="Q354" s="179">
        <v>0</v>
      </c>
      <c r="R354" s="179">
        <v>0</v>
      </c>
      <c r="S354" s="180"/>
      <c r="T354" s="179" t="s">
        <v>100</v>
      </c>
      <c r="U354" s="181"/>
      <c r="V354" s="181"/>
      <c r="W354" s="181">
        <f>V354+U354</f>
        <v>0</v>
      </c>
      <c r="X354" s="181"/>
      <c r="Y354" s="181">
        <f>W354-X354</f>
        <v>0</v>
      </c>
      <c r="Z354" s="159"/>
      <c r="AA354" s="161"/>
      <c r="AB354" s="161"/>
      <c r="AC354" s="161"/>
    </row>
    <row r="355" spans="1:29" ht="18" customHeight="1" x14ac:dyDescent="0.2">
      <c r="A355" s="166"/>
      <c r="B355" s="198"/>
      <c r="C355" s="198"/>
      <c r="D355" s="152"/>
      <c r="E355" s="152"/>
      <c r="F355" s="192" t="s">
        <v>9</v>
      </c>
      <c r="G355" s="193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5" s="190"/>
      <c r="I355" s="194">
        <v>8</v>
      </c>
      <c r="J355" s="195" t="s">
        <v>110</v>
      </c>
      <c r="K355" s="193">
        <f>K350/$K$2/8*I355</f>
        <v>806.45161290322585</v>
      </c>
      <c r="L355" s="199"/>
      <c r="M355" s="162"/>
      <c r="N355" s="184"/>
      <c r="O355" s="179" t="s">
        <v>102</v>
      </c>
      <c r="P355" s="179">
        <v>29</v>
      </c>
      <c r="Q355" s="179">
        <v>0</v>
      </c>
      <c r="R355" s="179">
        <v>0</v>
      </c>
      <c r="S355" s="159"/>
      <c r="T355" s="179" t="s">
        <v>102</v>
      </c>
      <c r="U355" s="185">
        <f>Y354</f>
        <v>0</v>
      </c>
      <c r="V355" s="181"/>
      <c r="W355" s="185">
        <f t="shared" ref="W355:W365" si="111">IF(U355="","",U355+V355)</f>
        <v>0</v>
      </c>
      <c r="X355" s="181"/>
      <c r="Y355" s="185">
        <f t="shared" ref="Y355:Y365" si="112">IF(W355="","",W355-X355)</f>
        <v>0</v>
      </c>
      <c r="Z355" s="159"/>
      <c r="AA355" s="161"/>
      <c r="AB355" s="161"/>
      <c r="AC355" s="161"/>
    </row>
    <row r="356" spans="1:29" ht="18" customHeight="1" x14ac:dyDescent="0.2">
      <c r="A356" s="166"/>
      <c r="B356" s="192" t="s">
        <v>94</v>
      </c>
      <c r="C356" s="198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0</v>
      </c>
      <c r="D356" s="152"/>
      <c r="E356" s="152"/>
      <c r="F356" s="192" t="s">
        <v>111</v>
      </c>
      <c r="G356" s="193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56" s="190"/>
      <c r="I356" s="446" t="s">
        <v>112</v>
      </c>
      <c r="J356" s="413"/>
      <c r="K356" s="193">
        <f>K354+K355</f>
        <v>25806.451612903227</v>
      </c>
      <c r="L356" s="199"/>
      <c r="M356" s="161"/>
      <c r="N356" s="178"/>
      <c r="O356" s="179" t="s">
        <v>105</v>
      </c>
      <c r="P356" s="179">
        <v>31</v>
      </c>
      <c r="Q356" s="179">
        <v>0</v>
      </c>
      <c r="R356" s="179">
        <v>0</v>
      </c>
      <c r="S356" s="159"/>
      <c r="T356" s="179" t="s">
        <v>105</v>
      </c>
      <c r="U356" s="185">
        <f t="shared" ref="U356:U357" si="113">IF($J$1="April",Y355,Y355)</f>
        <v>0</v>
      </c>
      <c r="V356" s="181"/>
      <c r="W356" s="185">
        <f t="shared" si="111"/>
        <v>0</v>
      </c>
      <c r="X356" s="181"/>
      <c r="Y356" s="185">
        <f t="shared" si="112"/>
        <v>0</v>
      </c>
      <c r="Z356" s="159"/>
      <c r="AA356" s="161"/>
      <c r="AB356" s="161"/>
      <c r="AC356" s="161"/>
    </row>
    <row r="357" spans="1:29" ht="18" customHeight="1" x14ac:dyDescent="0.2">
      <c r="A357" s="166"/>
      <c r="B357" s="192" t="s">
        <v>95</v>
      </c>
      <c r="C357" s="198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57" s="152"/>
      <c r="E357" s="152"/>
      <c r="F357" s="192" t="s">
        <v>11</v>
      </c>
      <c r="G357" s="193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57" s="190"/>
      <c r="I357" s="446" t="s">
        <v>114</v>
      </c>
      <c r="J357" s="413"/>
      <c r="K357" s="193">
        <f>G357</f>
        <v>0</v>
      </c>
      <c r="L357" s="199"/>
      <c r="M357" s="161"/>
      <c r="N357" s="178"/>
      <c r="O357" s="179" t="s">
        <v>106</v>
      </c>
      <c r="P357" s="179">
        <v>30</v>
      </c>
      <c r="Q357" s="179">
        <v>0</v>
      </c>
      <c r="R357" s="179">
        <f t="shared" ref="R357:R358" si="114">IF(Q357="","",R356-Q357)</f>
        <v>0</v>
      </c>
      <c r="S357" s="159"/>
      <c r="T357" s="179" t="s">
        <v>106</v>
      </c>
      <c r="U357" s="185">
        <f t="shared" si="113"/>
        <v>0</v>
      </c>
      <c r="V357" s="181"/>
      <c r="W357" s="185">
        <f t="shared" si="111"/>
        <v>0</v>
      </c>
      <c r="X357" s="181"/>
      <c r="Y357" s="185">
        <f t="shared" si="112"/>
        <v>0</v>
      </c>
      <c r="Z357" s="159"/>
      <c r="AA357" s="161"/>
      <c r="AB357" s="161"/>
      <c r="AC357" s="161"/>
    </row>
    <row r="358" spans="1:29" ht="18" customHeight="1" x14ac:dyDescent="0.2">
      <c r="A358" s="166"/>
      <c r="B358" s="215" t="s">
        <v>116</v>
      </c>
      <c r="C358" s="198" t="str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/>
      </c>
      <c r="D358" s="152"/>
      <c r="E358" s="152"/>
      <c r="F358" s="192" t="s">
        <v>169</v>
      </c>
      <c r="G358" s="193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58" s="152"/>
      <c r="I358" s="439" t="s">
        <v>13</v>
      </c>
      <c r="J358" s="413"/>
      <c r="K358" s="37">
        <f>K356-K357</f>
        <v>25806.451612903227</v>
      </c>
      <c r="L358" s="183"/>
      <c r="M358" s="161"/>
      <c r="N358" s="178"/>
      <c r="O358" s="179" t="s">
        <v>109</v>
      </c>
      <c r="P358" s="179">
        <v>31</v>
      </c>
      <c r="Q358" s="179">
        <v>0</v>
      </c>
      <c r="R358" s="179">
        <f t="shared" si="114"/>
        <v>0</v>
      </c>
      <c r="S358" s="159"/>
      <c r="T358" s="179" t="s">
        <v>109</v>
      </c>
      <c r="U358" s="185">
        <f t="shared" ref="U358:U359" si="115">IF($J$1="May",Y357,Y357)</f>
        <v>0</v>
      </c>
      <c r="V358" s="181"/>
      <c r="W358" s="185">
        <f t="shared" si="111"/>
        <v>0</v>
      </c>
      <c r="X358" s="181"/>
      <c r="Y358" s="185">
        <f t="shared" si="112"/>
        <v>0</v>
      </c>
      <c r="Z358" s="159"/>
      <c r="AA358" s="161"/>
      <c r="AB358" s="161"/>
      <c r="AC358" s="161"/>
    </row>
    <row r="359" spans="1:29" ht="18" customHeight="1" x14ac:dyDescent="0.2">
      <c r="A359" s="166"/>
      <c r="B359" s="152"/>
      <c r="C359" s="152"/>
      <c r="D359" s="152"/>
      <c r="E359" s="152"/>
      <c r="F359" s="152"/>
      <c r="G359" s="152"/>
      <c r="H359" s="152"/>
      <c r="I359" s="434"/>
      <c r="J359" s="435"/>
      <c r="K359" s="154"/>
      <c r="L359" s="189"/>
      <c r="M359" s="161"/>
      <c r="N359" s="178"/>
      <c r="O359" s="179" t="s">
        <v>85</v>
      </c>
      <c r="P359" s="179">
        <v>29</v>
      </c>
      <c r="Q359" s="179">
        <v>1</v>
      </c>
      <c r="R359" s="179">
        <v>0</v>
      </c>
      <c r="S359" s="159"/>
      <c r="T359" s="179" t="s">
        <v>85</v>
      </c>
      <c r="U359" s="185">
        <f t="shared" si="115"/>
        <v>0</v>
      </c>
      <c r="V359" s="181"/>
      <c r="W359" s="185">
        <f t="shared" si="111"/>
        <v>0</v>
      </c>
      <c r="X359" s="181"/>
      <c r="Y359" s="185">
        <f t="shared" si="112"/>
        <v>0</v>
      </c>
      <c r="Z359" s="159"/>
      <c r="AA359" s="161"/>
      <c r="AB359" s="161"/>
      <c r="AC359" s="161"/>
    </row>
    <row r="360" spans="1:29" ht="18" customHeight="1" x14ac:dyDescent="0.3">
      <c r="A360" s="166"/>
      <c r="B360" s="150"/>
      <c r="C360" s="150"/>
      <c r="D360" s="150"/>
      <c r="E360" s="150"/>
      <c r="F360" s="150"/>
      <c r="G360" s="150"/>
      <c r="H360" s="150"/>
      <c r="I360" s="434"/>
      <c r="J360" s="435"/>
      <c r="K360" s="154"/>
      <c r="L360" s="189"/>
      <c r="M360" s="161"/>
      <c r="N360" s="178"/>
      <c r="O360" s="179" t="s">
        <v>113</v>
      </c>
      <c r="P360" s="179">
        <v>31</v>
      </c>
      <c r="Q360" s="179">
        <v>0</v>
      </c>
      <c r="R360" s="179">
        <f t="shared" ref="R360:R365" si="116">IF(Q360="","",R359-Q360)</f>
        <v>0</v>
      </c>
      <c r="S360" s="159"/>
      <c r="T360" s="179" t="s">
        <v>113</v>
      </c>
      <c r="U360" s="185" t="str">
        <f>IF($J$1="July",Y359,"")</f>
        <v/>
      </c>
      <c r="V360" s="181"/>
      <c r="W360" s="185" t="str">
        <f t="shared" si="111"/>
        <v/>
      </c>
      <c r="X360" s="181"/>
      <c r="Y360" s="185" t="str">
        <f t="shared" si="112"/>
        <v/>
      </c>
      <c r="Z360" s="159"/>
      <c r="AA360" s="161"/>
      <c r="AB360" s="161"/>
      <c r="AC360" s="161"/>
    </row>
    <row r="361" spans="1:29" ht="18" customHeight="1" x14ac:dyDescent="0.3">
      <c r="A361" s="166"/>
      <c r="B361" s="150"/>
      <c r="C361" s="150"/>
      <c r="D361" s="150"/>
      <c r="E361" s="150"/>
      <c r="F361" s="150"/>
      <c r="G361" s="150"/>
      <c r="H361" s="150"/>
      <c r="I361" s="150"/>
      <c r="J361" s="150"/>
      <c r="K361" s="150"/>
      <c r="L361" s="189"/>
      <c r="M361" s="161"/>
      <c r="N361" s="178"/>
      <c r="O361" s="179" t="s">
        <v>115</v>
      </c>
      <c r="P361" s="179"/>
      <c r="Q361" s="179"/>
      <c r="R361" s="179" t="str">
        <f t="shared" si="116"/>
        <v/>
      </c>
      <c r="S361" s="159"/>
      <c r="T361" s="179" t="s">
        <v>115</v>
      </c>
      <c r="U361" s="185" t="str">
        <f>IF($J$1="August",Y360,"")</f>
        <v/>
      </c>
      <c r="V361" s="181"/>
      <c r="W361" s="185" t="str">
        <f t="shared" si="111"/>
        <v/>
      </c>
      <c r="X361" s="181"/>
      <c r="Y361" s="185" t="str">
        <f t="shared" si="112"/>
        <v/>
      </c>
      <c r="Z361" s="159"/>
      <c r="AA361" s="161"/>
      <c r="AB361" s="161"/>
      <c r="AC361" s="161"/>
    </row>
    <row r="362" spans="1:29" ht="18" customHeight="1" thickBot="1" x14ac:dyDescent="0.25">
      <c r="A362" s="200"/>
      <c r="B362" s="216"/>
      <c r="C362" s="216"/>
      <c r="D362" s="216"/>
      <c r="E362" s="216"/>
      <c r="F362" s="216"/>
      <c r="G362" s="216"/>
      <c r="H362" s="216"/>
      <c r="I362" s="216"/>
      <c r="J362" s="216"/>
      <c r="K362" s="216"/>
      <c r="L362" s="202"/>
      <c r="M362" s="161"/>
      <c r="N362" s="178"/>
      <c r="O362" s="179" t="s">
        <v>118</v>
      </c>
      <c r="P362" s="179"/>
      <c r="Q362" s="179"/>
      <c r="R362" s="179" t="str">
        <f t="shared" si="116"/>
        <v/>
      </c>
      <c r="S362" s="159"/>
      <c r="T362" s="179" t="s">
        <v>118</v>
      </c>
      <c r="U362" s="185" t="str">
        <f>IF($J$1="Sept",Y361,"")</f>
        <v/>
      </c>
      <c r="V362" s="181"/>
      <c r="W362" s="185" t="str">
        <f t="shared" si="111"/>
        <v/>
      </c>
      <c r="X362" s="181"/>
      <c r="Y362" s="185" t="str">
        <f t="shared" si="112"/>
        <v/>
      </c>
      <c r="Z362" s="159"/>
      <c r="AA362" s="161"/>
      <c r="AB362" s="161"/>
      <c r="AC362" s="161"/>
    </row>
    <row r="363" spans="1:29" ht="18" customHeight="1" thickBot="1" x14ac:dyDescent="0.35">
      <c r="A363" s="150"/>
      <c r="B363" s="150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61"/>
      <c r="N363" s="178"/>
      <c r="O363" s="179" t="s">
        <v>119</v>
      </c>
      <c r="P363" s="179"/>
      <c r="Q363" s="179"/>
      <c r="R363" s="179" t="str">
        <f t="shared" si="116"/>
        <v/>
      </c>
      <c r="S363" s="159"/>
      <c r="T363" s="179" t="s">
        <v>119</v>
      </c>
      <c r="U363" s="185" t="str">
        <f>IF($J$1="October",Y362,"")</f>
        <v/>
      </c>
      <c r="V363" s="181"/>
      <c r="W363" s="185" t="str">
        <f t="shared" si="111"/>
        <v/>
      </c>
      <c r="X363" s="181"/>
      <c r="Y363" s="185" t="str">
        <f t="shared" si="112"/>
        <v/>
      </c>
      <c r="Z363" s="159"/>
      <c r="AA363" s="161"/>
      <c r="AB363" s="161"/>
      <c r="AC363" s="161"/>
    </row>
    <row r="364" spans="1:29" ht="18" customHeight="1" thickBot="1" x14ac:dyDescent="0.25">
      <c r="A364" s="447" t="s">
        <v>89</v>
      </c>
      <c r="B364" s="453"/>
      <c r="C364" s="453"/>
      <c r="D364" s="453"/>
      <c r="E364" s="453"/>
      <c r="F364" s="453"/>
      <c r="G364" s="453"/>
      <c r="H364" s="453"/>
      <c r="I364" s="453"/>
      <c r="J364" s="453"/>
      <c r="K364" s="453"/>
      <c r="L364" s="454"/>
      <c r="M364" s="161"/>
      <c r="N364" s="178"/>
      <c r="O364" s="179" t="s">
        <v>120</v>
      </c>
      <c r="P364" s="179"/>
      <c r="Q364" s="179"/>
      <c r="R364" s="179" t="str">
        <f t="shared" si="116"/>
        <v/>
      </c>
      <c r="S364" s="159"/>
      <c r="T364" s="179" t="s">
        <v>120</v>
      </c>
      <c r="U364" s="185" t="str">
        <f>IF($J$1="November",Y363,"")</f>
        <v/>
      </c>
      <c r="V364" s="181"/>
      <c r="W364" s="185" t="str">
        <f t="shared" si="111"/>
        <v/>
      </c>
      <c r="X364" s="181"/>
      <c r="Y364" s="185" t="str">
        <f t="shared" si="112"/>
        <v/>
      </c>
      <c r="Z364" s="159"/>
      <c r="AA364" s="161"/>
      <c r="AB364" s="161"/>
      <c r="AC364" s="161"/>
    </row>
    <row r="365" spans="1:29" ht="18" customHeight="1" x14ac:dyDescent="0.2">
      <c r="A365" s="166"/>
      <c r="B365" s="152"/>
      <c r="C365" s="443" t="s">
        <v>170</v>
      </c>
      <c r="D365" s="435"/>
      <c r="E365" s="435"/>
      <c r="F365" s="435"/>
      <c r="G365" s="167" t="str">
        <f>$J$1</f>
        <v>August</v>
      </c>
      <c r="H365" s="444">
        <f>$K$1</f>
        <v>2024</v>
      </c>
      <c r="I365" s="435"/>
      <c r="J365" s="152"/>
      <c r="K365" s="168"/>
      <c r="L365" s="169"/>
      <c r="M365" s="161"/>
      <c r="N365" s="178"/>
      <c r="O365" s="179" t="s">
        <v>121</v>
      </c>
      <c r="P365" s="179"/>
      <c r="Q365" s="179"/>
      <c r="R365" s="179" t="str">
        <f t="shared" si="116"/>
        <v/>
      </c>
      <c r="S365" s="159"/>
      <c r="T365" s="179" t="s">
        <v>121</v>
      </c>
      <c r="U365" s="185" t="str">
        <f>IF($J$1="Dec",Y364,"")</f>
        <v/>
      </c>
      <c r="V365" s="181"/>
      <c r="W365" s="185" t="str">
        <f t="shared" si="111"/>
        <v/>
      </c>
      <c r="X365" s="181"/>
      <c r="Y365" s="185" t="str">
        <f t="shared" si="112"/>
        <v/>
      </c>
      <c r="Z365" s="159"/>
      <c r="AA365" s="161"/>
      <c r="AB365" s="161"/>
      <c r="AC365" s="161"/>
    </row>
    <row r="366" spans="1:29" ht="18" customHeight="1" thickBot="1" x14ac:dyDescent="0.25">
      <c r="A366" s="166"/>
      <c r="B366" s="152"/>
      <c r="C366" s="152"/>
      <c r="D366" s="175"/>
      <c r="E366" s="175"/>
      <c r="F366" s="175"/>
      <c r="G366" s="175"/>
      <c r="H366" s="175"/>
      <c r="I366" s="152"/>
      <c r="J366" s="176" t="s">
        <v>99</v>
      </c>
      <c r="K366" s="154">
        <f>25000+2000+4000</f>
        <v>31000</v>
      </c>
      <c r="L366" s="177"/>
      <c r="M366" s="161"/>
      <c r="N366" s="217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159"/>
      <c r="AA366" s="161"/>
      <c r="AB366" s="161"/>
      <c r="AC366" s="161"/>
    </row>
    <row r="367" spans="1:29" ht="18" customHeight="1" thickBot="1" x14ac:dyDescent="0.3">
      <c r="A367" s="166"/>
      <c r="B367" s="152" t="s">
        <v>101</v>
      </c>
      <c r="C367" s="151" t="s">
        <v>171</v>
      </c>
      <c r="D367" s="152"/>
      <c r="E367" s="152"/>
      <c r="F367" s="152"/>
      <c r="G367" s="152"/>
      <c r="H367" s="182"/>
      <c r="I367" s="175"/>
      <c r="J367" s="152"/>
      <c r="K367" s="152"/>
      <c r="L367" s="18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</row>
    <row r="368" spans="1:29" ht="18" customHeight="1" x14ac:dyDescent="0.2">
      <c r="A368" s="166"/>
      <c r="B368" s="187" t="s">
        <v>103</v>
      </c>
      <c r="C368" s="188"/>
      <c r="D368" s="152"/>
      <c r="E368" s="152"/>
      <c r="F368" s="439" t="s">
        <v>91</v>
      </c>
      <c r="G368" s="413"/>
      <c r="H368" s="152"/>
      <c r="I368" s="439" t="s">
        <v>104</v>
      </c>
      <c r="J368" s="412"/>
      <c r="K368" s="413"/>
      <c r="L368" s="189"/>
      <c r="M368" s="162"/>
      <c r="N368" s="163"/>
      <c r="O368" s="440" t="s">
        <v>90</v>
      </c>
      <c r="P368" s="441"/>
      <c r="Q368" s="441"/>
      <c r="R368" s="442"/>
      <c r="S368" s="164"/>
      <c r="T368" s="440" t="s">
        <v>91</v>
      </c>
      <c r="U368" s="441"/>
      <c r="V368" s="441"/>
      <c r="W368" s="441"/>
      <c r="X368" s="441"/>
      <c r="Y368" s="442"/>
      <c r="Z368" s="165"/>
      <c r="AA368" s="162"/>
      <c r="AB368" s="161"/>
      <c r="AC368" s="161"/>
    </row>
    <row r="369" spans="1:29" ht="18" customHeight="1" x14ac:dyDescent="0.2">
      <c r="A369" s="166"/>
      <c r="B369" s="152"/>
      <c r="C369" s="152"/>
      <c r="D369" s="152"/>
      <c r="E369" s="152"/>
      <c r="F369" s="152"/>
      <c r="G369" s="152"/>
      <c r="H369" s="190"/>
      <c r="I369" s="152"/>
      <c r="J369" s="152"/>
      <c r="K369" s="152"/>
      <c r="L369" s="191"/>
      <c r="M369" s="170"/>
      <c r="N369" s="171"/>
      <c r="O369" s="172" t="s">
        <v>93</v>
      </c>
      <c r="P369" s="172" t="s">
        <v>94</v>
      </c>
      <c r="Q369" s="172" t="s">
        <v>95</v>
      </c>
      <c r="R369" s="172" t="s">
        <v>96</v>
      </c>
      <c r="S369" s="173"/>
      <c r="T369" s="172" t="s">
        <v>93</v>
      </c>
      <c r="U369" s="172" t="s">
        <v>97</v>
      </c>
      <c r="V369" s="172" t="s">
        <v>9</v>
      </c>
      <c r="W369" s="172" t="s">
        <v>10</v>
      </c>
      <c r="X369" s="172" t="s">
        <v>11</v>
      </c>
      <c r="Y369" s="172" t="s">
        <v>98</v>
      </c>
      <c r="Z369" s="174"/>
      <c r="AA369" s="170"/>
      <c r="AB369" s="161"/>
      <c r="AC369" s="161"/>
    </row>
    <row r="370" spans="1:29" ht="18" customHeight="1" x14ac:dyDescent="0.2">
      <c r="A370" s="166"/>
      <c r="B370" s="445" t="s">
        <v>90</v>
      </c>
      <c r="C370" s="413"/>
      <c r="D370" s="152"/>
      <c r="E370" s="152"/>
      <c r="F370" s="192" t="s">
        <v>107</v>
      </c>
      <c r="G370" s="193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0" s="190"/>
      <c r="I370" s="194">
        <f>IF(C374&gt;=C373,$K$2,C372+C374)</f>
        <v>31</v>
      </c>
      <c r="J370" s="195" t="s">
        <v>108</v>
      </c>
      <c r="K370" s="196">
        <f>K366/$K$2*I370</f>
        <v>31000</v>
      </c>
      <c r="L370" s="197"/>
      <c r="M370" s="161"/>
      <c r="N370" s="178"/>
      <c r="O370" s="179" t="s">
        <v>100</v>
      </c>
      <c r="P370" s="179">
        <v>31</v>
      </c>
      <c r="Q370" s="179">
        <v>0</v>
      </c>
      <c r="R370" s="179">
        <f>15-Q370</f>
        <v>15</v>
      </c>
      <c r="S370" s="180"/>
      <c r="T370" s="179" t="s">
        <v>100</v>
      </c>
      <c r="U370" s="181">
        <v>19000</v>
      </c>
      <c r="V370" s="181">
        <v>2000</v>
      </c>
      <c r="W370" s="181">
        <f>V370+U370</f>
        <v>21000</v>
      </c>
      <c r="X370" s="181">
        <v>2000</v>
      </c>
      <c r="Y370" s="181">
        <f>W370-X370</f>
        <v>19000</v>
      </c>
      <c r="Z370" s="174"/>
      <c r="AA370" s="161"/>
      <c r="AB370" s="161"/>
      <c r="AC370" s="161"/>
    </row>
    <row r="371" spans="1:29" ht="18" customHeight="1" x14ac:dyDescent="0.2">
      <c r="A371" s="166"/>
      <c r="B371" s="198"/>
      <c r="C371" s="198"/>
      <c r="D371" s="152"/>
      <c r="E371" s="152"/>
      <c r="F371" s="192" t="s">
        <v>9</v>
      </c>
      <c r="G371" s="193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1" s="190"/>
      <c r="I371" s="194">
        <v>51</v>
      </c>
      <c r="J371" s="195" t="s">
        <v>110</v>
      </c>
      <c r="K371" s="193">
        <f>K366/$K$2/8*I371</f>
        <v>6375</v>
      </c>
      <c r="L371" s="199"/>
      <c r="M371" s="162"/>
      <c r="N371" s="184"/>
      <c r="O371" s="179" t="s">
        <v>102</v>
      </c>
      <c r="P371" s="179">
        <v>26</v>
      </c>
      <c r="Q371" s="179">
        <v>3</v>
      </c>
      <c r="R371" s="179">
        <f t="shared" ref="R371:R381" si="117">IF(Q371="","",R370-Q371)</f>
        <v>12</v>
      </c>
      <c r="S371" s="159"/>
      <c r="T371" s="179" t="s">
        <v>102</v>
      </c>
      <c r="U371" s="185">
        <f t="shared" ref="U371:U375" si="118">Y370</f>
        <v>19000</v>
      </c>
      <c r="V371" s="181">
        <v>3000</v>
      </c>
      <c r="W371" s="185">
        <f t="shared" ref="W371:W381" si="119">IF(U371="","",U371+V371)</f>
        <v>22000</v>
      </c>
      <c r="X371" s="181">
        <v>2000</v>
      </c>
      <c r="Y371" s="185">
        <f t="shared" ref="Y371:Y381" si="120">IF(W371="","",W371-X371)</f>
        <v>20000</v>
      </c>
      <c r="Z371" s="186"/>
      <c r="AA371" s="162"/>
      <c r="AB371" s="161"/>
      <c r="AC371" s="161"/>
    </row>
    <row r="372" spans="1:29" ht="18" customHeight="1" x14ac:dyDescent="0.2">
      <c r="A372" s="166"/>
      <c r="B372" s="192" t="s">
        <v>94</v>
      </c>
      <c r="C372" s="198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0</v>
      </c>
      <c r="D372" s="152"/>
      <c r="E372" s="152"/>
      <c r="F372" s="192" t="s">
        <v>111</v>
      </c>
      <c r="G372" s="193" t="str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/>
      </c>
      <c r="H372" s="190"/>
      <c r="I372" s="446" t="s">
        <v>112</v>
      </c>
      <c r="J372" s="413"/>
      <c r="K372" s="193">
        <f>K370+K371</f>
        <v>37375</v>
      </c>
      <c r="L372" s="199"/>
      <c r="M372" s="161"/>
      <c r="N372" s="178"/>
      <c r="O372" s="179" t="s">
        <v>105</v>
      </c>
      <c r="P372" s="179">
        <v>31</v>
      </c>
      <c r="Q372" s="179">
        <v>0</v>
      </c>
      <c r="R372" s="179">
        <f t="shared" si="117"/>
        <v>12</v>
      </c>
      <c r="S372" s="159"/>
      <c r="T372" s="179" t="s">
        <v>105</v>
      </c>
      <c r="U372" s="185">
        <f t="shared" si="118"/>
        <v>20000</v>
      </c>
      <c r="V372" s="181"/>
      <c r="W372" s="185">
        <f t="shared" si="119"/>
        <v>20000</v>
      </c>
      <c r="X372" s="181">
        <v>2000</v>
      </c>
      <c r="Y372" s="185">
        <f t="shared" si="120"/>
        <v>18000</v>
      </c>
      <c r="Z372" s="186"/>
      <c r="AA372" s="161"/>
      <c r="AB372" s="161"/>
      <c r="AC372" s="161"/>
    </row>
    <row r="373" spans="1:29" ht="18" customHeight="1" x14ac:dyDescent="0.2">
      <c r="A373" s="166"/>
      <c r="B373" s="192" t="s">
        <v>95</v>
      </c>
      <c r="C373" s="198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3" s="152"/>
      <c r="E373" s="152"/>
      <c r="F373" s="192" t="s">
        <v>11</v>
      </c>
      <c r="G373" s="193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3" s="190"/>
      <c r="I373" s="446" t="s">
        <v>114</v>
      </c>
      <c r="J373" s="413"/>
      <c r="K373" s="193">
        <f>G373</f>
        <v>0</v>
      </c>
      <c r="L373" s="199"/>
      <c r="M373" s="161"/>
      <c r="N373" s="178"/>
      <c r="O373" s="179" t="s">
        <v>106</v>
      </c>
      <c r="P373" s="179">
        <v>29</v>
      </c>
      <c r="Q373" s="179">
        <v>1</v>
      </c>
      <c r="R373" s="179">
        <f t="shared" si="117"/>
        <v>11</v>
      </c>
      <c r="S373" s="159"/>
      <c r="T373" s="179" t="s">
        <v>106</v>
      </c>
      <c r="U373" s="185">
        <f t="shared" si="118"/>
        <v>18000</v>
      </c>
      <c r="V373" s="181">
        <v>2000</v>
      </c>
      <c r="W373" s="185">
        <f t="shared" si="119"/>
        <v>20000</v>
      </c>
      <c r="X373" s="181">
        <v>2000</v>
      </c>
      <c r="Y373" s="185">
        <f t="shared" si="120"/>
        <v>18000</v>
      </c>
      <c r="Z373" s="186"/>
      <c r="AA373" s="161"/>
      <c r="AB373" s="161"/>
      <c r="AC373" s="161"/>
    </row>
    <row r="374" spans="1:29" ht="18" customHeight="1" x14ac:dyDescent="0.2">
      <c r="A374" s="166"/>
      <c r="B374" s="207" t="s">
        <v>116</v>
      </c>
      <c r="C374" s="198" t="str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/>
      </c>
      <c r="D374" s="152"/>
      <c r="E374" s="152"/>
      <c r="F374" s="207" t="s">
        <v>117</v>
      </c>
      <c r="G374" s="193" t="str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/>
      </c>
      <c r="H374" s="152"/>
      <c r="I374" s="439" t="s">
        <v>13</v>
      </c>
      <c r="J374" s="413"/>
      <c r="K374" s="37">
        <f>K372-K373</f>
        <v>37375</v>
      </c>
      <c r="L374" s="183"/>
      <c r="M374" s="161"/>
      <c r="N374" s="178"/>
      <c r="O374" s="179" t="s">
        <v>109</v>
      </c>
      <c r="P374" s="179">
        <v>31</v>
      </c>
      <c r="Q374" s="179">
        <v>0</v>
      </c>
      <c r="R374" s="179">
        <f t="shared" si="117"/>
        <v>11</v>
      </c>
      <c r="S374" s="159"/>
      <c r="T374" s="179" t="s">
        <v>109</v>
      </c>
      <c r="U374" s="185">
        <f t="shared" si="118"/>
        <v>18000</v>
      </c>
      <c r="V374" s="181">
        <v>2000</v>
      </c>
      <c r="W374" s="185">
        <f t="shared" si="119"/>
        <v>20000</v>
      </c>
      <c r="X374" s="181">
        <v>2000</v>
      </c>
      <c r="Y374" s="185">
        <f t="shared" si="120"/>
        <v>18000</v>
      </c>
      <c r="Z374" s="186"/>
      <c r="AA374" s="161"/>
      <c r="AB374" s="161"/>
      <c r="AC374" s="161"/>
    </row>
    <row r="375" spans="1:29" ht="18" customHeight="1" x14ac:dyDescent="0.2">
      <c r="A375" s="166"/>
      <c r="B375" s="152"/>
      <c r="C375" s="152"/>
      <c r="D375" s="152"/>
      <c r="E375" s="152"/>
      <c r="F375" s="152"/>
      <c r="G375" s="152"/>
      <c r="H375" s="152"/>
      <c r="I375" s="434"/>
      <c r="J375" s="435"/>
      <c r="K375" s="154"/>
      <c r="L375" s="189"/>
      <c r="M375" s="161"/>
      <c r="N375" s="178"/>
      <c r="O375" s="179" t="s">
        <v>85</v>
      </c>
      <c r="P375" s="179">
        <v>30</v>
      </c>
      <c r="Q375" s="179">
        <v>0</v>
      </c>
      <c r="R375" s="179">
        <f t="shared" si="117"/>
        <v>11</v>
      </c>
      <c r="S375" s="159"/>
      <c r="T375" s="179" t="s">
        <v>85</v>
      </c>
      <c r="U375" s="185">
        <f t="shared" si="118"/>
        <v>18000</v>
      </c>
      <c r="V375" s="181">
        <v>3000</v>
      </c>
      <c r="W375" s="185">
        <f t="shared" si="119"/>
        <v>21000</v>
      </c>
      <c r="X375" s="181">
        <v>2000</v>
      </c>
      <c r="Y375" s="185">
        <f t="shared" si="120"/>
        <v>19000</v>
      </c>
      <c r="Z375" s="186"/>
      <c r="AA375" s="161"/>
      <c r="AB375" s="161"/>
      <c r="AC375" s="161"/>
    </row>
    <row r="376" spans="1:29" ht="18" customHeight="1" x14ac:dyDescent="0.3">
      <c r="A376" s="166"/>
      <c r="B376" s="150"/>
      <c r="C376" s="150"/>
      <c r="D376" s="150"/>
      <c r="E376" s="150"/>
      <c r="F376" s="150"/>
      <c r="G376" s="150"/>
      <c r="H376" s="150"/>
      <c r="I376" s="434"/>
      <c r="J376" s="435"/>
      <c r="K376" s="154"/>
      <c r="L376" s="189"/>
      <c r="M376" s="161"/>
      <c r="N376" s="178"/>
      <c r="O376" s="179" t="s">
        <v>113</v>
      </c>
      <c r="P376" s="179">
        <v>30</v>
      </c>
      <c r="Q376" s="179">
        <v>1</v>
      </c>
      <c r="R376" s="179">
        <f t="shared" si="117"/>
        <v>10</v>
      </c>
      <c r="S376" s="159"/>
      <c r="T376" s="179" t="s">
        <v>113</v>
      </c>
      <c r="U376" s="185">
        <f>Y375</f>
        <v>19000</v>
      </c>
      <c r="V376" s="181">
        <v>3000</v>
      </c>
      <c r="W376" s="185">
        <f t="shared" si="119"/>
        <v>22000</v>
      </c>
      <c r="X376" s="181">
        <v>2000</v>
      </c>
      <c r="Y376" s="185">
        <f t="shared" si="120"/>
        <v>20000</v>
      </c>
      <c r="Z376" s="186"/>
      <c r="AA376" s="161"/>
      <c r="AB376" s="161"/>
      <c r="AC376" s="161"/>
    </row>
    <row r="377" spans="1:29" ht="18" customHeight="1" thickBot="1" x14ac:dyDescent="0.35">
      <c r="A377" s="200"/>
      <c r="B377" s="201"/>
      <c r="C377" s="201"/>
      <c r="D377" s="201"/>
      <c r="E377" s="201"/>
      <c r="F377" s="201"/>
      <c r="G377" s="201"/>
      <c r="H377" s="201"/>
      <c r="I377" s="201"/>
      <c r="J377" s="201"/>
      <c r="K377" s="201"/>
      <c r="L377" s="202"/>
      <c r="M377" s="161"/>
      <c r="N377" s="178"/>
      <c r="O377" s="179" t="s">
        <v>115</v>
      </c>
      <c r="P377" s="179"/>
      <c r="Q377" s="179"/>
      <c r="R377" s="179" t="str">
        <f t="shared" si="117"/>
        <v/>
      </c>
      <c r="S377" s="159"/>
      <c r="T377" s="179" t="s">
        <v>115</v>
      </c>
      <c r="U377" s="185"/>
      <c r="V377" s="181"/>
      <c r="W377" s="185" t="str">
        <f t="shared" si="119"/>
        <v/>
      </c>
      <c r="X377" s="181"/>
      <c r="Y377" s="185" t="str">
        <f t="shared" si="120"/>
        <v/>
      </c>
      <c r="Z377" s="186"/>
      <c r="AA377" s="161"/>
      <c r="AB377" s="161"/>
      <c r="AC377" s="161"/>
    </row>
    <row r="378" spans="1:29" ht="18" customHeight="1" thickBot="1" x14ac:dyDescent="0.25">
      <c r="A378" s="203"/>
      <c r="B378" s="203"/>
      <c r="C378" s="203"/>
      <c r="D378" s="203"/>
      <c r="E378" s="203"/>
      <c r="F378" s="203"/>
      <c r="G378" s="203"/>
      <c r="H378" s="203"/>
      <c r="I378" s="203"/>
      <c r="J378" s="203"/>
      <c r="K378" s="203"/>
      <c r="L378" s="203"/>
      <c r="M378" s="161"/>
      <c r="N378" s="178"/>
      <c r="O378" s="179" t="s">
        <v>118</v>
      </c>
      <c r="P378" s="179"/>
      <c r="Q378" s="179"/>
      <c r="R378" s="179" t="str">
        <f t="shared" si="117"/>
        <v/>
      </c>
      <c r="S378" s="159"/>
      <c r="T378" s="179" t="s">
        <v>118</v>
      </c>
      <c r="U378" s="185"/>
      <c r="V378" s="181"/>
      <c r="W378" s="185" t="str">
        <f t="shared" si="119"/>
        <v/>
      </c>
      <c r="X378" s="181"/>
      <c r="Y378" s="185" t="str">
        <f t="shared" si="120"/>
        <v/>
      </c>
      <c r="Z378" s="186"/>
      <c r="AA378" s="161"/>
      <c r="AB378" s="161"/>
      <c r="AC378" s="161"/>
    </row>
    <row r="379" spans="1:29" ht="18" customHeight="1" thickBot="1" x14ac:dyDescent="0.25">
      <c r="A379" s="447" t="s">
        <v>89</v>
      </c>
      <c r="B379" s="453"/>
      <c r="C379" s="453"/>
      <c r="D379" s="453"/>
      <c r="E379" s="453"/>
      <c r="F379" s="453"/>
      <c r="G379" s="453"/>
      <c r="H379" s="453"/>
      <c r="I379" s="453"/>
      <c r="J379" s="453"/>
      <c r="K379" s="453"/>
      <c r="L379" s="454"/>
      <c r="M379" s="161"/>
      <c r="N379" s="178"/>
      <c r="O379" s="179" t="s">
        <v>119</v>
      </c>
      <c r="P379" s="179"/>
      <c r="Q379" s="179"/>
      <c r="R379" s="179" t="str">
        <f t="shared" si="117"/>
        <v/>
      </c>
      <c r="S379" s="159"/>
      <c r="T379" s="179" t="s">
        <v>119</v>
      </c>
      <c r="U379" s="185"/>
      <c r="V379" s="181"/>
      <c r="W379" s="185" t="str">
        <f t="shared" si="119"/>
        <v/>
      </c>
      <c r="X379" s="181"/>
      <c r="Y379" s="185" t="str">
        <f t="shared" si="120"/>
        <v/>
      </c>
      <c r="Z379" s="186"/>
      <c r="AA379" s="161"/>
      <c r="AB379" s="161"/>
      <c r="AC379" s="161"/>
    </row>
    <row r="380" spans="1:29" ht="18" customHeight="1" x14ac:dyDescent="0.2">
      <c r="A380" s="166"/>
      <c r="B380" s="152"/>
      <c r="C380" s="443" t="s">
        <v>172</v>
      </c>
      <c r="D380" s="435"/>
      <c r="E380" s="435"/>
      <c r="F380" s="435"/>
      <c r="G380" s="167" t="str">
        <f>$J$1</f>
        <v>August</v>
      </c>
      <c r="H380" s="444">
        <f>$K$1</f>
        <v>2024</v>
      </c>
      <c r="I380" s="435"/>
      <c r="J380" s="152"/>
      <c r="K380" s="168"/>
      <c r="L380" s="169"/>
      <c r="M380" s="161"/>
      <c r="N380" s="178"/>
      <c r="O380" s="179" t="s">
        <v>120</v>
      </c>
      <c r="P380" s="179"/>
      <c r="Q380" s="179"/>
      <c r="R380" s="179" t="str">
        <f t="shared" si="117"/>
        <v/>
      </c>
      <c r="S380" s="159"/>
      <c r="T380" s="179" t="s">
        <v>120</v>
      </c>
      <c r="U380" s="185"/>
      <c r="V380" s="181"/>
      <c r="W380" s="185" t="str">
        <f t="shared" si="119"/>
        <v/>
      </c>
      <c r="X380" s="181"/>
      <c r="Y380" s="185" t="str">
        <f t="shared" si="120"/>
        <v/>
      </c>
      <c r="Z380" s="186"/>
      <c r="AA380" s="161"/>
      <c r="AB380" s="161"/>
      <c r="AC380" s="161"/>
    </row>
    <row r="381" spans="1:29" ht="18" customHeight="1" x14ac:dyDescent="0.2">
      <c r="A381" s="166"/>
      <c r="B381" s="152"/>
      <c r="C381" s="152"/>
      <c r="D381" s="175"/>
      <c r="E381" s="175"/>
      <c r="F381" s="175"/>
      <c r="G381" s="175"/>
      <c r="H381" s="175"/>
      <c r="I381" s="152"/>
      <c r="J381" s="176" t="s">
        <v>99</v>
      </c>
      <c r="K381" s="154">
        <f>30000+4000</f>
        <v>34000</v>
      </c>
      <c r="L381" s="177"/>
      <c r="M381" s="161"/>
      <c r="N381" s="178"/>
      <c r="O381" s="179" t="s">
        <v>121</v>
      </c>
      <c r="P381" s="179"/>
      <c r="Q381" s="179"/>
      <c r="R381" s="179" t="str">
        <f t="shared" si="117"/>
        <v/>
      </c>
      <c r="S381" s="159"/>
      <c r="T381" s="179" t="s">
        <v>121</v>
      </c>
      <c r="U381" s="185"/>
      <c r="V381" s="181"/>
      <c r="W381" s="185" t="str">
        <f t="shared" si="119"/>
        <v/>
      </c>
      <c r="X381" s="181"/>
      <c r="Y381" s="185" t="str">
        <f t="shared" si="120"/>
        <v/>
      </c>
      <c r="Z381" s="186"/>
      <c r="AA381" s="161"/>
      <c r="AB381" s="161"/>
      <c r="AC381" s="161"/>
    </row>
    <row r="382" spans="1:29" ht="18" customHeight="1" thickBot="1" x14ac:dyDescent="0.25">
      <c r="A382" s="166"/>
      <c r="B382" s="152" t="s">
        <v>101</v>
      </c>
      <c r="C382" s="151" t="s">
        <v>173</v>
      </c>
      <c r="D382" s="152"/>
      <c r="E382" s="152"/>
      <c r="F382" s="152"/>
      <c r="G382" s="152"/>
      <c r="H382" s="182"/>
      <c r="I382" s="175"/>
      <c r="J382" s="152"/>
      <c r="K382" s="152"/>
      <c r="L382" s="183"/>
      <c r="M382" s="204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4"/>
      <c r="AB382" s="204"/>
      <c r="AC382" s="204"/>
    </row>
    <row r="383" spans="1:29" ht="18" customHeight="1" x14ac:dyDescent="0.2">
      <c r="A383" s="166"/>
      <c r="B383" s="187" t="s">
        <v>103</v>
      </c>
      <c r="C383" s="188"/>
      <c r="D383" s="152"/>
      <c r="E383" s="152"/>
      <c r="F383" s="439" t="s">
        <v>91</v>
      </c>
      <c r="G383" s="413"/>
      <c r="H383" s="152"/>
      <c r="I383" s="439" t="s">
        <v>104</v>
      </c>
      <c r="J383" s="412"/>
      <c r="K383" s="413"/>
      <c r="L383" s="189"/>
      <c r="M383" s="162"/>
      <c r="N383" s="163"/>
      <c r="O383" s="440" t="s">
        <v>90</v>
      </c>
      <c r="P383" s="441"/>
      <c r="Q383" s="441"/>
      <c r="R383" s="442"/>
      <c r="S383" s="164"/>
      <c r="T383" s="440" t="s">
        <v>91</v>
      </c>
      <c r="U383" s="441"/>
      <c r="V383" s="441"/>
      <c r="W383" s="441"/>
      <c r="X383" s="441"/>
      <c r="Y383" s="442"/>
      <c r="Z383" s="165"/>
      <c r="AA383" s="161"/>
      <c r="AB383" s="161"/>
      <c r="AC383" s="161"/>
    </row>
    <row r="384" spans="1:29" ht="18" customHeight="1" x14ac:dyDescent="0.2">
      <c r="A384" s="166"/>
      <c r="B384" s="152"/>
      <c r="C384" s="152"/>
      <c r="D384" s="152"/>
      <c r="E384" s="152"/>
      <c r="F384" s="152"/>
      <c r="G384" s="152"/>
      <c r="H384" s="190"/>
      <c r="I384" s="152"/>
      <c r="J384" s="152"/>
      <c r="K384" s="152"/>
      <c r="L384" s="191"/>
      <c r="M384" s="170"/>
      <c r="N384" s="171"/>
      <c r="O384" s="172" t="s">
        <v>93</v>
      </c>
      <c r="P384" s="172" t="s">
        <v>94</v>
      </c>
      <c r="Q384" s="172" t="s">
        <v>95</v>
      </c>
      <c r="R384" s="172" t="s">
        <v>96</v>
      </c>
      <c r="S384" s="173"/>
      <c r="T384" s="172" t="s">
        <v>93</v>
      </c>
      <c r="U384" s="172" t="s">
        <v>97</v>
      </c>
      <c r="V384" s="172" t="s">
        <v>9</v>
      </c>
      <c r="W384" s="172" t="s">
        <v>10</v>
      </c>
      <c r="X384" s="172" t="s">
        <v>11</v>
      </c>
      <c r="Y384" s="172" t="s">
        <v>98</v>
      </c>
      <c r="Z384" s="174"/>
      <c r="AA384" s="161"/>
      <c r="AB384" s="161"/>
      <c r="AC384" s="161"/>
    </row>
    <row r="385" spans="1:29" ht="18" customHeight="1" x14ac:dyDescent="0.2">
      <c r="A385" s="166"/>
      <c r="B385" s="445" t="s">
        <v>90</v>
      </c>
      <c r="C385" s="413"/>
      <c r="D385" s="152"/>
      <c r="E385" s="152"/>
      <c r="F385" s="192" t="s">
        <v>107</v>
      </c>
      <c r="G385" s="193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5" s="190"/>
      <c r="I385" s="194">
        <f>IF(C389&gt;=C388,$K$2,C387+C389)</f>
        <v>31</v>
      </c>
      <c r="J385" s="195" t="s">
        <v>108</v>
      </c>
      <c r="K385" s="196">
        <f>K381/$K$2*I385</f>
        <v>34000</v>
      </c>
      <c r="L385" s="197"/>
      <c r="M385" s="161"/>
      <c r="N385" s="178"/>
      <c r="O385" s="179" t="s">
        <v>100</v>
      </c>
      <c r="P385" s="179">
        <v>31</v>
      </c>
      <c r="Q385" s="179">
        <v>0</v>
      </c>
      <c r="R385" s="179">
        <v>0</v>
      </c>
      <c r="S385" s="180"/>
      <c r="T385" s="179" t="s">
        <v>100</v>
      </c>
      <c r="U385" s="181">
        <v>27500</v>
      </c>
      <c r="V385" s="181">
        <v>12000</v>
      </c>
      <c r="W385" s="181">
        <f>V385+U385</f>
        <v>39500</v>
      </c>
      <c r="X385" s="181">
        <v>5000</v>
      </c>
      <c r="Y385" s="181">
        <f>W385-X385</f>
        <v>34500</v>
      </c>
      <c r="Z385" s="174"/>
      <c r="AA385" s="161"/>
      <c r="AB385" s="161"/>
      <c r="AC385" s="161"/>
    </row>
    <row r="386" spans="1:29" ht="18" customHeight="1" x14ac:dyDescent="0.2">
      <c r="A386" s="166"/>
      <c r="B386" s="198"/>
      <c r="C386" s="198"/>
      <c r="D386" s="152"/>
      <c r="E386" s="152"/>
      <c r="F386" s="192" t="s">
        <v>9</v>
      </c>
      <c r="G386" s="193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86" s="190"/>
      <c r="I386" s="194">
        <v>42</v>
      </c>
      <c r="J386" s="195" t="s">
        <v>110</v>
      </c>
      <c r="K386" s="193">
        <f>K381/$K$2/8*I386</f>
        <v>5758.0645161290322</v>
      </c>
      <c r="L386" s="199"/>
      <c r="M386" s="162"/>
      <c r="N386" s="184"/>
      <c r="O386" s="179" t="s">
        <v>102</v>
      </c>
      <c r="P386" s="179">
        <v>25</v>
      </c>
      <c r="Q386" s="179">
        <v>4</v>
      </c>
      <c r="R386" s="179">
        <v>0</v>
      </c>
      <c r="S386" s="159"/>
      <c r="T386" s="179" t="s">
        <v>102</v>
      </c>
      <c r="U386" s="185">
        <f t="shared" ref="U386:U387" si="121">Y385</f>
        <v>34500</v>
      </c>
      <c r="V386" s="181">
        <v>10000</v>
      </c>
      <c r="W386" s="185">
        <f t="shared" ref="W386:W396" si="122">IF(U386="","",U386+V386)</f>
        <v>44500</v>
      </c>
      <c r="X386" s="181">
        <v>10000</v>
      </c>
      <c r="Y386" s="185">
        <f t="shared" ref="Y386:Y396" si="123">IF(W386="","",W386-X386)</f>
        <v>34500</v>
      </c>
      <c r="Z386" s="186"/>
      <c r="AA386" s="161"/>
      <c r="AB386" s="161"/>
      <c r="AC386" s="161"/>
    </row>
    <row r="387" spans="1:29" ht="18" customHeight="1" x14ac:dyDescent="0.2">
      <c r="A387" s="166"/>
      <c r="B387" s="192" t="s">
        <v>94</v>
      </c>
      <c r="C387" s="198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0</v>
      </c>
      <c r="D387" s="152"/>
      <c r="E387" s="152"/>
      <c r="F387" s="192" t="s">
        <v>111</v>
      </c>
      <c r="G387" s="193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87" s="190"/>
      <c r="I387" s="446" t="s">
        <v>112</v>
      </c>
      <c r="J387" s="413"/>
      <c r="K387" s="193">
        <f>K385+K386</f>
        <v>39758.06451612903</v>
      </c>
      <c r="L387" s="199"/>
      <c r="M387" s="161"/>
      <c r="N387" s="178"/>
      <c r="O387" s="179" t="s">
        <v>105</v>
      </c>
      <c r="P387" s="179">
        <v>25</v>
      </c>
      <c r="Q387" s="179">
        <v>6</v>
      </c>
      <c r="R387" s="179">
        <v>0</v>
      </c>
      <c r="S387" s="159"/>
      <c r="T387" s="179" t="s">
        <v>105</v>
      </c>
      <c r="U387" s="185">
        <f t="shared" si="121"/>
        <v>34500</v>
      </c>
      <c r="V387" s="181"/>
      <c r="W387" s="185">
        <f t="shared" si="122"/>
        <v>34500</v>
      </c>
      <c r="X387" s="181">
        <v>3000</v>
      </c>
      <c r="Y387" s="185">
        <f t="shared" si="123"/>
        <v>31500</v>
      </c>
      <c r="Z387" s="186"/>
      <c r="AA387" s="161"/>
      <c r="AB387" s="161"/>
      <c r="AC387" s="161"/>
    </row>
    <row r="388" spans="1:29" ht="18" customHeight="1" x14ac:dyDescent="0.2">
      <c r="A388" s="166"/>
      <c r="B388" s="192" t="s">
        <v>95</v>
      </c>
      <c r="C388" s="198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88" s="152"/>
      <c r="E388" s="152"/>
      <c r="F388" s="192" t="s">
        <v>11</v>
      </c>
      <c r="G388" s="193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88" s="190"/>
      <c r="I388" s="446" t="s">
        <v>114</v>
      </c>
      <c r="J388" s="413"/>
      <c r="K388" s="193">
        <f>G388</f>
        <v>0</v>
      </c>
      <c r="L388" s="199"/>
      <c r="M388" s="161"/>
      <c r="N388" s="178"/>
      <c r="O388" s="179" t="s">
        <v>106</v>
      </c>
      <c r="P388" s="179">
        <v>29</v>
      </c>
      <c r="Q388" s="179">
        <v>1</v>
      </c>
      <c r="R388" s="179">
        <f t="shared" ref="R388:R396" si="124">15-Q388</f>
        <v>14</v>
      </c>
      <c r="S388" s="159"/>
      <c r="T388" s="179" t="s">
        <v>106</v>
      </c>
      <c r="U388" s="185">
        <f>IF($J$1="March","",Y387)</f>
        <v>31500</v>
      </c>
      <c r="V388" s="181"/>
      <c r="W388" s="185">
        <f t="shared" si="122"/>
        <v>31500</v>
      </c>
      <c r="X388" s="181">
        <v>5000</v>
      </c>
      <c r="Y388" s="185">
        <f t="shared" si="123"/>
        <v>26500</v>
      </c>
      <c r="Z388" s="186"/>
      <c r="AA388" s="161"/>
      <c r="AB388" s="161"/>
      <c r="AC388" s="161"/>
    </row>
    <row r="389" spans="1:29" ht="18" customHeight="1" x14ac:dyDescent="0.2">
      <c r="A389" s="166"/>
      <c r="B389" s="207" t="s">
        <v>116</v>
      </c>
      <c r="C389" s="198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15</v>
      </c>
      <c r="D389" s="152"/>
      <c r="E389" s="152"/>
      <c r="F389" s="207" t="s">
        <v>117</v>
      </c>
      <c r="G389" s="193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89" s="152"/>
      <c r="I389" s="439" t="s">
        <v>13</v>
      </c>
      <c r="J389" s="413"/>
      <c r="K389" s="37">
        <f>K387-K388</f>
        <v>39758.06451612903</v>
      </c>
      <c r="L389" s="183"/>
      <c r="M389" s="161"/>
      <c r="N389" s="178"/>
      <c r="O389" s="179" t="s">
        <v>109</v>
      </c>
      <c r="P389" s="212">
        <v>26</v>
      </c>
      <c r="Q389" s="212">
        <v>5</v>
      </c>
      <c r="R389" s="179">
        <f t="shared" si="124"/>
        <v>10</v>
      </c>
      <c r="S389" s="159"/>
      <c r="T389" s="179" t="s">
        <v>109</v>
      </c>
      <c r="U389" s="185">
        <f t="shared" ref="U389:U390" si="125">Y388</f>
        <v>26500</v>
      </c>
      <c r="V389" s="181">
        <v>20000</v>
      </c>
      <c r="W389" s="185">
        <f t="shared" si="122"/>
        <v>46500</v>
      </c>
      <c r="X389" s="181">
        <v>5000</v>
      </c>
      <c r="Y389" s="185">
        <f t="shared" si="123"/>
        <v>41500</v>
      </c>
      <c r="Z389" s="186"/>
      <c r="AA389" s="161"/>
      <c r="AB389" s="161"/>
      <c r="AC389" s="161"/>
    </row>
    <row r="390" spans="1:29" ht="18" customHeight="1" x14ac:dyDescent="0.2">
      <c r="A390" s="166"/>
      <c r="B390" s="152"/>
      <c r="C390" s="152"/>
      <c r="D390" s="152"/>
      <c r="E390" s="152"/>
      <c r="F390" s="152"/>
      <c r="G390" s="152"/>
      <c r="H390" s="152"/>
      <c r="I390" s="434"/>
      <c r="J390" s="435"/>
      <c r="K390" s="154"/>
      <c r="L390" s="189"/>
      <c r="M390" s="161"/>
      <c r="N390" s="178"/>
      <c r="O390" s="179" t="s">
        <v>85</v>
      </c>
      <c r="P390" s="179">
        <v>29</v>
      </c>
      <c r="Q390" s="179">
        <v>1</v>
      </c>
      <c r="R390" s="179">
        <f t="shared" si="124"/>
        <v>14</v>
      </c>
      <c r="S390" s="159"/>
      <c r="T390" s="179" t="s">
        <v>85</v>
      </c>
      <c r="U390" s="185">
        <f t="shared" si="125"/>
        <v>41500</v>
      </c>
      <c r="V390" s="181">
        <v>5000</v>
      </c>
      <c r="W390" s="185">
        <f t="shared" si="122"/>
        <v>46500</v>
      </c>
      <c r="X390" s="181">
        <v>10000</v>
      </c>
      <c r="Y390" s="185">
        <f t="shared" si="123"/>
        <v>36500</v>
      </c>
      <c r="Z390" s="186"/>
      <c r="AA390" s="161"/>
      <c r="AB390" s="161"/>
      <c r="AC390" s="161"/>
    </row>
    <row r="391" spans="1:29" ht="18" customHeight="1" x14ac:dyDescent="0.3">
      <c r="A391" s="166"/>
      <c r="B391" s="150"/>
      <c r="C391" s="150"/>
      <c r="D391" s="150"/>
      <c r="E391" s="150"/>
      <c r="F391" s="150"/>
      <c r="G391" s="150"/>
      <c r="H391" s="150"/>
      <c r="I391" s="434"/>
      <c r="J391" s="435"/>
      <c r="K391" s="154"/>
      <c r="L391" s="189"/>
      <c r="M391" s="161"/>
      <c r="N391" s="178"/>
      <c r="O391" s="179" t="s">
        <v>113</v>
      </c>
      <c r="P391" s="179">
        <v>24</v>
      </c>
      <c r="Q391" s="179">
        <v>7</v>
      </c>
      <c r="R391" s="179">
        <f t="shared" si="124"/>
        <v>8</v>
      </c>
      <c r="S391" s="159"/>
      <c r="T391" s="179" t="s">
        <v>113</v>
      </c>
      <c r="U391" s="185">
        <f>Y390</f>
        <v>36500</v>
      </c>
      <c r="V391" s="181">
        <v>5000</v>
      </c>
      <c r="W391" s="185">
        <f t="shared" si="122"/>
        <v>41500</v>
      </c>
      <c r="X391" s="181">
        <v>10000</v>
      </c>
      <c r="Y391" s="185">
        <f t="shared" si="123"/>
        <v>31500</v>
      </c>
      <c r="Z391" s="186"/>
      <c r="AA391" s="161"/>
      <c r="AB391" s="161"/>
      <c r="AC391" s="161"/>
    </row>
    <row r="392" spans="1:29" ht="18" customHeight="1" thickBot="1" x14ac:dyDescent="0.35">
      <c r="A392" s="200"/>
      <c r="B392" s="201"/>
      <c r="C392" s="201"/>
      <c r="D392" s="201"/>
      <c r="E392" s="201"/>
      <c r="F392" s="201"/>
      <c r="G392" s="201"/>
      <c r="H392" s="201"/>
      <c r="I392" s="201"/>
      <c r="J392" s="201"/>
      <c r="K392" s="201"/>
      <c r="L392" s="202"/>
      <c r="M392" s="161"/>
      <c r="N392" s="178"/>
      <c r="O392" s="179" t="s">
        <v>115</v>
      </c>
      <c r="P392" s="179"/>
      <c r="Q392" s="179"/>
      <c r="R392" s="179">
        <f t="shared" si="124"/>
        <v>15</v>
      </c>
      <c r="S392" s="159"/>
      <c r="T392" s="179" t="s">
        <v>115</v>
      </c>
      <c r="U392" s="185"/>
      <c r="V392" s="181"/>
      <c r="W392" s="185" t="str">
        <f t="shared" si="122"/>
        <v/>
      </c>
      <c r="X392" s="181"/>
      <c r="Y392" s="185" t="str">
        <f t="shared" si="123"/>
        <v/>
      </c>
      <c r="Z392" s="186"/>
      <c r="AA392" s="161"/>
      <c r="AB392" s="161"/>
      <c r="AC392" s="209"/>
    </row>
    <row r="393" spans="1:29" ht="18" customHeight="1" thickBot="1" x14ac:dyDescent="0.25">
      <c r="A393" s="203"/>
      <c r="B393" s="203"/>
      <c r="C393" s="203"/>
      <c r="D393" s="203"/>
      <c r="E393" s="203"/>
      <c r="F393" s="203"/>
      <c r="G393" s="203"/>
      <c r="H393" s="203"/>
      <c r="I393" s="203"/>
      <c r="J393" s="203"/>
      <c r="K393" s="203"/>
      <c r="L393" s="203"/>
      <c r="M393" s="161"/>
      <c r="N393" s="178"/>
      <c r="O393" s="179" t="s">
        <v>118</v>
      </c>
      <c r="P393" s="179"/>
      <c r="Q393" s="179"/>
      <c r="R393" s="179">
        <f t="shared" si="124"/>
        <v>15</v>
      </c>
      <c r="S393" s="159"/>
      <c r="T393" s="179" t="s">
        <v>118</v>
      </c>
      <c r="U393" s="185"/>
      <c r="V393" s="181"/>
      <c r="W393" s="185" t="str">
        <f t="shared" si="122"/>
        <v/>
      </c>
      <c r="X393" s="181"/>
      <c r="Y393" s="185" t="str">
        <f t="shared" si="123"/>
        <v/>
      </c>
      <c r="Z393" s="186"/>
      <c r="AA393" s="161"/>
      <c r="AB393" s="161"/>
      <c r="AC393" s="161"/>
    </row>
    <row r="394" spans="1:29" ht="18" customHeight="1" thickBot="1" x14ac:dyDescent="0.25">
      <c r="A394" s="447" t="s">
        <v>89</v>
      </c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4"/>
      <c r="M394" s="161"/>
      <c r="N394" s="178"/>
      <c r="O394" s="179" t="s">
        <v>119</v>
      </c>
      <c r="P394" s="179"/>
      <c r="Q394" s="179"/>
      <c r="R394" s="179">
        <f t="shared" si="124"/>
        <v>15</v>
      </c>
      <c r="S394" s="159"/>
      <c r="T394" s="179" t="s">
        <v>119</v>
      </c>
      <c r="U394" s="185"/>
      <c r="V394" s="181"/>
      <c r="W394" s="185" t="str">
        <f t="shared" si="122"/>
        <v/>
      </c>
      <c r="X394" s="181"/>
      <c r="Y394" s="185" t="str">
        <f t="shared" si="123"/>
        <v/>
      </c>
      <c r="Z394" s="186"/>
      <c r="AA394" s="161"/>
      <c r="AB394" s="161"/>
      <c r="AC394" s="161"/>
    </row>
    <row r="395" spans="1:29" ht="18" customHeight="1" x14ac:dyDescent="0.2">
      <c r="A395" s="166"/>
      <c r="B395" s="152"/>
      <c r="C395" s="443" t="s">
        <v>174</v>
      </c>
      <c r="D395" s="435"/>
      <c r="E395" s="435"/>
      <c r="F395" s="435"/>
      <c r="G395" s="167" t="str">
        <f>$J$1</f>
        <v>August</v>
      </c>
      <c r="H395" s="444">
        <f>$K$1</f>
        <v>2024</v>
      </c>
      <c r="I395" s="435"/>
      <c r="J395" s="152"/>
      <c r="K395" s="168"/>
      <c r="L395" s="169"/>
      <c r="M395" s="161"/>
      <c r="N395" s="178"/>
      <c r="O395" s="179" t="s">
        <v>120</v>
      </c>
      <c r="P395" s="179"/>
      <c r="Q395" s="179"/>
      <c r="R395" s="179">
        <f t="shared" si="124"/>
        <v>15</v>
      </c>
      <c r="S395" s="159"/>
      <c r="T395" s="179" t="s">
        <v>120</v>
      </c>
      <c r="U395" s="185"/>
      <c r="V395" s="181"/>
      <c r="W395" s="185" t="str">
        <f t="shared" si="122"/>
        <v/>
      </c>
      <c r="X395" s="181"/>
      <c r="Y395" s="185" t="str">
        <f t="shared" si="123"/>
        <v/>
      </c>
      <c r="Z395" s="186"/>
      <c r="AA395" s="161"/>
      <c r="AB395" s="161"/>
      <c r="AC395" s="161"/>
    </row>
    <row r="396" spans="1:29" ht="18" customHeight="1" x14ac:dyDescent="0.2">
      <c r="A396" s="166"/>
      <c r="B396" s="152"/>
      <c r="C396" s="152"/>
      <c r="D396" s="175"/>
      <c r="E396" s="175"/>
      <c r="F396" s="175"/>
      <c r="G396" s="175"/>
      <c r="H396" s="175"/>
      <c r="I396" s="152"/>
      <c r="J396" s="176" t="s">
        <v>99</v>
      </c>
      <c r="K396" s="154">
        <f>20000+2500+2000+2000+3500</f>
        <v>30000</v>
      </c>
      <c r="L396" s="177"/>
      <c r="M396" s="161"/>
      <c r="N396" s="178"/>
      <c r="O396" s="179" t="s">
        <v>121</v>
      </c>
      <c r="P396" s="179"/>
      <c r="Q396" s="179"/>
      <c r="R396" s="179">
        <f t="shared" si="124"/>
        <v>15</v>
      </c>
      <c r="S396" s="159"/>
      <c r="T396" s="179" t="s">
        <v>121</v>
      </c>
      <c r="U396" s="185"/>
      <c r="V396" s="181"/>
      <c r="W396" s="185" t="str">
        <f t="shared" si="122"/>
        <v/>
      </c>
      <c r="X396" s="181"/>
      <c r="Y396" s="185" t="str">
        <f t="shared" si="123"/>
        <v/>
      </c>
      <c r="Z396" s="186"/>
      <c r="AA396" s="161"/>
      <c r="AB396" s="161"/>
      <c r="AC396" s="161"/>
    </row>
    <row r="397" spans="1:29" ht="18" customHeight="1" thickBot="1" x14ac:dyDescent="0.25">
      <c r="A397" s="166"/>
      <c r="B397" s="152" t="s">
        <v>101</v>
      </c>
      <c r="C397" s="151" t="s">
        <v>175</v>
      </c>
      <c r="D397" s="152"/>
      <c r="E397" s="152"/>
      <c r="F397" s="152"/>
      <c r="G397" s="152"/>
      <c r="H397" s="182"/>
      <c r="I397" s="175"/>
      <c r="J397" s="152"/>
      <c r="K397" s="152"/>
      <c r="L397" s="183"/>
      <c r="M397" s="204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  <c r="AA397" s="204"/>
      <c r="AB397" s="204"/>
      <c r="AC397" s="204"/>
    </row>
    <row r="398" spans="1:29" ht="18" customHeight="1" x14ac:dyDescent="0.2">
      <c r="A398" s="166"/>
      <c r="B398" s="187" t="s">
        <v>103</v>
      </c>
      <c r="C398" s="188"/>
      <c r="D398" s="152"/>
      <c r="E398" s="152"/>
      <c r="F398" s="439" t="s">
        <v>91</v>
      </c>
      <c r="G398" s="413"/>
      <c r="H398" s="152"/>
      <c r="I398" s="439" t="s">
        <v>104</v>
      </c>
      <c r="J398" s="412"/>
      <c r="K398" s="413"/>
      <c r="L398" s="189"/>
      <c r="M398" s="162"/>
      <c r="N398" s="163"/>
      <c r="O398" s="440" t="s">
        <v>90</v>
      </c>
      <c r="P398" s="441"/>
      <c r="Q398" s="441"/>
      <c r="R398" s="442"/>
      <c r="S398" s="164"/>
      <c r="T398" s="440" t="s">
        <v>91</v>
      </c>
      <c r="U398" s="441"/>
      <c r="V398" s="441"/>
      <c r="W398" s="441"/>
      <c r="X398" s="441"/>
      <c r="Y398" s="442"/>
      <c r="Z398" s="165"/>
      <c r="AA398" s="162"/>
      <c r="AB398" s="161"/>
      <c r="AC398" s="161"/>
    </row>
    <row r="399" spans="1:29" ht="18" customHeight="1" x14ac:dyDescent="0.2">
      <c r="A399" s="166"/>
      <c r="B399" s="152"/>
      <c r="C399" s="152"/>
      <c r="D399" s="152"/>
      <c r="E399" s="152"/>
      <c r="F399" s="152"/>
      <c r="G399" s="152"/>
      <c r="H399" s="190"/>
      <c r="I399" s="152"/>
      <c r="J399" s="152"/>
      <c r="K399" s="152"/>
      <c r="L399" s="191"/>
      <c r="M399" s="170"/>
      <c r="N399" s="171"/>
      <c r="O399" s="172" t="s">
        <v>93</v>
      </c>
      <c r="P399" s="172" t="s">
        <v>94</v>
      </c>
      <c r="Q399" s="172" t="s">
        <v>95</v>
      </c>
      <c r="R399" s="172" t="s">
        <v>96</v>
      </c>
      <c r="S399" s="173"/>
      <c r="T399" s="172" t="s">
        <v>93</v>
      </c>
      <c r="U399" s="172" t="s">
        <v>97</v>
      </c>
      <c r="V399" s="172" t="s">
        <v>9</v>
      </c>
      <c r="W399" s="172" t="s">
        <v>10</v>
      </c>
      <c r="X399" s="172" t="s">
        <v>11</v>
      </c>
      <c r="Y399" s="172" t="s">
        <v>98</v>
      </c>
      <c r="Z399" s="174"/>
      <c r="AA399" s="170"/>
      <c r="AB399" s="161"/>
      <c r="AC399" s="161"/>
    </row>
    <row r="400" spans="1:29" ht="18" customHeight="1" x14ac:dyDescent="0.2">
      <c r="A400" s="166"/>
      <c r="B400" s="445" t="s">
        <v>90</v>
      </c>
      <c r="C400" s="413"/>
      <c r="D400" s="152"/>
      <c r="E400" s="152"/>
      <c r="F400" s="192" t="s">
        <v>107</v>
      </c>
      <c r="G400" s="193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0" s="190"/>
      <c r="I400" s="194">
        <f>IF(C404&gt;=C403,$K$2,C402+C404)</f>
        <v>31</v>
      </c>
      <c r="J400" s="195" t="s">
        <v>108</v>
      </c>
      <c r="K400" s="196">
        <f>K396/$K$2*I400</f>
        <v>30000</v>
      </c>
      <c r="L400" s="197"/>
      <c r="M400" s="161"/>
      <c r="N400" s="178"/>
      <c r="O400" s="179" t="s">
        <v>100</v>
      </c>
      <c r="P400" s="179">
        <v>31</v>
      </c>
      <c r="Q400" s="179">
        <v>0</v>
      </c>
      <c r="R400" s="179">
        <v>0</v>
      </c>
      <c r="S400" s="180"/>
      <c r="T400" s="179" t="s">
        <v>100</v>
      </c>
      <c r="U400" s="181"/>
      <c r="V400" s="181"/>
      <c r="W400" s="181">
        <f>V400+U400</f>
        <v>0</v>
      </c>
      <c r="X400" s="181"/>
      <c r="Y400" s="181">
        <f>W400-X400</f>
        <v>0</v>
      </c>
      <c r="Z400" s="174"/>
      <c r="AA400" s="161"/>
      <c r="AB400" s="161"/>
      <c r="AC400" s="161"/>
    </row>
    <row r="401" spans="1:29" ht="18" customHeight="1" x14ac:dyDescent="0.2">
      <c r="A401" s="166"/>
      <c r="B401" s="198"/>
      <c r="C401" s="198"/>
      <c r="D401" s="152"/>
      <c r="E401" s="152"/>
      <c r="F401" s="192" t="s">
        <v>9</v>
      </c>
      <c r="G401" s="193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1" s="190"/>
      <c r="I401" s="194">
        <v>69</v>
      </c>
      <c r="J401" s="195" t="s">
        <v>110</v>
      </c>
      <c r="K401" s="193">
        <f>K396/$K$2/8*I401</f>
        <v>8346.7741935483864</v>
      </c>
      <c r="L401" s="199"/>
      <c r="M401" s="162"/>
      <c r="N401" s="184"/>
      <c r="O401" s="179" t="s">
        <v>102</v>
      </c>
      <c r="P401" s="179">
        <v>29</v>
      </c>
      <c r="Q401" s="179">
        <v>0</v>
      </c>
      <c r="R401" s="179">
        <f>IF(Q401="","",R400-Q401)</f>
        <v>0</v>
      </c>
      <c r="S401" s="159"/>
      <c r="T401" s="179" t="s">
        <v>102</v>
      </c>
      <c r="U401" s="185">
        <f>IF($J$1="January","",Y400)</f>
        <v>0</v>
      </c>
      <c r="V401" s="181"/>
      <c r="W401" s="185">
        <f t="shared" ref="W401:W411" si="126">IF(U401="","",U401+V401)</f>
        <v>0</v>
      </c>
      <c r="X401" s="181"/>
      <c r="Y401" s="185">
        <f t="shared" ref="Y401:Y411" si="127">IF(W401="","",W401-X401)</f>
        <v>0</v>
      </c>
      <c r="Z401" s="186"/>
      <c r="AA401" s="162"/>
      <c r="AB401" s="161"/>
      <c r="AC401" s="161"/>
    </row>
    <row r="402" spans="1:29" ht="18" customHeight="1" x14ac:dyDescent="0.2">
      <c r="A402" s="166"/>
      <c r="B402" s="192" t="s">
        <v>94</v>
      </c>
      <c r="C402" s="198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0</v>
      </c>
      <c r="D402" s="152"/>
      <c r="E402" s="152"/>
      <c r="F402" s="192" t="s">
        <v>111</v>
      </c>
      <c r="G402" s="193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0</v>
      </c>
      <c r="H402" s="190"/>
      <c r="I402" s="446" t="s">
        <v>112</v>
      </c>
      <c r="J402" s="413"/>
      <c r="K402" s="193">
        <f>K400+K401</f>
        <v>38346.774193548386</v>
      </c>
      <c r="L402" s="199"/>
      <c r="M402" s="161"/>
      <c r="N402" s="178"/>
      <c r="O402" s="179" t="s">
        <v>105</v>
      </c>
      <c r="P402" s="179">
        <v>31</v>
      </c>
      <c r="Q402" s="179">
        <v>0</v>
      </c>
      <c r="R402" s="179">
        <v>0</v>
      </c>
      <c r="S402" s="159"/>
      <c r="T402" s="179" t="s">
        <v>105</v>
      </c>
      <c r="U402" s="185">
        <f>IF($J$1="February","",Y401)</f>
        <v>0</v>
      </c>
      <c r="V402" s="181"/>
      <c r="W402" s="185">
        <f t="shared" si="126"/>
        <v>0</v>
      </c>
      <c r="X402" s="181"/>
      <c r="Y402" s="185">
        <f t="shared" si="127"/>
        <v>0</v>
      </c>
      <c r="Z402" s="186"/>
      <c r="AA402" s="161"/>
      <c r="AB402" s="161"/>
      <c r="AC402" s="161"/>
    </row>
    <row r="403" spans="1:29" ht="18" customHeight="1" x14ac:dyDescent="0.2">
      <c r="A403" s="166"/>
      <c r="B403" s="192" t="s">
        <v>95</v>
      </c>
      <c r="C403" s="198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3" s="152"/>
      <c r="E403" s="152"/>
      <c r="F403" s="192" t="s">
        <v>11</v>
      </c>
      <c r="G403" s="193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3" s="190"/>
      <c r="I403" s="446" t="s">
        <v>114</v>
      </c>
      <c r="J403" s="413"/>
      <c r="K403" s="193">
        <f>G403</f>
        <v>0</v>
      </c>
      <c r="L403" s="199"/>
      <c r="M403" s="161"/>
      <c r="N403" s="178"/>
      <c r="O403" s="179" t="s">
        <v>106</v>
      </c>
      <c r="P403" s="179">
        <v>30</v>
      </c>
      <c r="Q403" s="179">
        <v>0</v>
      </c>
      <c r="R403" s="179">
        <v>0</v>
      </c>
      <c r="S403" s="159"/>
      <c r="T403" s="179" t="s">
        <v>106</v>
      </c>
      <c r="U403" s="185">
        <f>IF($J$1="March","",Y402)</f>
        <v>0</v>
      </c>
      <c r="V403" s="181"/>
      <c r="W403" s="185">
        <f t="shared" si="126"/>
        <v>0</v>
      </c>
      <c r="X403" s="181"/>
      <c r="Y403" s="185">
        <f t="shared" si="127"/>
        <v>0</v>
      </c>
      <c r="Z403" s="186"/>
      <c r="AA403" s="161"/>
      <c r="AB403" s="161"/>
      <c r="AC403" s="161"/>
    </row>
    <row r="404" spans="1:29" ht="18" customHeight="1" x14ac:dyDescent="0.2">
      <c r="A404" s="166"/>
      <c r="B404" s="207" t="s">
        <v>116</v>
      </c>
      <c r="C404" s="198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4" s="152"/>
      <c r="E404" s="152"/>
      <c r="F404" s="207" t="s">
        <v>117</v>
      </c>
      <c r="G404" s="193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0</v>
      </c>
      <c r="H404" s="152"/>
      <c r="I404" s="439" t="s">
        <v>13</v>
      </c>
      <c r="J404" s="413"/>
      <c r="K404" s="37">
        <f>K402-K403</f>
        <v>38346.774193548386</v>
      </c>
      <c r="L404" s="183"/>
      <c r="M404" s="161"/>
      <c r="N404" s="178"/>
      <c r="O404" s="179" t="s">
        <v>109</v>
      </c>
      <c r="P404" s="179">
        <v>31</v>
      </c>
      <c r="Q404" s="179">
        <v>0</v>
      </c>
      <c r="R404" s="179">
        <v>0</v>
      </c>
      <c r="S404" s="159"/>
      <c r="T404" s="179" t="s">
        <v>109</v>
      </c>
      <c r="U404" s="185">
        <f>IF($J$1="April","",Y403)</f>
        <v>0</v>
      </c>
      <c r="V404" s="181"/>
      <c r="W404" s="185">
        <f t="shared" si="126"/>
        <v>0</v>
      </c>
      <c r="X404" s="181"/>
      <c r="Y404" s="185">
        <f t="shared" si="127"/>
        <v>0</v>
      </c>
      <c r="Z404" s="186"/>
      <c r="AA404" s="161"/>
      <c r="AB404" s="161"/>
      <c r="AC404" s="161"/>
    </row>
    <row r="405" spans="1:29" ht="18" customHeight="1" x14ac:dyDescent="0.2">
      <c r="A405" s="166"/>
      <c r="B405" s="152"/>
      <c r="C405" s="152"/>
      <c r="D405" s="152"/>
      <c r="E405" s="152"/>
      <c r="F405" s="152"/>
      <c r="G405" s="152"/>
      <c r="H405" s="152"/>
      <c r="I405" s="434"/>
      <c r="J405" s="435"/>
      <c r="K405" s="154"/>
      <c r="L405" s="189"/>
      <c r="M405" s="161"/>
      <c r="N405" s="178"/>
      <c r="O405" s="179" t="s">
        <v>85</v>
      </c>
      <c r="P405" s="179">
        <v>30</v>
      </c>
      <c r="Q405" s="179">
        <v>0</v>
      </c>
      <c r="R405" s="179">
        <v>0</v>
      </c>
      <c r="S405" s="159"/>
      <c r="T405" s="179" t="s">
        <v>85</v>
      </c>
      <c r="U405" s="185">
        <f>IF($J$1="May","",Y404)</f>
        <v>0</v>
      </c>
      <c r="V405" s="181"/>
      <c r="W405" s="185">
        <f t="shared" si="126"/>
        <v>0</v>
      </c>
      <c r="X405" s="181"/>
      <c r="Y405" s="185">
        <f t="shared" si="127"/>
        <v>0</v>
      </c>
      <c r="Z405" s="186"/>
      <c r="AA405" s="161"/>
      <c r="AB405" s="161"/>
      <c r="AC405" s="161"/>
    </row>
    <row r="406" spans="1:29" ht="18" customHeight="1" x14ac:dyDescent="0.3">
      <c r="A406" s="166"/>
      <c r="B406" s="150"/>
      <c r="C406" s="150"/>
      <c r="D406" s="150"/>
      <c r="E406" s="150"/>
      <c r="F406" s="150"/>
      <c r="G406" s="150"/>
      <c r="H406" s="150"/>
      <c r="I406" s="434"/>
      <c r="J406" s="435"/>
      <c r="K406" s="154"/>
      <c r="L406" s="189"/>
      <c r="M406" s="161"/>
      <c r="N406" s="178"/>
      <c r="O406" s="179" t="s">
        <v>113</v>
      </c>
      <c r="P406" s="179">
        <v>31</v>
      </c>
      <c r="Q406" s="179">
        <v>0</v>
      </c>
      <c r="R406" s="179">
        <v>0</v>
      </c>
      <c r="S406" s="159"/>
      <c r="T406" s="179" t="s">
        <v>113</v>
      </c>
      <c r="U406" s="185">
        <f>IF($J$1="June","",Y405)</f>
        <v>0</v>
      </c>
      <c r="V406" s="181"/>
      <c r="W406" s="185">
        <f t="shared" si="126"/>
        <v>0</v>
      </c>
      <c r="X406" s="181"/>
      <c r="Y406" s="185">
        <f t="shared" si="127"/>
        <v>0</v>
      </c>
      <c r="Z406" s="186"/>
      <c r="AA406" s="161"/>
      <c r="AB406" s="161"/>
      <c r="AC406" s="161"/>
    </row>
    <row r="407" spans="1:29" ht="18" customHeight="1" thickBot="1" x14ac:dyDescent="0.35">
      <c r="A407" s="200"/>
      <c r="B407" s="201"/>
      <c r="C407" s="201"/>
      <c r="D407" s="201"/>
      <c r="E407" s="201"/>
      <c r="F407" s="201"/>
      <c r="G407" s="201"/>
      <c r="H407" s="201"/>
      <c r="I407" s="201"/>
      <c r="J407" s="201"/>
      <c r="K407" s="201"/>
      <c r="L407" s="202"/>
      <c r="M407" s="161"/>
      <c r="N407" s="178"/>
      <c r="O407" s="179" t="s">
        <v>115</v>
      </c>
      <c r="P407" s="179"/>
      <c r="Q407" s="179"/>
      <c r="R407" s="179">
        <v>0</v>
      </c>
      <c r="S407" s="159"/>
      <c r="T407" s="179" t="s">
        <v>115</v>
      </c>
      <c r="U407" s="185">
        <f>IF($J$1="July","",Y406)</f>
        <v>0</v>
      </c>
      <c r="V407" s="181"/>
      <c r="W407" s="185">
        <f t="shared" si="126"/>
        <v>0</v>
      </c>
      <c r="X407" s="181"/>
      <c r="Y407" s="185">
        <f t="shared" si="127"/>
        <v>0</v>
      </c>
      <c r="Z407" s="186"/>
      <c r="AA407" s="161"/>
      <c r="AB407" s="161"/>
      <c r="AC407" s="161"/>
    </row>
    <row r="408" spans="1:29" ht="18" customHeight="1" thickBot="1" x14ac:dyDescent="0.25">
      <c r="A408" s="203"/>
      <c r="B408" s="203"/>
      <c r="C408" s="203"/>
      <c r="D408" s="203"/>
      <c r="E408" s="203"/>
      <c r="F408" s="203"/>
      <c r="G408" s="203"/>
      <c r="H408" s="203"/>
      <c r="I408" s="203"/>
      <c r="J408" s="203"/>
      <c r="K408" s="203"/>
      <c r="L408" s="203"/>
      <c r="M408" s="161"/>
      <c r="N408" s="178"/>
      <c r="O408" s="179" t="s">
        <v>118</v>
      </c>
      <c r="P408" s="179"/>
      <c r="Q408" s="179"/>
      <c r="R408" s="179">
        <v>0</v>
      </c>
      <c r="S408" s="159"/>
      <c r="T408" s="179" t="s">
        <v>118</v>
      </c>
      <c r="U408" s="185" t="str">
        <f>IF($J$1="September",Y407,"")</f>
        <v/>
      </c>
      <c r="V408" s="181"/>
      <c r="W408" s="185" t="str">
        <f t="shared" si="126"/>
        <v/>
      </c>
      <c r="X408" s="181"/>
      <c r="Y408" s="185" t="str">
        <f t="shared" si="127"/>
        <v/>
      </c>
      <c r="Z408" s="186"/>
      <c r="AA408" s="161"/>
      <c r="AB408" s="161"/>
      <c r="AC408" s="161"/>
    </row>
    <row r="409" spans="1:29" ht="18" customHeight="1" thickBot="1" x14ac:dyDescent="0.25">
      <c r="A409" s="447" t="s">
        <v>89</v>
      </c>
      <c r="B409" s="453"/>
      <c r="C409" s="453"/>
      <c r="D409" s="453"/>
      <c r="E409" s="453"/>
      <c r="F409" s="453"/>
      <c r="G409" s="453"/>
      <c r="H409" s="453"/>
      <c r="I409" s="453"/>
      <c r="J409" s="453"/>
      <c r="K409" s="453"/>
      <c r="L409" s="454"/>
      <c r="M409" s="161"/>
      <c r="N409" s="178"/>
      <c r="O409" s="179" t="s">
        <v>119</v>
      </c>
      <c r="P409" s="179"/>
      <c r="Q409" s="179"/>
      <c r="R409" s="179">
        <v>0</v>
      </c>
      <c r="S409" s="159"/>
      <c r="T409" s="179" t="s">
        <v>119</v>
      </c>
      <c r="U409" s="185" t="str">
        <f t="shared" ref="U409:U410" si="128">Y408</f>
        <v/>
      </c>
      <c r="V409" s="181"/>
      <c r="W409" s="185" t="str">
        <f t="shared" si="126"/>
        <v/>
      </c>
      <c r="X409" s="181"/>
      <c r="Y409" s="185" t="str">
        <f t="shared" si="127"/>
        <v/>
      </c>
      <c r="Z409" s="186"/>
      <c r="AA409" s="161"/>
      <c r="AB409" s="161"/>
      <c r="AC409" s="161"/>
    </row>
    <row r="410" spans="1:29" ht="18" customHeight="1" x14ac:dyDescent="0.2">
      <c r="A410" s="166"/>
      <c r="B410" s="152"/>
      <c r="C410" s="443" t="s">
        <v>176</v>
      </c>
      <c r="D410" s="435"/>
      <c r="E410" s="435"/>
      <c r="F410" s="435"/>
      <c r="G410" s="167" t="str">
        <f>$J$1</f>
        <v>August</v>
      </c>
      <c r="H410" s="444">
        <f>$K$1</f>
        <v>2024</v>
      </c>
      <c r="I410" s="435"/>
      <c r="J410" s="152"/>
      <c r="K410" s="168"/>
      <c r="L410" s="169"/>
      <c r="M410" s="161"/>
      <c r="N410" s="178"/>
      <c r="O410" s="179" t="s">
        <v>120</v>
      </c>
      <c r="P410" s="179"/>
      <c r="Q410" s="179"/>
      <c r="R410" s="179" t="str">
        <f t="shared" ref="R410:R411" si="129">IF(Q410="","",R409-Q410)</f>
        <v/>
      </c>
      <c r="S410" s="159"/>
      <c r="T410" s="179" t="s">
        <v>120</v>
      </c>
      <c r="U410" s="185" t="str">
        <f t="shared" si="128"/>
        <v/>
      </c>
      <c r="V410" s="181"/>
      <c r="W410" s="185" t="str">
        <f t="shared" si="126"/>
        <v/>
      </c>
      <c r="X410" s="181"/>
      <c r="Y410" s="185" t="str">
        <f t="shared" si="127"/>
        <v/>
      </c>
      <c r="Z410" s="186"/>
      <c r="AA410" s="161"/>
      <c r="AB410" s="161"/>
      <c r="AC410" s="161"/>
    </row>
    <row r="411" spans="1:29" ht="18" customHeight="1" x14ac:dyDescent="0.2">
      <c r="A411" s="166"/>
      <c r="B411" s="152"/>
      <c r="C411" s="152"/>
      <c r="D411" s="175"/>
      <c r="E411" s="175"/>
      <c r="F411" s="175"/>
      <c r="G411" s="175"/>
      <c r="H411" s="175"/>
      <c r="I411" s="152"/>
      <c r="J411" s="176" t="s">
        <v>99</v>
      </c>
      <c r="K411" s="154">
        <f>20000+2500+2000+2000+3500</f>
        <v>30000</v>
      </c>
      <c r="L411" s="177"/>
      <c r="M411" s="161"/>
      <c r="N411" s="178"/>
      <c r="O411" s="179" t="s">
        <v>121</v>
      </c>
      <c r="P411" s="179"/>
      <c r="Q411" s="179"/>
      <c r="R411" s="179" t="str">
        <f t="shared" si="129"/>
        <v/>
      </c>
      <c r="S411" s="159"/>
      <c r="T411" s="179" t="s">
        <v>121</v>
      </c>
      <c r="U411" s="185">
        <v>0</v>
      </c>
      <c r="V411" s="181"/>
      <c r="W411" s="185">
        <f t="shared" si="126"/>
        <v>0</v>
      </c>
      <c r="X411" s="181"/>
      <c r="Y411" s="185">
        <f t="shared" si="127"/>
        <v>0</v>
      </c>
      <c r="Z411" s="186"/>
      <c r="AA411" s="161"/>
      <c r="AB411" s="161"/>
      <c r="AC411" s="161"/>
    </row>
    <row r="412" spans="1:29" ht="18" customHeight="1" thickBot="1" x14ac:dyDescent="0.25">
      <c r="A412" s="166"/>
      <c r="B412" s="152" t="s">
        <v>101</v>
      </c>
      <c r="C412" s="151" t="s">
        <v>177</v>
      </c>
      <c r="D412" s="152"/>
      <c r="E412" s="152"/>
      <c r="F412" s="152"/>
      <c r="G412" s="152"/>
      <c r="H412" s="182"/>
      <c r="I412" s="175"/>
      <c r="J412" s="152"/>
      <c r="K412" s="152"/>
      <c r="L412" s="183"/>
      <c r="M412" s="204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  <c r="AA412" s="204"/>
      <c r="AB412" s="204"/>
      <c r="AC412" s="204"/>
    </row>
    <row r="413" spans="1:29" ht="18" customHeight="1" x14ac:dyDescent="0.2">
      <c r="A413" s="166"/>
      <c r="B413" s="187"/>
      <c r="C413" s="188"/>
      <c r="D413" s="152"/>
      <c r="E413" s="152"/>
      <c r="F413" s="439" t="s">
        <v>91</v>
      </c>
      <c r="G413" s="413"/>
      <c r="H413" s="152"/>
      <c r="I413" s="439" t="s">
        <v>104</v>
      </c>
      <c r="J413" s="412"/>
      <c r="K413" s="413"/>
      <c r="L413" s="189"/>
      <c r="M413" s="162"/>
      <c r="N413" s="163"/>
      <c r="O413" s="440" t="s">
        <v>90</v>
      </c>
      <c r="P413" s="441"/>
      <c r="Q413" s="441"/>
      <c r="R413" s="442"/>
      <c r="S413" s="164"/>
      <c r="T413" s="440" t="s">
        <v>91</v>
      </c>
      <c r="U413" s="441"/>
      <c r="V413" s="441"/>
      <c r="W413" s="441"/>
      <c r="X413" s="441"/>
      <c r="Y413" s="442"/>
      <c r="Z413" s="165"/>
      <c r="AA413" s="161"/>
      <c r="AB413" s="161"/>
      <c r="AC413" s="161"/>
    </row>
    <row r="414" spans="1:29" ht="18" customHeight="1" x14ac:dyDescent="0.2">
      <c r="A414" s="166"/>
      <c r="B414" s="152"/>
      <c r="C414" s="152"/>
      <c r="D414" s="152"/>
      <c r="E414" s="152"/>
      <c r="F414" s="152"/>
      <c r="G414" s="152"/>
      <c r="H414" s="190"/>
      <c r="I414" s="152"/>
      <c r="J414" s="152"/>
      <c r="K414" s="152"/>
      <c r="L414" s="191"/>
      <c r="M414" s="170"/>
      <c r="N414" s="171"/>
      <c r="O414" s="172" t="s">
        <v>93</v>
      </c>
      <c r="P414" s="172" t="s">
        <v>94</v>
      </c>
      <c r="Q414" s="172" t="s">
        <v>95</v>
      </c>
      <c r="R414" s="172" t="s">
        <v>96</v>
      </c>
      <c r="S414" s="173"/>
      <c r="T414" s="172" t="s">
        <v>93</v>
      </c>
      <c r="U414" s="172" t="s">
        <v>97</v>
      </c>
      <c r="V414" s="172" t="s">
        <v>9</v>
      </c>
      <c r="W414" s="172" t="s">
        <v>10</v>
      </c>
      <c r="X414" s="172" t="s">
        <v>11</v>
      </c>
      <c r="Y414" s="172" t="s">
        <v>98</v>
      </c>
      <c r="Z414" s="174"/>
      <c r="AA414" s="161"/>
      <c r="AB414" s="161"/>
      <c r="AC414" s="161"/>
    </row>
    <row r="415" spans="1:29" ht="18" customHeight="1" x14ac:dyDescent="0.2">
      <c r="A415" s="166"/>
      <c r="B415" s="445" t="s">
        <v>90</v>
      </c>
      <c r="C415" s="413"/>
      <c r="D415" s="152"/>
      <c r="E415" s="152"/>
      <c r="F415" s="192" t="s">
        <v>107</v>
      </c>
      <c r="G415" s="193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5" s="190"/>
      <c r="I415" s="194">
        <f>IF(C419&gt;=C418,$K$2,C417+C419)</f>
        <v>31</v>
      </c>
      <c r="J415" s="195" t="s">
        <v>108</v>
      </c>
      <c r="K415" s="196">
        <f>K411/$K$2*I415</f>
        <v>30000</v>
      </c>
      <c r="L415" s="197"/>
      <c r="M415" s="161"/>
      <c r="N415" s="178"/>
      <c r="O415" s="179" t="s">
        <v>100</v>
      </c>
      <c r="P415" s="179">
        <v>31</v>
      </c>
      <c r="Q415" s="179">
        <v>0</v>
      </c>
      <c r="R415" s="179">
        <v>0</v>
      </c>
      <c r="S415" s="180"/>
      <c r="T415" s="179" t="s">
        <v>100</v>
      </c>
      <c r="U415" s="181"/>
      <c r="V415" s="181"/>
      <c r="W415" s="181">
        <f>V415+U415</f>
        <v>0</v>
      </c>
      <c r="X415" s="181"/>
      <c r="Y415" s="181">
        <f>W415-X415</f>
        <v>0</v>
      </c>
      <c r="Z415" s="174"/>
      <c r="AA415" s="161"/>
      <c r="AB415" s="161"/>
      <c r="AC415" s="161"/>
    </row>
    <row r="416" spans="1:29" ht="18" customHeight="1" x14ac:dyDescent="0.2">
      <c r="A416" s="166"/>
      <c r="B416" s="198"/>
      <c r="C416" s="198"/>
      <c r="D416" s="152"/>
      <c r="E416" s="152"/>
      <c r="F416" s="192" t="s">
        <v>9</v>
      </c>
      <c r="G416" s="193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16" s="190"/>
      <c r="I416" s="194">
        <v>59</v>
      </c>
      <c r="J416" s="195" t="s">
        <v>110</v>
      </c>
      <c r="K416" s="193">
        <f>K411/$K$2/8*I416</f>
        <v>7137.0967741935483</v>
      </c>
      <c r="L416" s="199"/>
      <c r="M416" s="162"/>
      <c r="N416" s="184"/>
      <c r="O416" s="179" t="s">
        <v>102</v>
      </c>
      <c r="P416" s="179">
        <v>29</v>
      </c>
      <c r="Q416" s="179">
        <v>0</v>
      </c>
      <c r="R416" s="179">
        <v>0</v>
      </c>
      <c r="S416" s="159"/>
      <c r="T416" s="179" t="s">
        <v>102</v>
      </c>
      <c r="U416" s="185">
        <f>IF($J$1="January","",Y415)</f>
        <v>0</v>
      </c>
      <c r="V416" s="181"/>
      <c r="W416" s="185">
        <f t="shared" ref="W416:W426" si="130">IF(U416="","",U416+V416)</f>
        <v>0</v>
      </c>
      <c r="X416" s="181"/>
      <c r="Y416" s="185">
        <f t="shared" ref="Y416:Y426" si="131">IF(W416="","",W416-X416)</f>
        <v>0</v>
      </c>
      <c r="Z416" s="186"/>
      <c r="AA416" s="161"/>
      <c r="AB416" s="161"/>
      <c r="AC416" s="161"/>
    </row>
    <row r="417" spans="1:29" ht="18" customHeight="1" x14ac:dyDescent="0.2">
      <c r="A417" s="166"/>
      <c r="B417" s="192" t="s">
        <v>94</v>
      </c>
      <c r="C417" s="198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0</v>
      </c>
      <c r="D417" s="152"/>
      <c r="E417" s="152"/>
      <c r="F417" s="192" t="s">
        <v>111</v>
      </c>
      <c r="G417" s="193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17" s="190"/>
      <c r="I417" s="446" t="s">
        <v>112</v>
      </c>
      <c r="J417" s="413"/>
      <c r="K417" s="193">
        <f>K415+K416</f>
        <v>37137.096774193546</v>
      </c>
      <c r="L417" s="199"/>
      <c r="M417" s="161"/>
      <c r="N417" s="178"/>
      <c r="O417" s="179" t="s">
        <v>105</v>
      </c>
      <c r="P417" s="179">
        <v>28</v>
      </c>
      <c r="Q417" s="179">
        <v>3</v>
      </c>
      <c r="R417" s="179">
        <v>0</v>
      </c>
      <c r="S417" s="159"/>
      <c r="T417" s="179" t="s">
        <v>105</v>
      </c>
      <c r="U417" s="185">
        <f>IF($J$1="February","",Y416)</f>
        <v>0</v>
      </c>
      <c r="V417" s="181"/>
      <c r="W417" s="185">
        <f t="shared" si="130"/>
        <v>0</v>
      </c>
      <c r="X417" s="181"/>
      <c r="Y417" s="185">
        <f t="shared" si="131"/>
        <v>0</v>
      </c>
      <c r="Z417" s="186"/>
      <c r="AA417" s="161"/>
      <c r="AB417" s="161"/>
      <c r="AC417" s="161"/>
    </row>
    <row r="418" spans="1:29" ht="18" customHeight="1" x14ac:dyDescent="0.2">
      <c r="A418" s="166"/>
      <c r="B418" s="192" t="s">
        <v>95</v>
      </c>
      <c r="C418" s="198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18" s="152"/>
      <c r="E418" s="152"/>
      <c r="F418" s="192" t="s">
        <v>11</v>
      </c>
      <c r="G418" s="193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18" s="190"/>
      <c r="I418" s="446" t="s">
        <v>114</v>
      </c>
      <c r="J418" s="413"/>
      <c r="K418" s="193">
        <f>G418</f>
        <v>0</v>
      </c>
      <c r="L418" s="199"/>
      <c r="M418" s="161"/>
      <c r="N418" s="178"/>
      <c r="O418" s="179" t="s">
        <v>106</v>
      </c>
      <c r="P418" s="179">
        <v>30</v>
      </c>
      <c r="Q418" s="179">
        <v>0</v>
      </c>
      <c r="R418" s="179">
        <v>0</v>
      </c>
      <c r="S418" s="159"/>
      <c r="T418" s="179" t="s">
        <v>106</v>
      </c>
      <c r="U418" s="185">
        <f>IF($J$1="March","",Y417)</f>
        <v>0</v>
      </c>
      <c r="V418" s="181"/>
      <c r="W418" s="185">
        <f t="shared" si="130"/>
        <v>0</v>
      </c>
      <c r="X418" s="181"/>
      <c r="Y418" s="185">
        <f t="shared" si="131"/>
        <v>0</v>
      </c>
      <c r="Z418" s="186"/>
      <c r="AA418" s="161"/>
      <c r="AB418" s="161"/>
      <c r="AC418" s="161"/>
    </row>
    <row r="419" spans="1:29" ht="18" customHeight="1" x14ac:dyDescent="0.2">
      <c r="A419" s="166"/>
      <c r="B419" s="207" t="s">
        <v>116</v>
      </c>
      <c r="C419" s="198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19" s="152"/>
      <c r="E419" s="152"/>
      <c r="F419" s="207" t="s">
        <v>117</v>
      </c>
      <c r="G419" s="193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19" s="152"/>
      <c r="I419" s="439" t="s">
        <v>13</v>
      </c>
      <c r="J419" s="413"/>
      <c r="K419" s="37">
        <f>K417-K418</f>
        <v>37137.096774193546</v>
      </c>
      <c r="L419" s="183"/>
      <c r="M419" s="161"/>
      <c r="N419" s="178"/>
      <c r="O419" s="179" t="s">
        <v>109</v>
      </c>
      <c r="P419" s="179">
        <v>31</v>
      </c>
      <c r="Q419" s="179">
        <v>0</v>
      </c>
      <c r="R419" s="179">
        <v>0</v>
      </c>
      <c r="S419" s="159"/>
      <c r="T419" s="179" t="s">
        <v>109</v>
      </c>
      <c r="U419" s="185">
        <f>IF($J$1="April","",Y418)</f>
        <v>0</v>
      </c>
      <c r="V419" s="181"/>
      <c r="W419" s="185">
        <f t="shared" si="130"/>
        <v>0</v>
      </c>
      <c r="X419" s="181"/>
      <c r="Y419" s="185">
        <f t="shared" si="131"/>
        <v>0</v>
      </c>
      <c r="Z419" s="186"/>
      <c r="AA419" s="161"/>
      <c r="AB419" s="161"/>
      <c r="AC419" s="161"/>
    </row>
    <row r="420" spans="1:29" ht="18" customHeight="1" x14ac:dyDescent="0.2">
      <c r="A420" s="166"/>
      <c r="B420" s="152"/>
      <c r="C420" s="152"/>
      <c r="D420" s="152"/>
      <c r="E420" s="152"/>
      <c r="F420" s="152"/>
      <c r="G420" s="152"/>
      <c r="H420" s="152"/>
      <c r="I420" s="434"/>
      <c r="J420" s="435"/>
      <c r="K420" s="154"/>
      <c r="L420" s="189"/>
      <c r="M420" s="161"/>
      <c r="N420" s="178"/>
      <c r="O420" s="179" t="s">
        <v>85</v>
      </c>
      <c r="P420" s="179">
        <v>30</v>
      </c>
      <c r="Q420" s="179">
        <v>0</v>
      </c>
      <c r="R420" s="179">
        <v>0</v>
      </c>
      <c r="S420" s="159"/>
      <c r="T420" s="179" t="s">
        <v>85</v>
      </c>
      <c r="U420" s="185">
        <f>IF($J$1="May","",Y419)</f>
        <v>0</v>
      </c>
      <c r="V420" s="181"/>
      <c r="W420" s="185">
        <f t="shared" si="130"/>
        <v>0</v>
      </c>
      <c r="X420" s="181"/>
      <c r="Y420" s="185">
        <f t="shared" si="131"/>
        <v>0</v>
      </c>
      <c r="Z420" s="186"/>
      <c r="AA420" s="161"/>
      <c r="AB420" s="161"/>
      <c r="AC420" s="161"/>
    </row>
    <row r="421" spans="1:29" ht="18" customHeight="1" x14ac:dyDescent="0.3">
      <c r="A421" s="166"/>
      <c r="B421" s="150"/>
      <c r="C421" s="150"/>
      <c r="D421" s="150"/>
      <c r="E421" s="150"/>
      <c r="F421" s="150"/>
      <c r="G421" s="150"/>
      <c r="H421" s="150"/>
      <c r="I421" s="434"/>
      <c r="J421" s="435"/>
      <c r="K421" s="154"/>
      <c r="L421" s="189"/>
      <c r="M421" s="161"/>
      <c r="N421" s="178"/>
      <c r="O421" s="179" t="s">
        <v>113</v>
      </c>
      <c r="P421" s="179">
        <v>31</v>
      </c>
      <c r="Q421" s="179">
        <v>0</v>
      </c>
      <c r="R421" s="179">
        <v>0</v>
      </c>
      <c r="S421" s="159"/>
      <c r="T421" s="179" t="s">
        <v>113</v>
      </c>
      <c r="U421" s="185">
        <f>IF($J$1="June","",Y420)</f>
        <v>0</v>
      </c>
      <c r="V421" s="181"/>
      <c r="W421" s="185">
        <f t="shared" si="130"/>
        <v>0</v>
      </c>
      <c r="X421" s="181"/>
      <c r="Y421" s="185">
        <f t="shared" si="131"/>
        <v>0</v>
      </c>
      <c r="Z421" s="186"/>
      <c r="AA421" s="161"/>
      <c r="AB421" s="161"/>
      <c r="AC421" s="161"/>
    </row>
    <row r="422" spans="1:29" ht="18" customHeight="1" thickBot="1" x14ac:dyDescent="0.35">
      <c r="A422" s="200"/>
      <c r="B422" s="201"/>
      <c r="C422" s="201"/>
      <c r="D422" s="201"/>
      <c r="E422" s="201"/>
      <c r="F422" s="201"/>
      <c r="G422" s="201"/>
      <c r="H422" s="201"/>
      <c r="I422" s="201"/>
      <c r="J422" s="201"/>
      <c r="K422" s="219"/>
      <c r="L422" s="202"/>
      <c r="M422" s="161"/>
      <c r="N422" s="178"/>
      <c r="O422" s="179" t="s">
        <v>115</v>
      </c>
      <c r="P422" s="179"/>
      <c r="Q422" s="179"/>
      <c r="R422" s="179">
        <v>0</v>
      </c>
      <c r="S422" s="159"/>
      <c r="T422" s="179" t="s">
        <v>115</v>
      </c>
      <c r="U422" s="185">
        <f>IF($J$1="July","",Y421)</f>
        <v>0</v>
      </c>
      <c r="V422" s="181"/>
      <c r="W422" s="185">
        <f t="shared" si="130"/>
        <v>0</v>
      </c>
      <c r="X422" s="181"/>
      <c r="Y422" s="185">
        <f t="shared" si="131"/>
        <v>0</v>
      </c>
      <c r="Z422" s="186"/>
      <c r="AA422" s="161"/>
      <c r="AB422" s="161"/>
      <c r="AC422" s="161"/>
    </row>
    <row r="423" spans="1:29" ht="18" customHeight="1" thickBot="1" x14ac:dyDescent="0.25">
      <c r="A423" s="203"/>
      <c r="B423" s="203"/>
      <c r="C423" s="203"/>
      <c r="D423" s="203"/>
      <c r="E423" s="203"/>
      <c r="F423" s="203"/>
      <c r="G423" s="203"/>
      <c r="H423" s="203"/>
      <c r="I423" s="203"/>
      <c r="J423" s="203"/>
      <c r="K423" s="203"/>
      <c r="L423" s="203"/>
      <c r="M423" s="161"/>
      <c r="N423" s="178"/>
      <c r="O423" s="179" t="s">
        <v>118</v>
      </c>
      <c r="P423" s="179"/>
      <c r="Q423" s="179"/>
      <c r="R423" s="179">
        <v>0</v>
      </c>
      <c r="S423" s="159"/>
      <c r="T423" s="179" t="s">
        <v>118</v>
      </c>
      <c r="U423" s="185" t="str">
        <f>IF($J$1="September",Y422,"")</f>
        <v/>
      </c>
      <c r="V423" s="181"/>
      <c r="W423" s="185" t="str">
        <f t="shared" si="130"/>
        <v/>
      </c>
      <c r="X423" s="181"/>
      <c r="Y423" s="185" t="str">
        <f t="shared" si="131"/>
        <v/>
      </c>
      <c r="Z423" s="186"/>
      <c r="AA423" s="161"/>
      <c r="AB423" s="161"/>
      <c r="AC423" s="161"/>
    </row>
    <row r="424" spans="1:29" ht="18" customHeight="1" thickBot="1" x14ac:dyDescent="0.25">
      <c r="A424" s="447" t="s">
        <v>89</v>
      </c>
      <c r="B424" s="453"/>
      <c r="C424" s="453"/>
      <c r="D424" s="453"/>
      <c r="E424" s="453"/>
      <c r="F424" s="453"/>
      <c r="G424" s="453"/>
      <c r="H424" s="453"/>
      <c r="I424" s="453"/>
      <c r="J424" s="453"/>
      <c r="K424" s="453"/>
      <c r="L424" s="454"/>
      <c r="M424" s="161"/>
      <c r="N424" s="178"/>
      <c r="O424" s="179" t="s">
        <v>119</v>
      </c>
      <c r="P424" s="179"/>
      <c r="Q424" s="179"/>
      <c r="R424" s="179">
        <v>0</v>
      </c>
      <c r="S424" s="159"/>
      <c r="T424" s="179" t="s">
        <v>119</v>
      </c>
      <c r="U424" s="185" t="str">
        <f t="shared" ref="U424:U425" si="132">Y423</f>
        <v/>
      </c>
      <c r="V424" s="181"/>
      <c r="W424" s="185" t="str">
        <f t="shared" si="130"/>
        <v/>
      </c>
      <c r="X424" s="181"/>
      <c r="Y424" s="185" t="str">
        <f t="shared" si="131"/>
        <v/>
      </c>
      <c r="Z424" s="186"/>
      <c r="AA424" s="161"/>
      <c r="AB424" s="161"/>
      <c r="AC424" s="161"/>
    </row>
    <row r="425" spans="1:29" ht="18" customHeight="1" x14ac:dyDescent="0.2">
      <c r="A425" s="166"/>
      <c r="B425" s="152"/>
      <c r="C425" s="443" t="s">
        <v>178</v>
      </c>
      <c r="D425" s="435"/>
      <c r="E425" s="435"/>
      <c r="F425" s="435"/>
      <c r="G425" s="167" t="str">
        <f>$J$1</f>
        <v>August</v>
      </c>
      <c r="H425" s="444">
        <f>$K$1</f>
        <v>2024</v>
      </c>
      <c r="I425" s="435"/>
      <c r="J425" s="152"/>
      <c r="K425" s="168"/>
      <c r="L425" s="169"/>
      <c r="M425" s="161"/>
      <c r="N425" s="178"/>
      <c r="O425" s="179" t="s">
        <v>120</v>
      </c>
      <c r="P425" s="179"/>
      <c r="Q425" s="179"/>
      <c r="R425" s="179">
        <v>0</v>
      </c>
      <c r="S425" s="159"/>
      <c r="T425" s="179" t="s">
        <v>120</v>
      </c>
      <c r="U425" s="185" t="str">
        <f t="shared" si="132"/>
        <v/>
      </c>
      <c r="V425" s="181"/>
      <c r="W425" s="185" t="str">
        <f t="shared" si="130"/>
        <v/>
      </c>
      <c r="X425" s="181"/>
      <c r="Y425" s="185" t="str">
        <f t="shared" si="131"/>
        <v/>
      </c>
      <c r="Z425" s="186"/>
      <c r="AA425" s="161"/>
      <c r="AB425" s="161"/>
      <c r="AC425" s="161"/>
    </row>
    <row r="426" spans="1:29" ht="18" customHeight="1" x14ac:dyDescent="0.2">
      <c r="A426" s="166"/>
      <c r="B426" s="152"/>
      <c r="C426" s="152"/>
      <c r="D426" s="175"/>
      <c r="E426" s="175"/>
      <c r="F426" s="175"/>
      <c r="G426" s="175"/>
      <c r="H426" s="175"/>
      <c r="I426" s="152"/>
      <c r="J426" s="176" t="s">
        <v>99</v>
      </c>
      <c r="K426" s="154">
        <f>30000+2000</f>
        <v>32000</v>
      </c>
      <c r="L426" s="177"/>
      <c r="M426" s="161"/>
      <c r="N426" s="178"/>
      <c r="O426" s="179" t="s">
        <v>121</v>
      </c>
      <c r="P426" s="179"/>
      <c r="Q426" s="179"/>
      <c r="R426" s="179">
        <v>0</v>
      </c>
      <c r="S426" s="159"/>
      <c r="T426" s="179" t="s">
        <v>121</v>
      </c>
      <c r="U426" s="185">
        <v>0</v>
      </c>
      <c r="V426" s="181"/>
      <c r="W426" s="185">
        <f t="shared" si="130"/>
        <v>0</v>
      </c>
      <c r="X426" s="181"/>
      <c r="Y426" s="185">
        <f t="shared" si="131"/>
        <v>0</v>
      </c>
      <c r="Z426" s="186"/>
      <c r="AA426" s="161"/>
      <c r="AB426" s="161"/>
      <c r="AC426" s="161"/>
    </row>
    <row r="427" spans="1:29" ht="18" customHeight="1" thickBot="1" x14ac:dyDescent="0.25">
      <c r="A427" s="166"/>
      <c r="B427" s="152" t="s">
        <v>101</v>
      </c>
      <c r="C427" s="151" t="s">
        <v>179</v>
      </c>
      <c r="D427" s="152"/>
      <c r="E427" s="152"/>
      <c r="F427" s="152"/>
      <c r="G427" s="152"/>
      <c r="H427" s="182"/>
      <c r="I427" s="175"/>
      <c r="J427" s="152"/>
      <c r="K427" s="152"/>
      <c r="L427" s="183"/>
      <c r="M427" s="204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4"/>
      <c r="AB427" s="204"/>
      <c r="AC427" s="204"/>
    </row>
    <row r="428" spans="1:29" ht="18" customHeight="1" x14ac:dyDescent="0.2">
      <c r="A428" s="166"/>
      <c r="B428" s="187" t="s">
        <v>103</v>
      </c>
      <c r="C428" s="188"/>
      <c r="D428" s="152"/>
      <c r="E428" s="152"/>
      <c r="F428" s="439" t="s">
        <v>91</v>
      </c>
      <c r="G428" s="413"/>
      <c r="H428" s="152"/>
      <c r="I428" s="439" t="s">
        <v>104</v>
      </c>
      <c r="J428" s="412"/>
      <c r="K428" s="413"/>
      <c r="L428" s="189"/>
      <c r="M428" s="162"/>
      <c r="N428" s="163"/>
      <c r="O428" s="440" t="s">
        <v>90</v>
      </c>
      <c r="P428" s="441"/>
      <c r="Q428" s="441"/>
      <c r="R428" s="442"/>
      <c r="S428" s="164"/>
      <c r="T428" s="440" t="s">
        <v>91</v>
      </c>
      <c r="U428" s="441"/>
      <c r="V428" s="441"/>
      <c r="W428" s="441"/>
      <c r="X428" s="441"/>
      <c r="Y428" s="442"/>
      <c r="Z428" s="165"/>
      <c r="AA428" s="162"/>
      <c r="AB428" s="161"/>
      <c r="AC428" s="161"/>
    </row>
    <row r="429" spans="1:29" ht="18" customHeight="1" x14ac:dyDescent="0.2">
      <c r="A429" s="166"/>
      <c r="B429" s="152"/>
      <c r="C429" s="152"/>
      <c r="D429" s="152"/>
      <c r="E429" s="152"/>
      <c r="F429" s="152"/>
      <c r="G429" s="152"/>
      <c r="H429" s="190"/>
      <c r="I429" s="152"/>
      <c r="J429" s="152"/>
      <c r="K429" s="152"/>
      <c r="L429" s="191"/>
      <c r="M429" s="170"/>
      <c r="N429" s="171"/>
      <c r="O429" s="172" t="s">
        <v>93</v>
      </c>
      <c r="P429" s="172" t="s">
        <v>94</v>
      </c>
      <c r="Q429" s="172" t="s">
        <v>95</v>
      </c>
      <c r="R429" s="172" t="s">
        <v>96</v>
      </c>
      <c r="S429" s="173"/>
      <c r="T429" s="172" t="s">
        <v>93</v>
      </c>
      <c r="U429" s="172" t="s">
        <v>97</v>
      </c>
      <c r="V429" s="172" t="s">
        <v>9</v>
      </c>
      <c r="W429" s="172" t="s">
        <v>10</v>
      </c>
      <c r="X429" s="172" t="s">
        <v>11</v>
      </c>
      <c r="Y429" s="172" t="s">
        <v>98</v>
      </c>
      <c r="Z429" s="174"/>
      <c r="AA429" s="170"/>
      <c r="AB429" s="161"/>
      <c r="AC429" s="161"/>
    </row>
    <row r="430" spans="1:29" ht="18" customHeight="1" x14ac:dyDescent="0.2">
      <c r="A430" s="166"/>
      <c r="B430" s="445" t="s">
        <v>90</v>
      </c>
      <c r="C430" s="413"/>
      <c r="D430" s="152"/>
      <c r="E430" s="152"/>
      <c r="F430" s="192" t="s">
        <v>107</v>
      </c>
      <c r="G430" s="193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0" s="190"/>
      <c r="I430" s="194">
        <f>IF(C434&gt;=C433,$K$2,C432+C434)</f>
        <v>31</v>
      </c>
      <c r="J430" s="195" t="s">
        <v>108</v>
      </c>
      <c r="K430" s="196">
        <f>K426/$K$2*I430</f>
        <v>32000</v>
      </c>
      <c r="L430" s="197"/>
      <c r="M430" s="161"/>
      <c r="N430" s="178"/>
      <c r="O430" s="179" t="s">
        <v>100</v>
      </c>
      <c r="P430" s="179">
        <v>31</v>
      </c>
      <c r="Q430" s="179">
        <v>0</v>
      </c>
      <c r="R430" s="179"/>
      <c r="S430" s="180"/>
      <c r="T430" s="179" t="s">
        <v>100</v>
      </c>
      <c r="U430" s="181"/>
      <c r="V430" s="181"/>
      <c r="W430" s="181">
        <f>V430+U430</f>
        <v>0</v>
      </c>
      <c r="X430" s="181"/>
      <c r="Y430" s="181">
        <f>W430-X430</f>
        <v>0</v>
      </c>
      <c r="Z430" s="174"/>
      <c r="AA430" s="161"/>
      <c r="AB430" s="161"/>
      <c r="AC430" s="161"/>
    </row>
    <row r="431" spans="1:29" ht="18" customHeight="1" x14ac:dyDescent="0.2">
      <c r="A431" s="166"/>
      <c r="B431" s="198"/>
      <c r="C431" s="198"/>
      <c r="D431" s="152"/>
      <c r="E431" s="152"/>
      <c r="F431" s="192" t="s">
        <v>9</v>
      </c>
      <c r="G431" s="193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1" s="190"/>
      <c r="I431" s="194">
        <v>11</v>
      </c>
      <c r="J431" s="195" t="s">
        <v>110</v>
      </c>
      <c r="K431" s="193">
        <f>K426/$K$2/8*I431</f>
        <v>1419.3548387096773</v>
      </c>
      <c r="L431" s="199"/>
      <c r="M431" s="162"/>
      <c r="N431" s="184"/>
      <c r="O431" s="179" t="s">
        <v>102</v>
      </c>
      <c r="P431" s="179">
        <v>29</v>
      </c>
      <c r="Q431" s="179">
        <v>0</v>
      </c>
      <c r="R431" s="179">
        <f>IF(Q431="","",R430-Q431)</f>
        <v>0</v>
      </c>
      <c r="S431" s="159"/>
      <c r="T431" s="179" t="s">
        <v>102</v>
      </c>
      <c r="U431" s="185">
        <f>IF($J$1="January","",Y430)</f>
        <v>0</v>
      </c>
      <c r="V431" s="181"/>
      <c r="W431" s="185">
        <f t="shared" ref="W431:W441" si="133">IF(U431="","",U431+V431)</f>
        <v>0</v>
      </c>
      <c r="X431" s="181"/>
      <c r="Y431" s="185">
        <f t="shared" ref="Y431:Y441" si="134">IF(W431="","",W431-X431)</f>
        <v>0</v>
      </c>
      <c r="Z431" s="186"/>
      <c r="AA431" s="162"/>
      <c r="AB431" s="161"/>
      <c r="AC431" s="161"/>
    </row>
    <row r="432" spans="1:29" ht="18" customHeight="1" x14ac:dyDescent="0.2">
      <c r="A432" s="166"/>
      <c r="B432" s="192" t="s">
        <v>94</v>
      </c>
      <c r="C432" s="198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0</v>
      </c>
      <c r="D432" s="152"/>
      <c r="E432" s="152"/>
      <c r="F432" s="192" t="s">
        <v>111</v>
      </c>
      <c r="G432" s="193" t="str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/>
      </c>
      <c r="H432" s="190"/>
      <c r="I432" s="446" t="s">
        <v>112</v>
      </c>
      <c r="J432" s="413"/>
      <c r="K432" s="193">
        <f>K430+K431</f>
        <v>33419.354838709674</v>
      </c>
      <c r="L432" s="199"/>
      <c r="M432" s="161"/>
      <c r="N432" s="178"/>
      <c r="O432" s="179" t="s">
        <v>105</v>
      </c>
      <c r="P432" s="179">
        <v>31</v>
      </c>
      <c r="Q432" s="179">
        <v>0</v>
      </c>
      <c r="R432" s="179">
        <v>0</v>
      </c>
      <c r="S432" s="159"/>
      <c r="T432" s="179" t="s">
        <v>105</v>
      </c>
      <c r="U432" s="185">
        <f>IF($J$1="February","",Y431)</f>
        <v>0</v>
      </c>
      <c r="V432" s="181">
        <v>25000</v>
      </c>
      <c r="W432" s="185">
        <f t="shared" si="133"/>
        <v>25000</v>
      </c>
      <c r="X432" s="181"/>
      <c r="Y432" s="185">
        <f t="shared" si="134"/>
        <v>25000</v>
      </c>
      <c r="Z432" s="186"/>
      <c r="AA432" s="161"/>
      <c r="AB432" s="161"/>
      <c r="AC432" s="161"/>
    </row>
    <row r="433" spans="1:29" ht="18" customHeight="1" x14ac:dyDescent="0.2">
      <c r="A433" s="166"/>
      <c r="B433" s="192" t="s">
        <v>95</v>
      </c>
      <c r="C433" s="198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3" s="152"/>
      <c r="E433" s="152"/>
      <c r="F433" s="192" t="s">
        <v>11</v>
      </c>
      <c r="G433" s="193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3" s="190"/>
      <c r="I433" s="446" t="s">
        <v>114</v>
      </c>
      <c r="J433" s="413"/>
      <c r="K433" s="193">
        <f>G433</f>
        <v>0</v>
      </c>
      <c r="L433" s="199"/>
      <c r="M433" s="161"/>
      <c r="N433" s="178"/>
      <c r="O433" s="179" t="s">
        <v>106</v>
      </c>
      <c r="P433" s="179">
        <v>30</v>
      </c>
      <c r="Q433" s="179">
        <v>0</v>
      </c>
      <c r="R433" s="179">
        <f t="shared" ref="R433:R437" si="135">IF(Q433="","",R432-Q433)</f>
        <v>0</v>
      </c>
      <c r="S433" s="159"/>
      <c r="T433" s="179" t="s">
        <v>106</v>
      </c>
      <c r="U433" s="185">
        <f t="shared" ref="U433:U435" si="136">Y432</f>
        <v>25000</v>
      </c>
      <c r="V433" s="181"/>
      <c r="W433" s="185">
        <f t="shared" si="133"/>
        <v>25000</v>
      </c>
      <c r="X433" s="181">
        <v>5000</v>
      </c>
      <c r="Y433" s="185">
        <f t="shared" si="134"/>
        <v>20000</v>
      </c>
      <c r="Z433" s="186"/>
      <c r="AA433" s="161"/>
      <c r="AB433" s="161"/>
      <c r="AC433" s="161"/>
    </row>
    <row r="434" spans="1:29" ht="18" customHeight="1" x14ac:dyDescent="0.2">
      <c r="A434" s="166"/>
      <c r="B434" s="207" t="s">
        <v>116</v>
      </c>
      <c r="C434" s="198" t="str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/>
      </c>
      <c r="D434" s="152"/>
      <c r="E434" s="152"/>
      <c r="F434" s="207" t="s">
        <v>117</v>
      </c>
      <c r="G434" s="193" t="str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/>
      </c>
      <c r="H434" s="152"/>
      <c r="I434" s="439" t="s">
        <v>13</v>
      </c>
      <c r="J434" s="413"/>
      <c r="K434" s="37">
        <f>K432-K433</f>
        <v>33419.354838709674</v>
      </c>
      <c r="L434" s="183"/>
      <c r="M434" s="161"/>
      <c r="N434" s="178"/>
      <c r="O434" s="179" t="s">
        <v>109</v>
      </c>
      <c r="P434" s="179">
        <v>31</v>
      </c>
      <c r="Q434" s="179">
        <v>0</v>
      </c>
      <c r="R434" s="179">
        <f t="shared" si="135"/>
        <v>0</v>
      </c>
      <c r="S434" s="159"/>
      <c r="T434" s="179" t="s">
        <v>109</v>
      </c>
      <c r="U434" s="185">
        <f t="shared" si="136"/>
        <v>20000</v>
      </c>
      <c r="V434" s="181"/>
      <c r="W434" s="185">
        <f t="shared" si="133"/>
        <v>20000</v>
      </c>
      <c r="X434" s="181">
        <v>5000</v>
      </c>
      <c r="Y434" s="185">
        <f t="shared" si="134"/>
        <v>15000</v>
      </c>
      <c r="Z434" s="186"/>
      <c r="AA434" s="161"/>
      <c r="AB434" s="161"/>
      <c r="AC434" s="161"/>
    </row>
    <row r="435" spans="1:29" ht="18" customHeight="1" x14ac:dyDescent="0.2">
      <c r="A435" s="166"/>
      <c r="B435" s="152"/>
      <c r="C435" s="152"/>
      <c r="D435" s="152"/>
      <c r="E435" s="152"/>
      <c r="F435" s="152"/>
      <c r="G435" s="152"/>
      <c r="H435" s="152"/>
      <c r="I435" s="434"/>
      <c r="J435" s="435"/>
      <c r="K435" s="154"/>
      <c r="L435" s="189"/>
      <c r="M435" s="161"/>
      <c r="N435" s="178"/>
      <c r="O435" s="179" t="s">
        <v>85</v>
      </c>
      <c r="P435" s="179">
        <v>30</v>
      </c>
      <c r="Q435" s="179">
        <v>0</v>
      </c>
      <c r="R435" s="179">
        <f t="shared" si="135"/>
        <v>0</v>
      </c>
      <c r="S435" s="159"/>
      <c r="T435" s="179" t="s">
        <v>85</v>
      </c>
      <c r="U435" s="185">
        <f t="shared" si="136"/>
        <v>15000</v>
      </c>
      <c r="V435" s="181"/>
      <c r="W435" s="185">
        <f t="shared" si="133"/>
        <v>15000</v>
      </c>
      <c r="X435" s="181">
        <v>3000</v>
      </c>
      <c r="Y435" s="185">
        <f t="shared" si="134"/>
        <v>12000</v>
      </c>
      <c r="Z435" s="186"/>
      <c r="AA435" s="161"/>
      <c r="AB435" s="161"/>
      <c r="AC435" s="161"/>
    </row>
    <row r="436" spans="1:29" ht="18" customHeight="1" x14ac:dyDescent="0.3">
      <c r="A436" s="166"/>
      <c r="B436" s="150"/>
      <c r="C436" s="150"/>
      <c r="D436" s="150"/>
      <c r="E436" s="150"/>
      <c r="F436" s="150"/>
      <c r="G436" s="150"/>
      <c r="H436" s="150"/>
      <c r="I436" s="434"/>
      <c r="J436" s="435"/>
      <c r="K436" s="154"/>
      <c r="L436" s="189"/>
      <c r="M436" s="161"/>
      <c r="N436" s="178"/>
      <c r="O436" s="179" t="s">
        <v>113</v>
      </c>
      <c r="P436" s="179">
        <v>31</v>
      </c>
      <c r="Q436" s="179">
        <v>0</v>
      </c>
      <c r="R436" s="179">
        <f t="shared" si="135"/>
        <v>0</v>
      </c>
      <c r="S436" s="159"/>
      <c r="T436" s="179" t="s">
        <v>113</v>
      </c>
      <c r="U436" s="185">
        <f>Y435</f>
        <v>12000</v>
      </c>
      <c r="V436" s="181"/>
      <c r="W436" s="185">
        <f t="shared" si="133"/>
        <v>12000</v>
      </c>
      <c r="X436" s="181">
        <v>3000</v>
      </c>
      <c r="Y436" s="185">
        <f t="shared" si="134"/>
        <v>9000</v>
      </c>
      <c r="Z436" s="186"/>
      <c r="AA436" s="161"/>
      <c r="AB436" s="161"/>
      <c r="AC436" s="161"/>
    </row>
    <row r="437" spans="1:29" ht="18" customHeight="1" thickBot="1" x14ac:dyDescent="0.35">
      <c r="A437" s="200"/>
      <c r="B437" s="201"/>
      <c r="C437" s="201"/>
      <c r="D437" s="201"/>
      <c r="E437" s="201"/>
      <c r="F437" s="201"/>
      <c r="G437" s="201"/>
      <c r="H437" s="201"/>
      <c r="I437" s="201"/>
      <c r="J437" s="201"/>
      <c r="K437" s="201"/>
      <c r="L437" s="202"/>
      <c r="M437" s="161"/>
      <c r="N437" s="178"/>
      <c r="O437" s="179" t="s">
        <v>115</v>
      </c>
      <c r="P437" s="179"/>
      <c r="Q437" s="179"/>
      <c r="R437" s="179" t="str">
        <f t="shared" si="135"/>
        <v/>
      </c>
      <c r="S437" s="159"/>
      <c r="T437" s="179" t="s">
        <v>115</v>
      </c>
      <c r="U437" s="185"/>
      <c r="V437" s="181"/>
      <c r="W437" s="185" t="str">
        <f t="shared" si="133"/>
        <v/>
      </c>
      <c r="X437" s="181"/>
      <c r="Y437" s="185" t="str">
        <f t="shared" si="134"/>
        <v/>
      </c>
      <c r="Z437" s="186"/>
      <c r="AA437" s="161"/>
      <c r="AB437" s="161"/>
      <c r="AC437" s="161"/>
    </row>
    <row r="438" spans="1:29" ht="18" customHeight="1" thickBot="1" x14ac:dyDescent="0.25">
      <c r="A438" s="203"/>
      <c r="B438" s="203"/>
      <c r="C438" s="203"/>
      <c r="D438" s="203"/>
      <c r="E438" s="203"/>
      <c r="F438" s="203"/>
      <c r="G438" s="203"/>
      <c r="H438" s="203"/>
      <c r="I438" s="203"/>
      <c r="J438" s="203"/>
      <c r="K438" s="203"/>
      <c r="L438" s="203"/>
      <c r="M438" s="161"/>
      <c r="N438" s="178"/>
      <c r="O438" s="179" t="s">
        <v>118</v>
      </c>
      <c r="P438" s="179"/>
      <c r="Q438" s="179"/>
      <c r="R438" s="179">
        <v>0</v>
      </c>
      <c r="S438" s="159"/>
      <c r="T438" s="179" t="s">
        <v>118</v>
      </c>
      <c r="U438" s="185" t="str">
        <f>IF($J$1="September",Y437,"")</f>
        <v/>
      </c>
      <c r="V438" s="181"/>
      <c r="W438" s="185" t="str">
        <f t="shared" si="133"/>
        <v/>
      </c>
      <c r="X438" s="181"/>
      <c r="Y438" s="185" t="str">
        <f t="shared" si="134"/>
        <v/>
      </c>
      <c r="Z438" s="186"/>
      <c r="AA438" s="161"/>
      <c r="AB438" s="161"/>
      <c r="AC438" s="161"/>
    </row>
    <row r="439" spans="1:29" ht="18" customHeight="1" thickBot="1" x14ac:dyDescent="0.25">
      <c r="A439" s="447" t="s">
        <v>89</v>
      </c>
      <c r="B439" s="453"/>
      <c r="C439" s="453"/>
      <c r="D439" s="453"/>
      <c r="E439" s="453"/>
      <c r="F439" s="453"/>
      <c r="G439" s="453"/>
      <c r="H439" s="453"/>
      <c r="I439" s="453"/>
      <c r="J439" s="453"/>
      <c r="K439" s="453"/>
      <c r="L439" s="454"/>
      <c r="M439" s="161"/>
      <c r="N439" s="178"/>
      <c r="O439" s="179" t="s">
        <v>119</v>
      </c>
      <c r="P439" s="179"/>
      <c r="Q439" s="179"/>
      <c r="R439" s="179">
        <v>0</v>
      </c>
      <c r="S439" s="159"/>
      <c r="T439" s="179" t="s">
        <v>119</v>
      </c>
      <c r="U439" s="185" t="str">
        <f>IF($J$1="October",Y438,"")</f>
        <v/>
      </c>
      <c r="V439" s="181"/>
      <c r="W439" s="185" t="str">
        <f t="shared" si="133"/>
        <v/>
      </c>
      <c r="X439" s="181"/>
      <c r="Y439" s="185" t="str">
        <f t="shared" si="134"/>
        <v/>
      </c>
      <c r="Z439" s="186"/>
      <c r="AA439" s="161"/>
      <c r="AB439" s="161"/>
      <c r="AC439" s="161"/>
    </row>
    <row r="440" spans="1:29" ht="18" customHeight="1" x14ac:dyDescent="0.2">
      <c r="A440" s="166"/>
      <c r="B440" s="152"/>
      <c r="C440" s="443" t="s">
        <v>180</v>
      </c>
      <c r="D440" s="435"/>
      <c r="E440" s="435"/>
      <c r="F440" s="435"/>
      <c r="G440" s="167" t="str">
        <f>$J$1</f>
        <v>August</v>
      </c>
      <c r="H440" s="444">
        <f>$K$1</f>
        <v>2024</v>
      </c>
      <c r="I440" s="435"/>
      <c r="J440" s="152"/>
      <c r="K440" s="168"/>
      <c r="L440" s="169"/>
      <c r="M440" s="161"/>
      <c r="N440" s="178"/>
      <c r="O440" s="179" t="s">
        <v>120</v>
      </c>
      <c r="P440" s="179"/>
      <c r="Q440" s="179"/>
      <c r="R440" s="179" t="str">
        <f>IF(Q440="","",R439-Q440)</f>
        <v/>
      </c>
      <c r="S440" s="159"/>
      <c r="T440" s="179" t="s">
        <v>120</v>
      </c>
      <c r="U440" s="185"/>
      <c r="V440" s="181"/>
      <c r="W440" s="185" t="str">
        <f t="shared" si="133"/>
        <v/>
      </c>
      <c r="X440" s="181"/>
      <c r="Y440" s="185" t="str">
        <f t="shared" si="134"/>
        <v/>
      </c>
      <c r="Z440" s="186"/>
      <c r="AA440" s="161"/>
      <c r="AB440" s="161"/>
      <c r="AC440" s="161"/>
    </row>
    <row r="441" spans="1:29" ht="18" customHeight="1" x14ac:dyDescent="0.2">
      <c r="A441" s="166"/>
      <c r="B441" s="152"/>
      <c r="C441" s="152"/>
      <c r="D441" s="175"/>
      <c r="E441" s="175"/>
      <c r="F441" s="175"/>
      <c r="G441" s="175"/>
      <c r="H441" s="175"/>
      <c r="I441" s="152"/>
      <c r="J441" s="176" t="s">
        <v>99</v>
      </c>
      <c r="K441" s="154">
        <f>25000+2500+2000+2000+3000</f>
        <v>34500</v>
      </c>
      <c r="L441" s="177"/>
      <c r="M441" s="161"/>
      <c r="N441" s="178"/>
      <c r="O441" s="179" t="s">
        <v>121</v>
      </c>
      <c r="P441" s="179"/>
      <c r="Q441" s="179"/>
      <c r="R441" s="179">
        <v>0</v>
      </c>
      <c r="S441" s="159"/>
      <c r="T441" s="179" t="s">
        <v>121</v>
      </c>
      <c r="U441" s="185"/>
      <c r="V441" s="181"/>
      <c r="W441" s="185" t="str">
        <f t="shared" si="133"/>
        <v/>
      </c>
      <c r="X441" s="181"/>
      <c r="Y441" s="185" t="str">
        <f t="shared" si="134"/>
        <v/>
      </c>
      <c r="Z441" s="186"/>
      <c r="AA441" s="161"/>
      <c r="AB441" s="161"/>
      <c r="AC441" s="161"/>
    </row>
    <row r="442" spans="1:29" ht="18" customHeight="1" thickBot="1" x14ac:dyDescent="0.25">
      <c r="A442" s="166"/>
      <c r="B442" s="152" t="s">
        <v>101</v>
      </c>
      <c r="C442" s="151" t="s">
        <v>181</v>
      </c>
      <c r="D442" s="152"/>
      <c r="E442" s="152"/>
      <c r="F442" s="152"/>
      <c r="G442" s="152"/>
      <c r="H442" s="182"/>
      <c r="I442" s="175"/>
      <c r="J442" s="152"/>
      <c r="K442" s="152"/>
      <c r="L442" s="183"/>
      <c r="M442" s="204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  <c r="AA442" s="204"/>
      <c r="AB442" s="204"/>
      <c r="AC442" s="204"/>
    </row>
    <row r="443" spans="1:29" ht="18" customHeight="1" x14ac:dyDescent="0.2">
      <c r="A443" s="166"/>
      <c r="B443" s="187" t="s">
        <v>103</v>
      </c>
      <c r="C443" s="188"/>
      <c r="D443" s="152"/>
      <c r="E443" s="152"/>
      <c r="F443" s="439" t="s">
        <v>91</v>
      </c>
      <c r="G443" s="413"/>
      <c r="H443" s="152"/>
      <c r="I443" s="439" t="s">
        <v>104</v>
      </c>
      <c r="J443" s="412"/>
      <c r="K443" s="413"/>
      <c r="L443" s="189"/>
      <c r="M443" s="162"/>
      <c r="N443" s="163"/>
      <c r="O443" s="440" t="s">
        <v>90</v>
      </c>
      <c r="P443" s="441"/>
      <c r="Q443" s="441"/>
      <c r="R443" s="442"/>
      <c r="S443" s="164"/>
      <c r="T443" s="440" t="s">
        <v>91</v>
      </c>
      <c r="U443" s="441"/>
      <c r="V443" s="441"/>
      <c r="W443" s="441"/>
      <c r="X443" s="441"/>
      <c r="Y443" s="442"/>
      <c r="Z443" s="165"/>
      <c r="AA443" s="161"/>
      <c r="AB443" s="161"/>
      <c r="AC443" s="161"/>
    </row>
    <row r="444" spans="1:29" ht="18" customHeight="1" x14ac:dyDescent="0.2">
      <c r="A444" s="166"/>
      <c r="B444" s="152"/>
      <c r="C444" s="152"/>
      <c r="D444" s="152"/>
      <c r="E444" s="152"/>
      <c r="F444" s="152"/>
      <c r="G444" s="152"/>
      <c r="H444" s="190"/>
      <c r="I444" s="152"/>
      <c r="J444" s="152"/>
      <c r="K444" s="152"/>
      <c r="L444" s="191"/>
      <c r="M444" s="170"/>
      <c r="N444" s="171"/>
      <c r="O444" s="172" t="s">
        <v>93</v>
      </c>
      <c r="P444" s="172" t="s">
        <v>94</v>
      </c>
      <c r="Q444" s="172" t="s">
        <v>95</v>
      </c>
      <c r="R444" s="172" t="s">
        <v>96</v>
      </c>
      <c r="S444" s="173"/>
      <c r="T444" s="172" t="s">
        <v>93</v>
      </c>
      <c r="U444" s="172" t="s">
        <v>97</v>
      </c>
      <c r="V444" s="172" t="s">
        <v>9</v>
      </c>
      <c r="W444" s="172" t="s">
        <v>10</v>
      </c>
      <c r="X444" s="172" t="s">
        <v>11</v>
      </c>
      <c r="Y444" s="172" t="s">
        <v>98</v>
      </c>
      <c r="Z444" s="174"/>
      <c r="AA444" s="161"/>
      <c r="AB444" s="161"/>
      <c r="AC444" s="161"/>
    </row>
    <row r="445" spans="1:29" ht="18" customHeight="1" x14ac:dyDescent="0.2">
      <c r="A445" s="166"/>
      <c r="B445" s="445" t="s">
        <v>90</v>
      </c>
      <c r="C445" s="413"/>
      <c r="D445" s="152"/>
      <c r="E445" s="152"/>
      <c r="F445" s="192" t="s">
        <v>107</v>
      </c>
      <c r="G445" s="193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5" s="190"/>
      <c r="I445" s="194">
        <f>IF(C449&gt;=C448,$K$2,C447+C449)</f>
        <v>31</v>
      </c>
      <c r="J445" s="195" t="s">
        <v>108</v>
      </c>
      <c r="K445" s="196">
        <f>K441/$K$2*I445</f>
        <v>34500</v>
      </c>
      <c r="L445" s="197"/>
      <c r="M445" s="161"/>
      <c r="N445" s="178"/>
      <c r="O445" s="179" t="s">
        <v>100</v>
      </c>
      <c r="P445" s="179">
        <v>31</v>
      </c>
      <c r="Q445" s="179">
        <v>0</v>
      </c>
      <c r="R445" s="179">
        <v>0</v>
      </c>
      <c r="S445" s="180"/>
      <c r="T445" s="179" t="s">
        <v>100</v>
      </c>
      <c r="U445" s="181"/>
      <c r="V445" s="181"/>
      <c r="W445" s="181">
        <f>V445+U445</f>
        <v>0</v>
      </c>
      <c r="X445" s="181"/>
      <c r="Y445" s="181">
        <f>W445-X445</f>
        <v>0</v>
      </c>
      <c r="Z445" s="174"/>
      <c r="AA445" s="161"/>
      <c r="AB445" s="161"/>
      <c r="AC445" s="161"/>
    </row>
    <row r="446" spans="1:29" ht="18" customHeight="1" x14ac:dyDescent="0.2">
      <c r="A446" s="166"/>
      <c r="B446" s="198"/>
      <c r="C446" s="198"/>
      <c r="D446" s="152"/>
      <c r="E446" s="152"/>
      <c r="F446" s="192" t="s">
        <v>9</v>
      </c>
      <c r="G446" s="193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46" s="190"/>
      <c r="I446" s="194">
        <v>37</v>
      </c>
      <c r="J446" s="195" t="s">
        <v>110</v>
      </c>
      <c r="K446" s="193">
        <f>K441/$K$2/8*I446</f>
        <v>5147.177419354839</v>
      </c>
      <c r="L446" s="199"/>
      <c r="M446" s="162"/>
      <c r="N446" s="184"/>
      <c r="O446" s="179" t="s">
        <v>102</v>
      </c>
      <c r="P446" s="179">
        <v>29</v>
      </c>
      <c r="Q446" s="179">
        <v>0</v>
      </c>
      <c r="R446" s="179">
        <v>0</v>
      </c>
      <c r="S446" s="159"/>
      <c r="T446" s="179" t="s">
        <v>102</v>
      </c>
      <c r="U446" s="185">
        <f>IF($J$1="January","",Y445)</f>
        <v>0</v>
      </c>
      <c r="V446" s="181"/>
      <c r="W446" s="185">
        <f t="shared" ref="W446:W456" si="137">IF(U446="","",U446+V446)</f>
        <v>0</v>
      </c>
      <c r="X446" s="181"/>
      <c r="Y446" s="185">
        <f t="shared" ref="Y446:Y456" si="138">IF(W446="","",W446-X446)</f>
        <v>0</v>
      </c>
      <c r="Z446" s="186"/>
      <c r="AA446" s="161"/>
      <c r="AB446" s="161"/>
      <c r="AC446" s="161"/>
    </row>
    <row r="447" spans="1:29" ht="18" customHeight="1" x14ac:dyDescent="0.2">
      <c r="A447" s="166"/>
      <c r="B447" s="192" t="s">
        <v>94</v>
      </c>
      <c r="C447" s="198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47" s="152"/>
      <c r="E447" s="152"/>
      <c r="F447" s="192" t="s">
        <v>111</v>
      </c>
      <c r="G447" s="193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47" s="190"/>
      <c r="I447" s="446" t="s">
        <v>112</v>
      </c>
      <c r="J447" s="413"/>
      <c r="K447" s="193">
        <f>K445+K446</f>
        <v>39647.177419354841</v>
      </c>
      <c r="L447" s="199"/>
      <c r="M447" s="161"/>
      <c r="N447" s="178"/>
      <c r="O447" s="179" t="s">
        <v>105</v>
      </c>
      <c r="P447" s="179">
        <v>31</v>
      </c>
      <c r="Q447" s="179">
        <v>0</v>
      </c>
      <c r="R447" s="179">
        <v>0</v>
      </c>
      <c r="S447" s="159"/>
      <c r="T447" s="179" t="s">
        <v>105</v>
      </c>
      <c r="U447" s="185">
        <f>IF($J$1="February","",Y446)</f>
        <v>0</v>
      </c>
      <c r="V447" s="181"/>
      <c r="W447" s="185">
        <f t="shared" si="137"/>
        <v>0</v>
      </c>
      <c r="X447" s="181"/>
      <c r="Y447" s="185">
        <f t="shared" si="138"/>
        <v>0</v>
      </c>
      <c r="Z447" s="186"/>
      <c r="AA447" s="161"/>
      <c r="AB447" s="161"/>
      <c r="AC447" s="161"/>
    </row>
    <row r="448" spans="1:29" ht="18" customHeight="1" x14ac:dyDescent="0.2">
      <c r="A448" s="166"/>
      <c r="B448" s="192" t="s">
        <v>95</v>
      </c>
      <c r="C448" s="198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48" s="152"/>
      <c r="E448" s="152"/>
      <c r="F448" s="192" t="s">
        <v>11</v>
      </c>
      <c r="G448" s="193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48" s="190"/>
      <c r="I448" s="446" t="s">
        <v>114</v>
      </c>
      <c r="J448" s="413"/>
      <c r="K448" s="193">
        <f>G448</f>
        <v>0</v>
      </c>
      <c r="L448" s="199"/>
      <c r="M448" s="161"/>
      <c r="N448" s="178"/>
      <c r="O448" s="179" t="s">
        <v>106</v>
      </c>
      <c r="P448" s="179">
        <v>30</v>
      </c>
      <c r="Q448" s="179">
        <v>0</v>
      </c>
      <c r="R448" s="179">
        <v>0</v>
      </c>
      <c r="S448" s="159"/>
      <c r="T448" s="179" t="s">
        <v>106</v>
      </c>
      <c r="U448" s="185">
        <f>IF($J$1="March","",Y447)</f>
        <v>0</v>
      </c>
      <c r="V448" s="181"/>
      <c r="W448" s="185">
        <f t="shared" si="137"/>
        <v>0</v>
      </c>
      <c r="X448" s="181"/>
      <c r="Y448" s="185">
        <f t="shared" si="138"/>
        <v>0</v>
      </c>
      <c r="Z448" s="186"/>
      <c r="AA448" s="161"/>
      <c r="AB448" s="161"/>
      <c r="AC448" s="161"/>
    </row>
    <row r="449" spans="1:29" ht="18" customHeight="1" x14ac:dyDescent="0.2">
      <c r="A449" s="166"/>
      <c r="B449" s="207" t="s">
        <v>116</v>
      </c>
      <c r="C449" s="198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49" s="152"/>
      <c r="E449" s="152"/>
      <c r="F449" s="207" t="s">
        <v>117</v>
      </c>
      <c r="G449" s="193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49" s="152"/>
      <c r="I449" s="439" t="s">
        <v>13</v>
      </c>
      <c r="J449" s="413"/>
      <c r="K449" s="37">
        <f>K447-K448</f>
        <v>39647.177419354841</v>
      </c>
      <c r="L449" s="183"/>
      <c r="M449" s="161"/>
      <c r="N449" s="178"/>
      <c r="O449" s="179" t="s">
        <v>109</v>
      </c>
      <c r="P449" s="179">
        <v>31</v>
      </c>
      <c r="Q449" s="179">
        <v>0</v>
      </c>
      <c r="R449" s="179">
        <v>0</v>
      </c>
      <c r="S449" s="159"/>
      <c r="T449" s="179" t="s">
        <v>109</v>
      </c>
      <c r="U449" s="185">
        <f>IF($J$1="April","",Y448)</f>
        <v>0</v>
      </c>
      <c r="V449" s="181"/>
      <c r="W449" s="185">
        <f t="shared" si="137"/>
        <v>0</v>
      </c>
      <c r="X449" s="181"/>
      <c r="Y449" s="185">
        <f t="shared" si="138"/>
        <v>0</v>
      </c>
      <c r="Z449" s="186"/>
      <c r="AA449" s="161"/>
      <c r="AB449" s="161"/>
      <c r="AC449" s="161"/>
    </row>
    <row r="450" spans="1:29" ht="18" customHeight="1" x14ac:dyDescent="0.2">
      <c r="A450" s="166"/>
      <c r="B450" s="152"/>
      <c r="C450" s="152"/>
      <c r="D450" s="152"/>
      <c r="E450" s="152"/>
      <c r="F450" s="152"/>
      <c r="G450" s="152"/>
      <c r="H450" s="152"/>
      <c r="I450" s="434"/>
      <c r="J450" s="435"/>
      <c r="K450" s="154"/>
      <c r="L450" s="189"/>
      <c r="M450" s="161"/>
      <c r="N450" s="178"/>
      <c r="O450" s="179" t="s">
        <v>85</v>
      </c>
      <c r="P450" s="179">
        <v>30</v>
      </c>
      <c r="Q450" s="179"/>
      <c r="R450" s="179">
        <v>0</v>
      </c>
      <c r="S450" s="159"/>
      <c r="T450" s="179" t="s">
        <v>85</v>
      </c>
      <c r="U450" s="185">
        <f>IF($J$1="May","",Y449)</f>
        <v>0</v>
      </c>
      <c r="V450" s="181"/>
      <c r="W450" s="185">
        <f t="shared" si="137"/>
        <v>0</v>
      </c>
      <c r="X450" s="181"/>
      <c r="Y450" s="185">
        <f t="shared" si="138"/>
        <v>0</v>
      </c>
      <c r="Z450" s="186"/>
      <c r="AA450" s="161"/>
      <c r="AB450" s="161"/>
      <c r="AC450" s="161"/>
    </row>
    <row r="451" spans="1:29" ht="18" customHeight="1" x14ac:dyDescent="0.3">
      <c r="A451" s="166"/>
      <c r="B451" s="150"/>
      <c r="C451" s="150"/>
      <c r="D451" s="150"/>
      <c r="E451" s="150"/>
      <c r="F451" s="150"/>
      <c r="G451" s="150"/>
      <c r="H451" s="150"/>
      <c r="I451" s="434"/>
      <c r="J451" s="435"/>
      <c r="K451" s="154"/>
      <c r="L451" s="189"/>
      <c r="M451" s="161"/>
      <c r="N451" s="178"/>
      <c r="O451" s="179" t="s">
        <v>113</v>
      </c>
      <c r="P451" s="179">
        <v>31</v>
      </c>
      <c r="Q451" s="179">
        <v>0</v>
      </c>
      <c r="R451" s="179">
        <v>0</v>
      </c>
      <c r="S451" s="159"/>
      <c r="T451" s="179" t="s">
        <v>113</v>
      </c>
      <c r="U451" s="185">
        <f>IF($J$1="June","",Y450)</f>
        <v>0</v>
      </c>
      <c r="V451" s="181"/>
      <c r="W451" s="185">
        <f t="shared" si="137"/>
        <v>0</v>
      </c>
      <c r="X451" s="181"/>
      <c r="Y451" s="185">
        <f t="shared" si="138"/>
        <v>0</v>
      </c>
      <c r="Z451" s="186"/>
      <c r="AA451" s="161"/>
      <c r="AB451" s="161"/>
      <c r="AC451" s="161"/>
    </row>
    <row r="452" spans="1:29" ht="18" customHeight="1" thickBot="1" x14ac:dyDescent="0.35">
      <c r="A452" s="200"/>
      <c r="B452" s="201"/>
      <c r="C452" s="201"/>
      <c r="D452" s="201"/>
      <c r="E452" s="201"/>
      <c r="F452" s="201"/>
      <c r="G452" s="201"/>
      <c r="H452" s="201"/>
      <c r="I452" s="201"/>
      <c r="J452" s="201"/>
      <c r="K452" s="201"/>
      <c r="L452" s="202"/>
      <c r="M452" s="161"/>
      <c r="N452" s="178"/>
      <c r="O452" s="179" t="s">
        <v>115</v>
      </c>
      <c r="P452" s="179"/>
      <c r="Q452" s="179"/>
      <c r="R452" s="179">
        <v>0</v>
      </c>
      <c r="S452" s="159"/>
      <c r="T452" s="179" t="s">
        <v>115</v>
      </c>
      <c r="U452" s="185">
        <f>IF($J$1="July","",Y451)</f>
        <v>0</v>
      </c>
      <c r="V452" s="181"/>
      <c r="W452" s="185">
        <f t="shared" si="137"/>
        <v>0</v>
      </c>
      <c r="X452" s="181"/>
      <c r="Y452" s="185">
        <f t="shared" si="138"/>
        <v>0</v>
      </c>
      <c r="Z452" s="186"/>
      <c r="AA452" s="161"/>
      <c r="AB452" s="161"/>
      <c r="AC452" s="161"/>
    </row>
    <row r="453" spans="1:29" ht="18" customHeight="1" thickBot="1" x14ac:dyDescent="0.25">
      <c r="A453" s="203"/>
      <c r="B453" s="203"/>
      <c r="C453" s="203"/>
      <c r="D453" s="203"/>
      <c r="E453" s="203"/>
      <c r="F453" s="203"/>
      <c r="G453" s="203"/>
      <c r="H453" s="203"/>
      <c r="I453" s="203"/>
      <c r="J453" s="203"/>
      <c r="K453" s="203"/>
      <c r="L453" s="203"/>
      <c r="M453" s="161"/>
      <c r="N453" s="178"/>
      <c r="O453" s="179" t="s">
        <v>118</v>
      </c>
      <c r="P453" s="179"/>
      <c r="Q453" s="179"/>
      <c r="R453" s="179">
        <v>0</v>
      </c>
      <c r="S453" s="159"/>
      <c r="T453" s="179" t="s">
        <v>118</v>
      </c>
      <c r="U453" s="185" t="str">
        <f>IF($J$1="September",Y452,"")</f>
        <v/>
      </c>
      <c r="V453" s="181"/>
      <c r="W453" s="185" t="str">
        <f t="shared" si="137"/>
        <v/>
      </c>
      <c r="X453" s="181"/>
      <c r="Y453" s="185" t="str">
        <f t="shared" si="138"/>
        <v/>
      </c>
      <c r="Z453" s="186"/>
      <c r="AA453" s="161"/>
      <c r="AB453" s="161"/>
      <c r="AC453" s="161"/>
    </row>
    <row r="454" spans="1:29" ht="18" customHeight="1" thickBot="1" x14ac:dyDescent="0.25">
      <c r="A454" s="447" t="s">
        <v>89</v>
      </c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4"/>
      <c r="M454" s="161"/>
      <c r="N454" s="178"/>
      <c r="O454" s="179" t="s">
        <v>119</v>
      </c>
      <c r="P454" s="179"/>
      <c r="Q454" s="179"/>
      <c r="R454" s="179">
        <v>0</v>
      </c>
      <c r="S454" s="159"/>
      <c r="T454" s="179" t="s">
        <v>119</v>
      </c>
      <c r="U454" s="185" t="str">
        <f>IF($J$1="October",Y453,"")</f>
        <v/>
      </c>
      <c r="V454" s="181"/>
      <c r="W454" s="185" t="str">
        <f t="shared" si="137"/>
        <v/>
      </c>
      <c r="X454" s="181"/>
      <c r="Y454" s="185" t="str">
        <f t="shared" si="138"/>
        <v/>
      </c>
      <c r="Z454" s="186"/>
      <c r="AA454" s="161"/>
      <c r="AB454" s="161"/>
      <c r="AC454" s="161"/>
    </row>
    <row r="455" spans="1:29" ht="18" customHeight="1" x14ac:dyDescent="0.2">
      <c r="A455" s="166"/>
      <c r="B455" s="152"/>
      <c r="C455" s="443" t="s">
        <v>182</v>
      </c>
      <c r="D455" s="435"/>
      <c r="E455" s="435"/>
      <c r="F455" s="435"/>
      <c r="G455" s="167" t="str">
        <f>$J$1</f>
        <v>August</v>
      </c>
      <c r="H455" s="444">
        <f>$K$1</f>
        <v>2024</v>
      </c>
      <c r="I455" s="435"/>
      <c r="J455" s="152"/>
      <c r="K455" s="168"/>
      <c r="L455" s="169"/>
      <c r="M455" s="161"/>
      <c r="N455" s="178"/>
      <c r="O455" s="179" t="s">
        <v>120</v>
      </c>
      <c r="P455" s="179"/>
      <c r="Q455" s="179"/>
      <c r="R455" s="179">
        <v>0</v>
      </c>
      <c r="S455" s="159"/>
      <c r="T455" s="179" t="s">
        <v>120</v>
      </c>
      <c r="U455" s="185"/>
      <c r="V455" s="181"/>
      <c r="W455" s="185" t="str">
        <f t="shared" si="137"/>
        <v/>
      </c>
      <c r="X455" s="181"/>
      <c r="Y455" s="185" t="str">
        <f t="shared" si="138"/>
        <v/>
      </c>
      <c r="Z455" s="186"/>
      <c r="AA455" s="161"/>
      <c r="AB455" s="161"/>
      <c r="AC455" s="161"/>
    </row>
    <row r="456" spans="1:29" ht="18" customHeight="1" x14ac:dyDescent="0.2">
      <c r="A456" s="166"/>
      <c r="B456" s="152"/>
      <c r="C456" s="152"/>
      <c r="D456" s="175"/>
      <c r="E456" s="175"/>
      <c r="F456" s="175"/>
      <c r="G456" s="175"/>
      <c r="H456" s="175"/>
      <c r="I456" s="152"/>
      <c r="J456" s="176" t="s">
        <v>99</v>
      </c>
      <c r="K456" s="154">
        <f>22500+2500+2000+3000</f>
        <v>30000</v>
      </c>
      <c r="L456" s="177"/>
      <c r="M456" s="161"/>
      <c r="N456" s="178"/>
      <c r="O456" s="179" t="s">
        <v>121</v>
      </c>
      <c r="P456" s="179"/>
      <c r="Q456" s="179"/>
      <c r="R456" s="179">
        <v>0</v>
      </c>
      <c r="S456" s="159"/>
      <c r="T456" s="179" t="s">
        <v>121</v>
      </c>
      <c r="U456" s="185"/>
      <c r="V456" s="181"/>
      <c r="W456" s="185" t="str">
        <f t="shared" si="137"/>
        <v/>
      </c>
      <c r="X456" s="181"/>
      <c r="Y456" s="185" t="str">
        <f t="shared" si="138"/>
        <v/>
      </c>
      <c r="Z456" s="186"/>
      <c r="AA456" s="161"/>
      <c r="AB456" s="161"/>
      <c r="AC456" s="161"/>
    </row>
    <row r="457" spans="1:29" ht="18" customHeight="1" thickBot="1" x14ac:dyDescent="0.25">
      <c r="A457" s="166"/>
      <c r="B457" s="152" t="s">
        <v>101</v>
      </c>
      <c r="C457" s="151" t="s">
        <v>183</v>
      </c>
      <c r="D457" s="152"/>
      <c r="E457" s="152"/>
      <c r="F457" s="152"/>
      <c r="G457" s="152"/>
      <c r="H457" s="182"/>
      <c r="I457" s="175"/>
      <c r="J457" s="152"/>
      <c r="K457" s="152"/>
      <c r="L457" s="183"/>
      <c r="M457" s="204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  <c r="AA457" s="204"/>
      <c r="AB457" s="204"/>
      <c r="AC457" s="204"/>
    </row>
    <row r="458" spans="1:29" ht="18" customHeight="1" x14ac:dyDescent="0.2">
      <c r="A458" s="166"/>
      <c r="B458" s="187" t="s">
        <v>103</v>
      </c>
      <c r="C458" s="188"/>
      <c r="D458" s="152"/>
      <c r="E458" s="152"/>
      <c r="F458" s="439" t="s">
        <v>91</v>
      </c>
      <c r="G458" s="413"/>
      <c r="H458" s="152"/>
      <c r="I458" s="439" t="s">
        <v>104</v>
      </c>
      <c r="J458" s="412"/>
      <c r="K458" s="413"/>
      <c r="L458" s="189"/>
      <c r="M458" s="162"/>
      <c r="N458" s="163"/>
      <c r="O458" s="440" t="s">
        <v>90</v>
      </c>
      <c r="P458" s="441"/>
      <c r="Q458" s="441"/>
      <c r="R458" s="442"/>
      <c r="S458" s="164"/>
      <c r="T458" s="440" t="s">
        <v>91</v>
      </c>
      <c r="U458" s="441"/>
      <c r="V458" s="441"/>
      <c r="W458" s="441"/>
      <c r="X458" s="441"/>
      <c r="Y458" s="442"/>
      <c r="Z458" s="165"/>
      <c r="AA458" s="162"/>
      <c r="AB458" s="161"/>
      <c r="AC458" s="161"/>
    </row>
    <row r="459" spans="1:29" ht="18" customHeight="1" x14ac:dyDescent="0.2">
      <c r="A459" s="166"/>
      <c r="B459" s="152"/>
      <c r="C459" s="152"/>
      <c r="D459" s="152"/>
      <c r="E459" s="152"/>
      <c r="F459" s="152"/>
      <c r="G459" s="152"/>
      <c r="H459" s="190"/>
      <c r="I459" s="152"/>
      <c r="J459" s="152"/>
      <c r="K459" s="152"/>
      <c r="L459" s="191"/>
      <c r="M459" s="170"/>
      <c r="N459" s="171"/>
      <c r="O459" s="172" t="s">
        <v>93</v>
      </c>
      <c r="P459" s="172" t="s">
        <v>94</v>
      </c>
      <c r="Q459" s="172" t="s">
        <v>95</v>
      </c>
      <c r="R459" s="172" t="s">
        <v>96</v>
      </c>
      <c r="S459" s="173"/>
      <c r="T459" s="172" t="s">
        <v>93</v>
      </c>
      <c r="U459" s="172" t="s">
        <v>97</v>
      </c>
      <c r="V459" s="172" t="s">
        <v>9</v>
      </c>
      <c r="W459" s="172" t="s">
        <v>10</v>
      </c>
      <c r="X459" s="172" t="s">
        <v>11</v>
      </c>
      <c r="Y459" s="172" t="s">
        <v>98</v>
      </c>
      <c r="Z459" s="174"/>
      <c r="AA459" s="170"/>
      <c r="AB459" s="161"/>
      <c r="AC459" s="161"/>
    </row>
    <row r="460" spans="1:29" ht="18" customHeight="1" x14ac:dyDescent="0.2">
      <c r="A460" s="166"/>
      <c r="B460" s="445" t="s">
        <v>90</v>
      </c>
      <c r="C460" s="413"/>
      <c r="D460" s="152"/>
      <c r="E460" s="152"/>
      <c r="F460" s="192" t="s">
        <v>107</v>
      </c>
      <c r="G460" s="193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0" s="190"/>
      <c r="I460" s="194">
        <f>IF(C464&gt;=C463,$K$2,C462+C464)</f>
        <v>31</v>
      </c>
      <c r="J460" s="195" t="s">
        <v>108</v>
      </c>
      <c r="K460" s="196">
        <f>K456/$K$2*I460</f>
        <v>30000</v>
      </c>
      <c r="L460" s="197"/>
      <c r="M460" s="161"/>
      <c r="N460" s="178"/>
      <c r="O460" s="179" t="s">
        <v>100</v>
      </c>
      <c r="P460" s="179">
        <v>31</v>
      </c>
      <c r="Q460" s="179">
        <v>0</v>
      </c>
      <c r="R460" s="179">
        <v>0</v>
      </c>
      <c r="S460" s="180"/>
      <c r="T460" s="179" t="s">
        <v>100</v>
      </c>
      <c r="U460" s="181">
        <v>55000</v>
      </c>
      <c r="V460" s="181"/>
      <c r="W460" s="181">
        <f>V460+U460</f>
        <v>55000</v>
      </c>
      <c r="X460" s="181"/>
      <c r="Y460" s="181">
        <f>W460-X460</f>
        <v>55000</v>
      </c>
      <c r="Z460" s="174"/>
      <c r="AA460" s="161"/>
      <c r="AB460" s="161"/>
      <c r="AC460" s="161"/>
    </row>
    <row r="461" spans="1:29" ht="18" customHeight="1" x14ac:dyDescent="0.2">
      <c r="A461" s="166"/>
      <c r="B461" s="198"/>
      <c r="C461" s="198"/>
      <c r="D461" s="152"/>
      <c r="E461" s="152"/>
      <c r="F461" s="192" t="s">
        <v>9</v>
      </c>
      <c r="G461" s="193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1" s="190"/>
      <c r="I461" s="194">
        <v>73</v>
      </c>
      <c r="J461" s="195" t="s">
        <v>110</v>
      </c>
      <c r="K461" s="193">
        <f>K456/$K$2/8*I461</f>
        <v>8830.645161290322</v>
      </c>
      <c r="L461" s="199"/>
      <c r="M461" s="162"/>
      <c r="N461" s="184"/>
      <c r="O461" s="179" t="s">
        <v>102</v>
      </c>
      <c r="P461" s="179">
        <v>29</v>
      </c>
      <c r="Q461" s="179">
        <v>0</v>
      </c>
      <c r="R461" s="179">
        <v>0</v>
      </c>
      <c r="S461" s="159"/>
      <c r="T461" s="179" t="s">
        <v>102</v>
      </c>
      <c r="U461" s="185">
        <f t="shared" ref="U461:U462" si="139">Y460</f>
        <v>55000</v>
      </c>
      <c r="V461" s="181"/>
      <c r="W461" s="185">
        <f t="shared" ref="W461:W471" si="140">IF(U461="","",U461+V461)</f>
        <v>55000</v>
      </c>
      <c r="X461" s="181">
        <v>5000</v>
      </c>
      <c r="Y461" s="185">
        <f t="shared" ref="Y461:Y471" si="141">IF(W461="","",W461-X461)</f>
        <v>50000</v>
      </c>
      <c r="Z461" s="186"/>
      <c r="AA461" s="162"/>
      <c r="AB461" s="161"/>
      <c r="AC461" s="161"/>
    </row>
    <row r="462" spans="1:29" ht="18" customHeight="1" x14ac:dyDescent="0.2">
      <c r="A462" s="166"/>
      <c r="B462" s="192" t="s">
        <v>94</v>
      </c>
      <c r="C462" s="198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2" s="152"/>
      <c r="E462" s="152"/>
      <c r="F462" s="192" t="s">
        <v>111</v>
      </c>
      <c r="G462" s="193" t="str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/>
      </c>
      <c r="H462" s="190"/>
      <c r="I462" s="446" t="s">
        <v>112</v>
      </c>
      <c r="J462" s="413"/>
      <c r="K462" s="193">
        <f>K460+K461</f>
        <v>38830.645161290318</v>
      </c>
      <c r="L462" s="199"/>
      <c r="M462" s="161"/>
      <c r="N462" s="178"/>
      <c r="O462" s="179" t="s">
        <v>105</v>
      </c>
      <c r="P462" s="179">
        <v>31</v>
      </c>
      <c r="Q462" s="179">
        <v>0</v>
      </c>
      <c r="R462" s="179">
        <v>0</v>
      </c>
      <c r="S462" s="159"/>
      <c r="T462" s="179" t="s">
        <v>105</v>
      </c>
      <c r="U462" s="185">
        <f t="shared" si="139"/>
        <v>50000</v>
      </c>
      <c r="V462" s="181"/>
      <c r="W462" s="185">
        <f t="shared" si="140"/>
        <v>50000</v>
      </c>
      <c r="X462" s="181">
        <v>5000</v>
      </c>
      <c r="Y462" s="185">
        <f t="shared" si="141"/>
        <v>45000</v>
      </c>
      <c r="Z462" s="186"/>
      <c r="AA462" s="161"/>
      <c r="AB462" s="161"/>
      <c r="AC462" s="161"/>
    </row>
    <row r="463" spans="1:29" ht="18" customHeight="1" x14ac:dyDescent="0.2">
      <c r="A463" s="166"/>
      <c r="B463" s="192" t="s">
        <v>95</v>
      </c>
      <c r="C463" s="198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3" s="152"/>
      <c r="E463" s="152"/>
      <c r="F463" s="192" t="s">
        <v>11</v>
      </c>
      <c r="G463" s="193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3" s="190"/>
      <c r="I463" s="446" t="s">
        <v>114</v>
      </c>
      <c r="J463" s="413"/>
      <c r="K463" s="193">
        <f>G463</f>
        <v>0</v>
      </c>
      <c r="L463" s="199"/>
      <c r="M463" s="161"/>
      <c r="N463" s="178"/>
      <c r="O463" s="179" t="s">
        <v>106</v>
      </c>
      <c r="P463" s="179">
        <v>29</v>
      </c>
      <c r="Q463" s="179">
        <v>1</v>
      </c>
      <c r="R463" s="179">
        <v>0</v>
      </c>
      <c r="S463" s="159"/>
      <c r="T463" s="179" t="s">
        <v>106</v>
      </c>
      <c r="U463" s="185">
        <f>IF($J$1="March","",Y462)</f>
        <v>45000</v>
      </c>
      <c r="V463" s="181"/>
      <c r="W463" s="185">
        <f t="shared" si="140"/>
        <v>45000</v>
      </c>
      <c r="X463" s="181">
        <v>5000</v>
      </c>
      <c r="Y463" s="185">
        <f t="shared" si="141"/>
        <v>40000</v>
      </c>
      <c r="Z463" s="186"/>
      <c r="AA463" s="161"/>
      <c r="AB463" s="161"/>
      <c r="AC463" s="161"/>
    </row>
    <row r="464" spans="1:29" ht="18" customHeight="1" x14ac:dyDescent="0.2">
      <c r="A464" s="166"/>
      <c r="B464" s="207" t="s">
        <v>116</v>
      </c>
      <c r="C464" s="198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4" s="152"/>
      <c r="E464" s="152"/>
      <c r="F464" s="207" t="s">
        <v>117</v>
      </c>
      <c r="G464" s="193" t="str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/>
      </c>
      <c r="H464" s="152"/>
      <c r="I464" s="439" t="s">
        <v>13</v>
      </c>
      <c r="J464" s="413"/>
      <c r="K464" s="37">
        <f>K462-K463</f>
        <v>38830.645161290318</v>
      </c>
      <c r="L464" s="183"/>
      <c r="M464" s="161"/>
      <c r="N464" s="178"/>
      <c r="O464" s="179" t="s">
        <v>109</v>
      </c>
      <c r="P464" s="179">
        <v>31</v>
      </c>
      <c r="Q464" s="179">
        <v>0</v>
      </c>
      <c r="R464" s="179">
        <v>0</v>
      </c>
      <c r="S464" s="159"/>
      <c r="T464" s="179" t="s">
        <v>109</v>
      </c>
      <c r="U464" s="185">
        <f t="shared" ref="U464:U465" si="142">Y463</f>
        <v>40000</v>
      </c>
      <c r="V464" s="181"/>
      <c r="W464" s="185">
        <f t="shared" si="140"/>
        <v>40000</v>
      </c>
      <c r="X464" s="181">
        <v>5000</v>
      </c>
      <c r="Y464" s="185">
        <f t="shared" si="141"/>
        <v>35000</v>
      </c>
      <c r="Z464" s="186"/>
      <c r="AA464" s="161"/>
      <c r="AB464" s="161"/>
      <c r="AC464" s="161"/>
    </row>
    <row r="465" spans="1:29" ht="18" customHeight="1" x14ac:dyDescent="0.2">
      <c r="A465" s="166"/>
      <c r="B465" s="152"/>
      <c r="C465" s="152"/>
      <c r="D465" s="152"/>
      <c r="E465" s="152"/>
      <c r="F465" s="152"/>
      <c r="G465" s="152"/>
      <c r="H465" s="152"/>
      <c r="I465" s="434"/>
      <c r="J465" s="435"/>
      <c r="K465" s="154"/>
      <c r="L465" s="189"/>
      <c r="M465" s="161"/>
      <c r="N465" s="178"/>
      <c r="O465" s="179" t="s">
        <v>85</v>
      </c>
      <c r="P465" s="179">
        <v>30</v>
      </c>
      <c r="Q465" s="179">
        <v>0</v>
      </c>
      <c r="R465" s="179">
        <v>0</v>
      </c>
      <c r="S465" s="159"/>
      <c r="T465" s="179" t="s">
        <v>85</v>
      </c>
      <c r="U465" s="185">
        <f t="shared" si="142"/>
        <v>35000</v>
      </c>
      <c r="V465" s="181"/>
      <c r="W465" s="185">
        <f t="shared" si="140"/>
        <v>35000</v>
      </c>
      <c r="X465" s="181">
        <v>5000</v>
      </c>
      <c r="Y465" s="185">
        <f t="shared" si="141"/>
        <v>30000</v>
      </c>
      <c r="Z465" s="186"/>
      <c r="AA465" s="161"/>
      <c r="AB465" s="161"/>
      <c r="AC465" s="161"/>
    </row>
    <row r="466" spans="1:29" ht="18" customHeight="1" x14ac:dyDescent="0.3">
      <c r="A466" s="166"/>
      <c r="B466" s="150"/>
      <c r="C466" s="150"/>
      <c r="D466" s="150"/>
      <c r="E466" s="150"/>
      <c r="F466" s="150"/>
      <c r="G466" s="150"/>
      <c r="H466" s="150"/>
      <c r="I466" s="434"/>
      <c r="J466" s="435"/>
      <c r="K466" s="154"/>
      <c r="L466" s="189"/>
      <c r="M466" s="161"/>
      <c r="N466" s="178"/>
      <c r="O466" s="179" t="s">
        <v>113</v>
      </c>
      <c r="P466" s="179">
        <v>31</v>
      </c>
      <c r="Q466" s="179">
        <v>0</v>
      </c>
      <c r="R466" s="179">
        <v>0</v>
      </c>
      <c r="S466" s="159"/>
      <c r="T466" s="179" t="s">
        <v>113</v>
      </c>
      <c r="U466" s="185">
        <f>Y465</f>
        <v>30000</v>
      </c>
      <c r="V466" s="181"/>
      <c r="W466" s="185">
        <f t="shared" si="140"/>
        <v>30000</v>
      </c>
      <c r="X466" s="181">
        <v>5000</v>
      </c>
      <c r="Y466" s="185">
        <f t="shared" si="141"/>
        <v>25000</v>
      </c>
      <c r="Z466" s="186"/>
      <c r="AA466" s="161"/>
      <c r="AB466" s="161"/>
      <c r="AC466" s="161"/>
    </row>
    <row r="467" spans="1:29" ht="18" customHeight="1" thickBot="1" x14ac:dyDescent="0.35">
      <c r="A467" s="200"/>
      <c r="B467" s="201"/>
      <c r="C467" s="201"/>
      <c r="D467" s="201"/>
      <c r="E467" s="201"/>
      <c r="F467" s="201"/>
      <c r="G467" s="201"/>
      <c r="H467" s="201"/>
      <c r="I467" s="201"/>
      <c r="J467" s="201"/>
      <c r="K467" s="201"/>
      <c r="L467" s="202"/>
      <c r="M467" s="161"/>
      <c r="N467" s="178"/>
      <c r="O467" s="179" t="s">
        <v>115</v>
      </c>
      <c r="P467" s="179"/>
      <c r="Q467" s="179"/>
      <c r="R467" s="179">
        <v>0</v>
      </c>
      <c r="S467" s="159"/>
      <c r="T467" s="179" t="s">
        <v>115</v>
      </c>
      <c r="U467" s="185"/>
      <c r="V467" s="181"/>
      <c r="W467" s="185" t="str">
        <f t="shared" si="140"/>
        <v/>
      </c>
      <c r="X467" s="181"/>
      <c r="Y467" s="185" t="str">
        <f t="shared" si="141"/>
        <v/>
      </c>
      <c r="Z467" s="186"/>
      <c r="AA467" s="161"/>
      <c r="AB467" s="161"/>
      <c r="AC467" s="161"/>
    </row>
    <row r="468" spans="1:29" ht="18" customHeight="1" thickBot="1" x14ac:dyDescent="0.25">
      <c r="A468" s="203"/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  <c r="M468" s="161"/>
      <c r="N468" s="178"/>
      <c r="O468" s="179" t="s">
        <v>118</v>
      </c>
      <c r="P468" s="179"/>
      <c r="Q468" s="179"/>
      <c r="R468" s="179">
        <v>0</v>
      </c>
      <c r="S468" s="159"/>
      <c r="T468" s="179" t="s">
        <v>118</v>
      </c>
      <c r="U468" s="185"/>
      <c r="V468" s="181"/>
      <c r="W468" s="185" t="str">
        <f t="shared" si="140"/>
        <v/>
      </c>
      <c r="X468" s="181"/>
      <c r="Y468" s="185" t="str">
        <f t="shared" si="141"/>
        <v/>
      </c>
      <c r="Z468" s="186"/>
      <c r="AA468" s="161"/>
      <c r="AB468" s="161"/>
      <c r="AC468" s="161"/>
    </row>
    <row r="469" spans="1:29" ht="18" customHeight="1" thickBot="1" x14ac:dyDescent="0.25">
      <c r="A469" s="447" t="s">
        <v>89</v>
      </c>
      <c r="B469" s="453"/>
      <c r="C469" s="453"/>
      <c r="D469" s="453"/>
      <c r="E469" s="453"/>
      <c r="F469" s="453"/>
      <c r="G469" s="453"/>
      <c r="H469" s="453"/>
      <c r="I469" s="453"/>
      <c r="J469" s="453"/>
      <c r="K469" s="453"/>
      <c r="L469" s="454"/>
      <c r="M469" s="161"/>
      <c r="N469" s="178"/>
      <c r="O469" s="179" t="s">
        <v>119</v>
      </c>
      <c r="P469" s="179"/>
      <c r="Q469" s="179"/>
      <c r="R469" s="179">
        <v>0</v>
      </c>
      <c r="S469" s="159"/>
      <c r="T469" s="179" t="s">
        <v>119</v>
      </c>
      <c r="U469" s="185"/>
      <c r="V469" s="181"/>
      <c r="W469" s="185" t="str">
        <f t="shared" si="140"/>
        <v/>
      </c>
      <c r="X469" s="181"/>
      <c r="Y469" s="185" t="str">
        <f t="shared" si="141"/>
        <v/>
      </c>
      <c r="Z469" s="186"/>
      <c r="AA469" s="161"/>
      <c r="AB469" s="161"/>
      <c r="AC469" s="161"/>
    </row>
    <row r="470" spans="1:29" ht="18" customHeight="1" x14ac:dyDescent="0.2">
      <c r="A470" s="166"/>
      <c r="B470" s="152"/>
      <c r="C470" s="443" t="s">
        <v>184</v>
      </c>
      <c r="D470" s="435"/>
      <c r="E470" s="435"/>
      <c r="F470" s="435"/>
      <c r="G470" s="167" t="str">
        <f>$J$1</f>
        <v>August</v>
      </c>
      <c r="H470" s="444">
        <f>$K$1</f>
        <v>2024</v>
      </c>
      <c r="I470" s="435"/>
      <c r="J470" s="152"/>
      <c r="K470" s="168"/>
      <c r="L470" s="169"/>
      <c r="M470" s="161"/>
      <c r="N470" s="178"/>
      <c r="O470" s="179" t="s">
        <v>120</v>
      </c>
      <c r="P470" s="179"/>
      <c r="Q470" s="179"/>
      <c r="R470" s="179">
        <v>0</v>
      </c>
      <c r="S470" s="159"/>
      <c r="T470" s="179" t="s">
        <v>120</v>
      </c>
      <c r="U470" s="185"/>
      <c r="V470" s="181"/>
      <c r="W470" s="185" t="str">
        <f t="shared" si="140"/>
        <v/>
      </c>
      <c r="X470" s="181"/>
      <c r="Y470" s="185" t="str">
        <f t="shared" si="141"/>
        <v/>
      </c>
      <c r="Z470" s="186"/>
      <c r="AA470" s="161"/>
      <c r="AB470" s="161"/>
      <c r="AC470" s="161"/>
    </row>
    <row r="471" spans="1:29" ht="18" customHeight="1" x14ac:dyDescent="0.2">
      <c r="A471" s="166"/>
      <c r="B471" s="152"/>
      <c r="C471" s="152"/>
      <c r="D471" s="175"/>
      <c r="E471" s="175"/>
      <c r="F471" s="175"/>
      <c r="G471" s="175"/>
      <c r="H471" s="175"/>
      <c r="I471" s="152"/>
      <c r="J471" s="176" t="s">
        <v>99</v>
      </c>
      <c r="K471" s="154">
        <f>32500+2000+3000+5000</f>
        <v>42500</v>
      </c>
      <c r="L471" s="177"/>
      <c r="M471" s="161"/>
      <c r="N471" s="178"/>
      <c r="O471" s="179" t="s">
        <v>121</v>
      </c>
      <c r="P471" s="179"/>
      <c r="Q471" s="179"/>
      <c r="R471" s="179">
        <v>0</v>
      </c>
      <c r="S471" s="159"/>
      <c r="T471" s="179" t="s">
        <v>121</v>
      </c>
      <c r="U471" s="185"/>
      <c r="V471" s="181"/>
      <c r="W471" s="185" t="str">
        <f t="shared" si="140"/>
        <v/>
      </c>
      <c r="X471" s="181"/>
      <c r="Y471" s="185" t="str">
        <f t="shared" si="141"/>
        <v/>
      </c>
      <c r="Z471" s="186"/>
      <c r="AA471" s="161"/>
      <c r="AB471" s="161"/>
      <c r="AC471" s="161"/>
    </row>
    <row r="472" spans="1:29" ht="18" customHeight="1" thickBot="1" x14ac:dyDescent="0.25">
      <c r="A472" s="166"/>
      <c r="B472" s="152" t="s">
        <v>101</v>
      </c>
      <c r="C472" s="151" t="s">
        <v>185</v>
      </c>
      <c r="D472" s="152"/>
      <c r="E472" s="152"/>
      <c r="F472" s="152"/>
      <c r="G472" s="152"/>
      <c r="H472" s="182"/>
      <c r="I472" s="175"/>
      <c r="J472" s="152"/>
      <c r="K472" s="152"/>
      <c r="L472" s="183"/>
      <c r="M472" s="204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4"/>
      <c r="AB472" s="204"/>
      <c r="AC472" s="204"/>
    </row>
    <row r="473" spans="1:29" ht="18" customHeight="1" x14ac:dyDescent="0.2">
      <c r="A473" s="166"/>
      <c r="B473" s="187" t="s">
        <v>103</v>
      </c>
      <c r="C473" s="188"/>
      <c r="D473" s="152"/>
      <c r="E473" s="152"/>
      <c r="F473" s="439" t="s">
        <v>91</v>
      </c>
      <c r="G473" s="413"/>
      <c r="H473" s="152"/>
      <c r="I473" s="439" t="s">
        <v>104</v>
      </c>
      <c r="J473" s="412"/>
      <c r="K473" s="413"/>
      <c r="L473" s="189"/>
      <c r="M473" s="162"/>
      <c r="N473" s="163"/>
      <c r="O473" s="440" t="s">
        <v>90</v>
      </c>
      <c r="P473" s="441"/>
      <c r="Q473" s="441"/>
      <c r="R473" s="442"/>
      <c r="S473" s="164"/>
      <c r="T473" s="440" t="s">
        <v>91</v>
      </c>
      <c r="U473" s="441"/>
      <c r="V473" s="441"/>
      <c r="W473" s="441"/>
      <c r="X473" s="441"/>
      <c r="Y473" s="442"/>
      <c r="Z473" s="165"/>
      <c r="AA473" s="162"/>
      <c r="AB473" s="161"/>
      <c r="AC473" s="161"/>
    </row>
    <row r="474" spans="1:29" ht="18" customHeight="1" x14ac:dyDescent="0.2">
      <c r="A474" s="166"/>
      <c r="B474" s="152"/>
      <c r="C474" s="152"/>
      <c r="D474" s="152"/>
      <c r="E474" s="152"/>
      <c r="F474" s="152"/>
      <c r="G474" s="152"/>
      <c r="H474" s="190"/>
      <c r="I474" s="152"/>
      <c r="J474" s="152"/>
      <c r="K474" s="152"/>
      <c r="L474" s="191"/>
      <c r="M474" s="170"/>
      <c r="N474" s="171"/>
      <c r="O474" s="172" t="s">
        <v>93</v>
      </c>
      <c r="P474" s="172" t="s">
        <v>94</v>
      </c>
      <c r="Q474" s="172" t="s">
        <v>95</v>
      </c>
      <c r="R474" s="172" t="s">
        <v>96</v>
      </c>
      <c r="S474" s="173"/>
      <c r="T474" s="172" t="s">
        <v>93</v>
      </c>
      <c r="U474" s="172" t="s">
        <v>97</v>
      </c>
      <c r="V474" s="172" t="s">
        <v>9</v>
      </c>
      <c r="W474" s="172" t="s">
        <v>10</v>
      </c>
      <c r="X474" s="172" t="s">
        <v>11</v>
      </c>
      <c r="Y474" s="172" t="s">
        <v>98</v>
      </c>
      <c r="Z474" s="174"/>
      <c r="AA474" s="170"/>
      <c r="AB474" s="161"/>
      <c r="AC474" s="161"/>
    </row>
    <row r="475" spans="1:29" ht="18" customHeight="1" x14ac:dyDescent="0.2">
      <c r="A475" s="166"/>
      <c r="B475" s="445" t="s">
        <v>90</v>
      </c>
      <c r="C475" s="413"/>
      <c r="D475" s="152"/>
      <c r="E475" s="152"/>
      <c r="F475" s="192" t="s">
        <v>107</v>
      </c>
      <c r="G475" s="193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5" s="190"/>
      <c r="I475" s="194">
        <f>IF(C479&gt;=C478,$K$2,C477+C479)</f>
        <v>31</v>
      </c>
      <c r="J475" s="195" t="s">
        <v>108</v>
      </c>
      <c r="K475" s="196">
        <f>K471/$K$2*I475</f>
        <v>42500</v>
      </c>
      <c r="L475" s="197"/>
      <c r="M475" s="161"/>
      <c r="N475" s="178"/>
      <c r="O475" s="179" t="s">
        <v>100</v>
      </c>
      <c r="P475" s="179">
        <v>26</v>
      </c>
      <c r="Q475" s="179">
        <v>5</v>
      </c>
      <c r="R475" s="179">
        <v>0</v>
      </c>
      <c r="S475" s="180"/>
      <c r="T475" s="179" t="s">
        <v>100</v>
      </c>
      <c r="U475" s="181"/>
      <c r="V475" s="181"/>
      <c r="W475" s="181">
        <f>V475+U475</f>
        <v>0</v>
      </c>
      <c r="X475" s="181"/>
      <c r="Y475" s="181">
        <f>W475-X475</f>
        <v>0</v>
      </c>
      <c r="Z475" s="174"/>
      <c r="AA475" s="161"/>
      <c r="AB475" s="161"/>
      <c r="AC475" s="161"/>
    </row>
    <row r="476" spans="1:29" ht="18" customHeight="1" x14ac:dyDescent="0.2">
      <c r="A476" s="166"/>
      <c r="B476" s="198"/>
      <c r="C476" s="198"/>
      <c r="D476" s="152"/>
      <c r="E476" s="152"/>
      <c r="F476" s="192" t="s">
        <v>9</v>
      </c>
      <c r="G476" s="193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76" s="190"/>
      <c r="I476" s="194">
        <v>23</v>
      </c>
      <c r="J476" s="195" t="s">
        <v>110</v>
      </c>
      <c r="K476" s="193">
        <f>K471/$K$2/8*I476</f>
        <v>3941.5322580645161</v>
      </c>
      <c r="L476" s="199"/>
      <c r="M476" s="162"/>
      <c r="N476" s="184"/>
      <c r="O476" s="179" t="s">
        <v>102</v>
      </c>
      <c r="P476" s="179">
        <v>29</v>
      </c>
      <c r="Q476" s="179">
        <v>0</v>
      </c>
      <c r="R476" s="179">
        <v>0</v>
      </c>
      <c r="S476" s="159"/>
      <c r="T476" s="179" t="s">
        <v>102</v>
      </c>
      <c r="U476" s="185">
        <f>IF($J$1="January","",Y475)</f>
        <v>0</v>
      </c>
      <c r="V476" s="181"/>
      <c r="W476" s="185">
        <f t="shared" ref="W476:W486" si="143">IF(U476="","",U476+V476)</f>
        <v>0</v>
      </c>
      <c r="X476" s="181"/>
      <c r="Y476" s="185">
        <f t="shared" ref="Y476:Y486" si="144">IF(W476="","",W476-X476)</f>
        <v>0</v>
      </c>
      <c r="Z476" s="186"/>
      <c r="AA476" s="162"/>
      <c r="AB476" s="161"/>
      <c r="AC476" s="161"/>
    </row>
    <row r="477" spans="1:29" ht="18" customHeight="1" x14ac:dyDescent="0.2">
      <c r="A477" s="166"/>
      <c r="B477" s="192" t="s">
        <v>94</v>
      </c>
      <c r="C477" s="198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77" s="152"/>
      <c r="E477" s="152"/>
      <c r="F477" s="192" t="s">
        <v>111</v>
      </c>
      <c r="G477" s="193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77" s="190"/>
      <c r="I477" s="446" t="s">
        <v>112</v>
      </c>
      <c r="J477" s="413"/>
      <c r="K477" s="193">
        <f>K475+K476</f>
        <v>46441.532258064515</v>
      </c>
      <c r="L477" s="199"/>
      <c r="M477" s="161"/>
      <c r="N477" s="178"/>
      <c r="O477" s="179" t="s">
        <v>105</v>
      </c>
      <c r="P477" s="179">
        <v>28</v>
      </c>
      <c r="Q477" s="179">
        <v>3</v>
      </c>
      <c r="R477" s="179">
        <v>0</v>
      </c>
      <c r="S477" s="159"/>
      <c r="T477" s="179" t="s">
        <v>105</v>
      </c>
      <c r="U477" s="185">
        <f>IF($J$1="February","",Y476)</f>
        <v>0</v>
      </c>
      <c r="V477" s="181"/>
      <c r="W477" s="185">
        <f t="shared" si="143"/>
        <v>0</v>
      </c>
      <c r="X477" s="181"/>
      <c r="Y477" s="185">
        <f t="shared" si="144"/>
        <v>0</v>
      </c>
      <c r="Z477" s="186"/>
      <c r="AA477" s="161"/>
      <c r="AB477" s="161"/>
      <c r="AC477" s="161"/>
    </row>
    <row r="478" spans="1:29" ht="18" customHeight="1" x14ac:dyDescent="0.2">
      <c r="A478" s="166"/>
      <c r="B478" s="192" t="s">
        <v>95</v>
      </c>
      <c r="C478" s="198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78" s="152"/>
      <c r="E478" s="152"/>
      <c r="F478" s="192" t="s">
        <v>11</v>
      </c>
      <c r="G478" s="193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78" s="190"/>
      <c r="I478" s="446" t="s">
        <v>114</v>
      </c>
      <c r="J478" s="413"/>
      <c r="K478" s="193">
        <f>G478</f>
        <v>0</v>
      </c>
      <c r="L478" s="199"/>
      <c r="M478" s="161"/>
      <c r="N478" s="178"/>
      <c r="O478" s="179" t="s">
        <v>106</v>
      </c>
      <c r="P478" s="179">
        <v>29</v>
      </c>
      <c r="Q478" s="179">
        <v>1</v>
      </c>
      <c r="R478" s="179">
        <v>0</v>
      </c>
      <c r="S478" s="159"/>
      <c r="T478" s="179" t="s">
        <v>106</v>
      </c>
      <c r="U478" s="185">
        <f>IF($J$1="March","",Y477)</f>
        <v>0</v>
      </c>
      <c r="V478" s="181"/>
      <c r="W478" s="185">
        <f t="shared" si="143"/>
        <v>0</v>
      </c>
      <c r="X478" s="181"/>
      <c r="Y478" s="185">
        <f t="shared" si="144"/>
        <v>0</v>
      </c>
      <c r="Z478" s="186"/>
      <c r="AA478" s="161"/>
      <c r="AB478" s="161"/>
      <c r="AC478" s="161"/>
    </row>
    <row r="479" spans="1:29" ht="18" customHeight="1" x14ac:dyDescent="0.2">
      <c r="A479" s="166"/>
      <c r="B479" s="207" t="s">
        <v>116</v>
      </c>
      <c r="C479" s="198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79" s="152"/>
      <c r="E479" s="152"/>
      <c r="F479" s="207" t="s">
        <v>117</v>
      </c>
      <c r="G479" s="193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79" s="152"/>
      <c r="I479" s="439" t="s">
        <v>13</v>
      </c>
      <c r="J479" s="413"/>
      <c r="K479" s="37">
        <f>K477-K478</f>
        <v>46441.532258064515</v>
      </c>
      <c r="L479" s="183"/>
      <c r="M479" s="161"/>
      <c r="N479" s="178"/>
      <c r="O479" s="179" t="s">
        <v>109</v>
      </c>
      <c r="P479" s="179">
        <v>31</v>
      </c>
      <c r="Q479" s="179">
        <v>0</v>
      </c>
      <c r="R479" s="179">
        <v>0</v>
      </c>
      <c r="S479" s="159"/>
      <c r="T479" s="179" t="s">
        <v>109</v>
      </c>
      <c r="U479" s="185">
        <f>IF($J$1="April","",Y478)</f>
        <v>0</v>
      </c>
      <c r="V479" s="181"/>
      <c r="W479" s="185">
        <f t="shared" si="143"/>
        <v>0</v>
      </c>
      <c r="X479" s="181"/>
      <c r="Y479" s="185">
        <f t="shared" si="144"/>
        <v>0</v>
      </c>
      <c r="Z479" s="186"/>
      <c r="AA479" s="161"/>
      <c r="AB479" s="161"/>
      <c r="AC479" s="161"/>
    </row>
    <row r="480" spans="1:29" ht="18" customHeight="1" x14ac:dyDescent="0.2">
      <c r="A480" s="166"/>
      <c r="B480" s="152"/>
      <c r="C480" s="152"/>
      <c r="D480" s="152"/>
      <c r="E480" s="152"/>
      <c r="F480" s="152"/>
      <c r="G480" s="152"/>
      <c r="H480" s="152"/>
      <c r="I480" s="434"/>
      <c r="J480" s="435"/>
      <c r="K480" s="154"/>
      <c r="L480" s="189"/>
      <c r="M480" s="161"/>
      <c r="N480" s="178"/>
      <c r="O480" s="179" t="s">
        <v>85</v>
      </c>
      <c r="P480" s="179">
        <v>30</v>
      </c>
      <c r="Q480" s="179">
        <v>0</v>
      </c>
      <c r="R480" s="179">
        <v>0</v>
      </c>
      <c r="S480" s="159"/>
      <c r="T480" s="179" t="s">
        <v>85</v>
      </c>
      <c r="U480" s="185">
        <f>IF($J$1="May","",Y479)</f>
        <v>0</v>
      </c>
      <c r="V480" s="181"/>
      <c r="W480" s="185">
        <f t="shared" si="143"/>
        <v>0</v>
      </c>
      <c r="X480" s="181"/>
      <c r="Y480" s="185">
        <f t="shared" si="144"/>
        <v>0</v>
      </c>
      <c r="Z480" s="186"/>
      <c r="AA480" s="161"/>
      <c r="AB480" s="161"/>
      <c r="AC480" s="161"/>
    </row>
    <row r="481" spans="1:29" ht="18" customHeight="1" x14ac:dyDescent="0.3">
      <c r="A481" s="166"/>
      <c r="B481" s="150"/>
      <c r="C481" s="150"/>
      <c r="D481" s="150"/>
      <c r="E481" s="150"/>
      <c r="F481" s="150"/>
      <c r="G481" s="150"/>
      <c r="H481" s="150"/>
      <c r="I481" s="434"/>
      <c r="J481" s="435"/>
      <c r="K481" s="154"/>
      <c r="L481" s="189"/>
      <c r="M481" s="161"/>
      <c r="N481" s="178"/>
      <c r="O481" s="179" t="s">
        <v>113</v>
      </c>
      <c r="P481" s="179">
        <v>31</v>
      </c>
      <c r="Q481" s="179">
        <v>1</v>
      </c>
      <c r="R481" s="179">
        <v>0</v>
      </c>
      <c r="S481" s="159"/>
      <c r="T481" s="179" t="s">
        <v>113</v>
      </c>
      <c r="U481" s="185">
        <f>IF($J$1="June","",Y480)</f>
        <v>0</v>
      </c>
      <c r="V481" s="181"/>
      <c r="W481" s="185">
        <f t="shared" si="143"/>
        <v>0</v>
      </c>
      <c r="X481" s="181"/>
      <c r="Y481" s="185">
        <f t="shared" si="144"/>
        <v>0</v>
      </c>
      <c r="Z481" s="186"/>
      <c r="AA481" s="161"/>
      <c r="AB481" s="161"/>
      <c r="AC481" s="161"/>
    </row>
    <row r="482" spans="1:29" ht="18" customHeight="1" thickBot="1" x14ac:dyDescent="0.35">
      <c r="A482" s="200"/>
      <c r="B482" s="201"/>
      <c r="C482" s="201"/>
      <c r="D482" s="201"/>
      <c r="E482" s="201"/>
      <c r="F482" s="201"/>
      <c r="G482" s="201"/>
      <c r="H482" s="201"/>
      <c r="I482" s="201"/>
      <c r="J482" s="201"/>
      <c r="K482" s="201"/>
      <c r="L482" s="202"/>
      <c r="M482" s="161"/>
      <c r="N482" s="178"/>
      <c r="O482" s="179" t="s">
        <v>115</v>
      </c>
      <c r="P482" s="179"/>
      <c r="Q482" s="179"/>
      <c r="R482" s="179">
        <v>0</v>
      </c>
      <c r="S482" s="159"/>
      <c r="T482" s="179" t="s">
        <v>115</v>
      </c>
      <c r="U482" s="185">
        <f>IF($J$1="July","",Y481)</f>
        <v>0</v>
      </c>
      <c r="V482" s="181"/>
      <c r="W482" s="185">
        <f t="shared" si="143"/>
        <v>0</v>
      </c>
      <c r="X482" s="181"/>
      <c r="Y482" s="185">
        <f t="shared" si="144"/>
        <v>0</v>
      </c>
      <c r="Z482" s="186"/>
      <c r="AA482" s="161"/>
      <c r="AB482" s="161"/>
      <c r="AC482" s="161"/>
    </row>
    <row r="483" spans="1:29" ht="18" customHeight="1" thickBot="1" x14ac:dyDescent="0.25">
      <c r="A483" s="203"/>
      <c r="B483" s="203"/>
      <c r="C483" s="203"/>
      <c r="D483" s="203"/>
      <c r="E483" s="203"/>
      <c r="F483" s="203"/>
      <c r="G483" s="203"/>
      <c r="H483" s="203"/>
      <c r="I483" s="203"/>
      <c r="J483" s="203"/>
      <c r="K483" s="203"/>
      <c r="L483" s="203"/>
      <c r="M483" s="161"/>
      <c r="N483" s="178"/>
      <c r="O483" s="179" t="s">
        <v>118</v>
      </c>
      <c r="P483" s="179"/>
      <c r="Q483" s="179"/>
      <c r="R483" s="179">
        <v>0</v>
      </c>
      <c r="S483" s="159"/>
      <c r="T483" s="179" t="s">
        <v>118</v>
      </c>
      <c r="U483" s="185" t="str">
        <f>IF($J$1="September",Y482,"")</f>
        <v/>
      </c>
      <c r="V483" s="181"/>
      <c r="W483" s="185" t="str">
        <f t="shared" si="143"/>
        <v/>
      </c>
      <c r="X483" s="181"/>
      <c r="Y483" s="185" t="str">
        <f t="shared" si="144"/>
        <v/>
      </c>
      <c r="Z483" s="186"/>
      <c r="AA483" s="161"/>
      <c r="AB483" s="161"/>
      <c r="AC483" s="161"/>
    </row>
    <row r="484" spans="1:29" ht="18" customHeight="1" thickBot="1" x14ac:dyDescent="0.25">
      <c r="A484" s="447" t="s">
        <v>89</v>
      </c>
      <c r="B484" s="453"/>
      <c r="C484" s="453"/>
      <c r="D484" s="453"/>
      <c r="E484" s="453"/>
      <c r="F484" s="453"/>
      <c r="G484" s="453"/>
      <c r="H484" s="453"/>
      <c r="I484" s="453"/>
      <c r="J484" s="453"/>
      <c r="K484" s="453"/>
      <c r="L484" s="454"/>
      <c r="M484" s="161"/>
      <c r="N484" s="178"/>
      <c r="O484" s="179" t="s">
        <v>119</v>
      </c>
      <c r="P484" s="179"/>
      <c r="Q484" s="179"/>
      <c r="R484" s="179">
        <v>0</v>
      </c>
      <c r="S484" s="159"/>
      <c r="T484" s="179" t="s">
        <v>119</v>
      </c>
      <c r="U484" s="185" t="str">
        <f>IF($J$1="October",Y483,"")</f>
        <v/>
      </c>
      <c r="V484" s="181"/>
      <c r="W484" s="185" t="str">
        <f t="shared" si="143"/>
        <v/>
      </c>
      <c r="X484" s="181"/>
      <c r="Y484" s="185" t="str">
        <f t="shared" si="144"/>
        <v/>
      </c>
      <c r="Z484" s="186"/>
      <c r="AA484" s="161"/>
      <c r="AB484" s="161"/>
      <c r="AC484" s="161"/>
    </row>
    <row r="485" spans="1:29" ht="18" customHeight="1" x14ac:dyDescent="0.2">
      <c r="A485" s="166"/>
      <c r="B485" s="152"/>
      <c r="C485" s="443" t="s">
        <v>186</v>
      </c>
      <c r="D485" s="435"/>
      <c r="E485" s="435"/>
      <c r="F485" s="435"/>
      <c r="G485" s="167" t="str">
        <f>$J$1</f>
        <v>August</v>
      </c>
      <c r="H485" s="444">
        <f>$K$1</f>
        <v>2024</v>
      </c>
      <c r="I485" s="435"/>
      <c r="J485" s="152"/>
      <c r="K485" s="168"/>
      <c r="L485" s="169"/>
      <c r="M485" s="161"/>
      <c r="N485" s="178"/>
      <c r="O485" s="179" t="s">
        <v>120</v>
      </c>
      <c r="P485" s="179"/>
      <c r="Q485" s="179"/>
      <c r="R485" s="179">
        <v>0</v>
      </c>
      <c r="S485" s="159"/>
      <c r="T485" s="179" t="s">
        <v>120</v>
      </c>
      <c r="U485" s="185" t="str">
        <f>IF($J$1="October","",Y484)</f>
        <v/>
      </c>
      <c r="V485" s="181"/>
      <c r="W485" s="185" t="str">
        <f t="shared" si="143"/>
        <v/>
      </c>
      <c r="X485" s="181"/>
      <c r="Y485" s="185" t="str">
        <f t="shared" si="144"/>
        <v/>
      </c>
      <c r="Z485" s="186"/>
      <c r="AA485" s="161"/>
      <c r="AB485" s="161"/>
      <c r="AC485" s="161"/>
    </row>
    <row r="486" spans="1:29" ht="18" customHeight="1" x14ac:dyDescent="0.2">
      <c r="A486" s="166"/>
      <c r="B486" s="152"/>
      <c r="C486" s="152"/>
      <c r="D486" s="175"/>
      <c r="E486" s="175"/>
      <c r="F486" s="175"/>
      <c r="G486" s="175"/>
      <c r="H486" s="175"/>
      <c r="I486" s="152"/>
      <c r="J486" s="176" t="s">
        <v>99</v>
      </c>
      <c r="K486" s="154">
        <f>24500+2000+3000+2000</f>
        <v>31500</v>
      </c>
      <c r="L486" s="177"/>
      <c r="M486" s="161"/>
      <c r="N486" s="178"/>
      <c r="O486" s="179" t="s">
        <v>121</v>
      </c>
      <c r="P486" s="179"/>
      <c r="Q486" s="179"/>
      <c r="R486" s="179">
        <v>0</v>
      </c>
      <c r="S486" s="159"/>
      <c r="T486" s="179" t="s">
        <v>121</v>
      </c>
      <c r="U486" s="185" t="str">
        <f>IF($J$1="November","",Y485)</f>
        <v/>
      </c>
      <c r="V486" s="181"/>
      <c r="W486" s="185" t="str">
        <f t="shared" si="143"/>
        <v/>
      </c>
      <c r="X486" s="181"/>
      <c r="Y486" s="185" t="str">
        <f t="shared" si="144"/>
        <v/>
      </c>
      <c r="Z486" s="186"/>
      <c r="AA486" s="161"/>
      <c r="AB486" s="161"/>
      <c r="AC486" s="161"/>
    </row>
    <row r="487" spans="1:29" ht="18" customHeight="1" thickBot="1" x14ac:dyDescent="0.25">
      <c r="A487" s="166"/>
      <c r="B487" s="152" t="s">
        <v>101</v>
      </c>
      <c r="C487" s="151" t="s">
        <v>187</v>
      </c>
      <c r="D487" s="152"/>
      <c r="E487" s="152"/>
      <c r="F487" s="152"/>
      <c r="G487" s="152"/>
      <c r="H487" s="182"/>
      <c r="I487" s="175"/>
      <c r="J487" s="152"/>
      <c r="K487" s="152"/>
      <c r="L487" s="183"/>
      <c r="M487" s="204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  <c r="AA487" s="204"/>
      <c r="AB487" s="204"/>
      <c r="AC487" s="204"/>
    </row>
    <row r="488" spans="1:29" ht="18" customHeight="1" x14ac:dyDescent="0.2">
      <c r="A488" s="166"/>
      <c r="B488" s="187" t="s">
        <v>103</v>
      </c>
      <c r="C488" s="188"/>
      <c r="D488" s="152"/>
      <c r="E488" s="152"/>
      <c r="F488" s="439" t="s">
        <v>91</v>
      </c>
      <c r="G488" s="413"/>
      <c r="H488" s="152"/>
      <c r="I488" s="439" t="s">
        <v>104</v>
      </c>
      <c r="J488" s="412"/>
      <c r="K488" s="413"/>
      <c r="L488" s="189"/>
      <c r="M488" s="162"/>
      <c r="N488" s="163"/>
      <c r="O488" s="440" t="s">
        <v>90</v>
      </c>
      <c r="P488" s="441"/>
      <c r="Q488" s="441"/>
      <c r="R488" s="442"/>
      <c r="S488" s="164"/>
      <c r="T488" s="440" t="s">
        <v>91</v>
      </c>
      <c r="U488" s="441"/>
      <c r="V488" s="441"/>
      <c r="W488" s="441"/>
      <c r="X488" s="441"/>
      <c r="Y488" s="442"/>
      <c r="Z488" s="165"/>
      <c r="AA488" s="161"/>
      <c r="AB488" s="161"/>
      <c r="AC488" s="161"/>
    </row>
    <row r="489" spans="1:29" ht="18" customHeight="1" x14ac:dyDescent="0.2">
      <c r="A489" s="166"/>
      <c r="B489" s="152"/>
      <c r="C489" s="152"/>
      <c r="D489" s="152"/>
      <c r="E489" s="152"/>
      <c r="F489" s="152"/>
      <c r="G489" s="152"/>
      <c r="H489" s="190"/>
      <c r="I489" s="152"/>
      <c r="J489" s="152"/>
      <c r="K489" s="152"/>
      <c r="L489" s="191"/>
      <c r="M489" s="170"/>
      <c r="N489" s="171"/>
      <c r="O489" s="172" t="s">
        <v>93</v>
      </c>
      <c r="P489" s="172" t="s">
        <v>94</v>
      </c>
      <c r="Q489" s="172" t="s">
        <v>95</v>
      </c>
      <c r="R489" s="172" t="s">
        <v>96</v>
      </c>
      <c r="S489" s="173"/>
      <c r="T489" s="172" t="s">
        <v>93</v>
      </c>
      <c r="U489" s="172" t="s">
        <v>97</v>
      </c>
      <c r="V489" s="172" t="s">
        <v>9</v>
      </c>
      <c r="W489" s="172" t="s">
        <v>10</v>
      </c>
      <c r="X489" s="172" t="s">
        <v>11</v>
      </c>
      <c r="Y489" s="172" t="s">
        <v>98</v>
      </c>
      <c r="Z489" s="174"/>
      <c r="AA489" s="161"/>
      <c r="AB489" s="161"/>
      <c r="AC489" s="161"/>
    </row>
    <row r="490" spans="1:29" ht="18" customHeight="1" x14ac:dyDescent="0.2">
      <c r="A490" s="166"/>
      <c r="B490" s="445" t="s">
        <v>90</v>
      </c>
      <c r="C490" s="413"/>
      <c r="D490" s="152"/>
      <c r="E490" s="152"/>
      <c r="F490" s="192" t="s">
        <v>107</v>
      </c>
      <c r="G490" s="193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0" s="190"/>
      <c r="I490" s="194">
        <f>IF(C494&gt;=C493,$K$2,C492+C494)</f>
        <v>31</v>
      </c>
      <c r="J490" s="195" t="s">
        <v>108</v>
      </c>
      <c r="K490" s="196">
        <f>K486/$K$2*I490</f>
        <v>31500</v>
      </c>
      <c r="L490" s="197"/>
      <c r="M490" s="161"/>
      <c r="N490" s="178"/>
      <c r="O490" s="179" t="s">
        <v>100</v>
      </c>
      <c r="P490" s="179">
        <v>31</v>
      </c>
      <c r="Q490" s="179">
        <v>0</v>
      </c>
      <c r="R490" s="179"/>
      <c r="S490" s="180"/>
      <c r="T490" s="179" t="s">
        <v>100</v>
      </c>
      <c r="U490" s="181"/>
      <c r="V490" s="181"/>
      <c r="W490" s="181">
        <f>V490+U490</f>
        <v>0</v>
      </c>
      <c r="X490" s="181"/>
      <c r="Y490" s="181">
        <f>W490-X490</f>
        <v>0</v>
      </c>
      <c r="Z490" s="174"/>
      <c r="AA490" s="161"/>
      <c r="AB490" s="161"/>
      <c r="AC490" s="161"/>
    </row>
    <row r="491" spans="1:29" ht="18" customHeight="1" x14ac:dyDescent="0.2">
      <c r="A491" s="166"/>
      <c r="B491" s="198"/>
      <c r="C491" s="198"/>
      <c r="D491" s="152"/>
      <c r="E491" s="152"/>
      <c r="F491" s="192" t="s">
        <v>9</v>
      </c>
      <c r="G491" s="193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1" s="190"/>
      <c r="I491" s="194">
        <v>101</v>
      </c>
      <c r="J491" s="195" t="s">
        <v>110</v>
      </c>
      <c r="K491" s="193">
        <f>K486/$K$2/8*I491</f>
        <v>12828.629032258064</v>
      </c>
      <c r="L491" s="199"/>
      <c r="M491" s="162"/>
      <c r="N491" s="184"/>
      <c r="O491" s="179" t="s">
        <v>102</v>
      </c>
      <c r="P491" s="179">
        <v>29</v>
      </c>
      <c r="Q491" s="179">
        <v>0</v>
      </c>
      <c r="R491" s="179"/>
      <c r="S491" s="159"/>
      <c r="T491" s="179" t="s">
        <v>102</v>
      </c>
      <c r="U491" s="185">
        <f>Y490</f>
        <v>0</v>
      </c>
      <c r="V491" s="181"/>
      <c r="W491" s="185">
        <f t="shared" ref="W491:W501" si="145">IF(U491="","",U491+V491)</f>
        <v>0</v>
      </c>
      <c r="X491" s="181"/>
      <c r="Y491" s="185">
        <f t="shared" ref="Y491:Y501" si="146">IF(W491="","",W491-X491)</f>
        <v>0</v>
      </c>
      <c r="Z491" s="186"/>
      <c r="AA491" s="161"/>
      <c r="AB491" s="161"/>
      <c r="AC491" s="161"/>
    </row>
    <row r="492" spans="1:29" ht="18" customHeight="1" x14ac:dyDescent="0.2">
      <c r="A492" s="166"/>
      <c r="B492" s="192" t="s">
        <v>94</v>
      </c>
      <c r="C492" s="198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2" s="152"/>
      <c r="E492" s="152"/>
      <c r="F492" s="192" t="s">
        <v>111</v>
      </c>
      <c r="G492" s="193" t="str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/>
      </c>
      <c r="H492" s="190"/>
      <c r="I492" s="446" t="s">
        <v>112</v>
      </c>
      <c r="J492" s="413"/>
      <c r="K492" s="193">
        <f>K490+K491</f>
        <v>44328.629032258061</v>
      </c>
      <c r="L492" s="199"/>
      <c r="M492" s="161"/>
      <c r="N492" s="178"/>
      <c r="O492" s="179" t="s">
        <v>105</v>
      </c>
      <c r="P492" s="179">
        <v>31</v>
      </c>
      <c r="Q492" s="179">
        <v>0</v>
      </c>
      <c r="R492" s="179">
        <v>0</v>
      </c>
      <c r="S492" s="159"/>
      <c r="T492" s="179" t="s">
        <v>105</v>
      </c>
      <c r="U492" s="185">
        <f>IF($J$1="February","",Y491)</f>
        <v>0</v>
      </c>
      <c r="V492" s="181"/>
      <c r="W492" s="185">
        <f t="shared" si="145"/>
        <v>0</v>
      </c>
      <c r="X492" s="181"/>
      <c r="Y492" s="185">
        <f t="shared" si="146"/>
        <v>0</v>
      </c>
      <c r="Z492" s="186"/>
      <c r="AA492" s="161"/>
      <c r="AB492" s="161"/>
      <c r="AC492" s="161"/>
    </row>
    <row r="493" spans="1:29" ht="18" customHeight="1" x14ac:dyDescent="0.2">
      <c r="A493" s="166"/>
      <c r="B493" s="192" t="s">
        <v>95</v>
      </c>
      <c r="C493" s="198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3" s="152"/>
      <c r="E493" s="152"/>
      <c r="F493" s="192" t="s">
        <v>11</v>
      </c>
      <c r="G493" s="193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3" s="190"/>
      <c r="I493" s="446" t="s">
        <v>114</v>
      </c>
      <c r="J493" s="413"/>
      <c r="K493" s="193">
        <f>G493</f>
        <v>0</v>
      </c>
      <c r="L493" s="199"/>
      <c r="M493" s="161"/>
      <c r="N493" s="178"/>
      <c r="O493" s="179" t="s">
        <v>106</v>
      </c>
      <c r="P493" s="179">
        <v>30</v>
      </c>
      <c r="Q493" s="179">
        <v>0</v>
      </c>
      <c r="R493" s="179">
        <v>0</v>
      </c>
      <c r="S493" s="159"/>
      <c r="T493" s="179" t="s">
        <v>106</v>
      </c>
      <c r="U493" s="185">
        <f>IF($J$1="March","",Y492)</f>
        <v>0</v>
      </c>
      <c r="V493" s="181"/>
      <c r="W493" s="185">
        <f t="shared" si="145"/>
        <v>0</v>
      </c>
      <c r="X493" s="181"/>
      <c r="Y493" s="185">
        <f t="shared" si="146"/>
        <v>0</v>
      </c>
      <c r="Z493" s="186"/>
      <c r="AA493" s="161"/>
      <c r="AB493" s="161"/>
      <c r="AC493" s="161"/>
    </row>
    <row r="494" spans="1:29" ht="18" customHeight="1" x14ac:dyDescent="0.2">
      <c r="A494" s="166"/>
      <c r="B494" s="207" t="s">
        <v>116</v>
      </c>
      <c r="C494" s="198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4" s="152"/>
      <c r="E494" s="152"/>
      <c r="F494" s="207" t="s">
        <v>117</v>
      </c>
      <c r="G494" s="193" t="str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/>
      </c>
      <c r="H494" s="152"/>
      <c r="I494" s="439" t="s">
        <v>13</v>
      </c>
      <c r="J494" s="413"/>
      <c r="K494" s="37">
        <f>K492-K493</f>
        <v>44328.629032258061</v>
      </c>
      <c r="L494" s="183"/>
      <c r="M494" s="161"/>
      <c r="N494" s="178"/>
      <c r="O494" s="179" t="s">
        <v>109</v>
      </c>
      <c r="P494" s="179">
        <v>31</v>
      </c>
      <c r="Q494" s="179">
        <v>0</v>
      </c>
      <c r="R494" s="179">
        <v>0</v>
      </c>
      <c r="S494" s="159"/>
      <c r="T494" s="179" t="s">
        <v>109</v>
      </c>
      <c r="U494" s="185">
        <f t="shared" ref="U494:U495" si="147">Y493</f>
        <v>0</v>
      </c>
      <c r="V494" s="181"/>
      <c r="W494" s="185">
        <f t="shared" si="145"/>
        <v>0</v>
      </c>
      <c r="X494" s="181"/>
      <c r="Y494" s="185">
        <f t="shared" si="146"/>
        <v>0</v>
      </c>
      <c r="Z494" s="186"/>
      <c r="AA494" s="161"/>
      <c r="AB494" s="161"/>
      <c r="AC494" s="161"/>
    </row>
    <row r="495" spans="1:29" ht="18" customHeight="1" x14ac:dyDescent="0.2">
      <c r="A495" s="166"/>
      <c r="B495" s="152"/>
      <c r="C495" s="152"/>
      <c r="D495" s="152"/>
      <c r="E495" s="152"/>
      <c r="F495" s="152"/>
      <c r="G495" s="152"/>
      <c r="H495" s="152"/>
      <c r="I495" s="434"/>
      <c r="J495" s="435"/>
      <c r="K495" s="154">
        <v>37563</v>
      </c>
      <c r="L495" s="189"/>
      <c r="M495" s="161"/>
      <c r="N495" s="178"/>
      <c r="O495" s="179" t="s">
        <v>85</v>
      </c>
      <c r="P495" s="179">
        <v>30</v>
      </c>
      <c r="Q495" s="179">
        <v>0</v>
      </c>
      <c r="R495" s="179">
        <v>0</v>
      </c>
      <c r="S495" s="159"/>
      <c r="T495" s="179" t="s">
        <v>85</v>
      </c>
      <c r="U495" s="185">
        <f t="shared" si="147"/>
        <v>0</v>
      </c>
      <c r="V495" s="181">
        <v>30000</v>
      </c>
      <c r="W495" s="185">
        <f t="shared" si="145"/>
        <v>30000</v>
      </c>
      <c r="X495" s="181">
        <v>3000</v>
      </c>
      <c r="Y495" s="185">
        <f t="shared" si="146"/>
        <v>27000</v>
      </c>
      <c r="Z495" s="186"/>
      <c r="AA495" s="161"/>
      <c r="AB495" s="161"/>
      <c r="AC495" s="161"/>
    </row>
    <row r="496" spans="1:29" ht="18" customHeight="1" x14ac:dyDescent="0.3">
      <c r="A496" s="166"/>
      <c r="B496" s="150"/>
      <c r="C496" s="150"/>
      <c r="D496" s="150"/>
      <c r="E496" s="150"/>
      <c r="F496" s="150"/>
      <c r="G496" s="150"/>
      <c r="H496" s="150"/>
      <c r="I496" s="434"/>
      <c r="J496" s="435"/>
      <c r="K496" s="154"/>
      <c r="L496" s="189"/>
      <c r="M496" s="161"/>
      <c r="N496" s="178"/>
      <c r="O496" s="179" t="s">
        <v>113</v>
      </c>
      <c r="P496" s="179">
        <v>30</v>
      </c>
      <c r="Q496" s="179">
        <v>0</v>
      </c>
      <c r="R496" s="179">
        <v>0</v>
      </c>
      <c r="S496" s="159"/>
      <c r="T496" s="179" t="s">
        <v>113</v>
      </c>
      <c r="U496" s="185">
        <f>Y495</f>
        <v>27000</v>
      </c>
      <c r="V496" s="181"/>
      <c r="W496" s="185">
        <f t="shared" si="145"/>
        <v>27000</v>
      </c>
      <c r="X496" s="181">
        <v>3000</v>
      </c>
      <c r="Y496" s="185">
        <f t="shared" si="146"/>
        <v>24000</v>
      </c>
      <c r="Z496" s="186"/>
      <c r="AA496" s="161"/>
      <c r="AB496" s="161"/>
      <c r="AC496" s="161"/>
    </row>
    <row r="497" spans="1:29" ht="18" customHeight="1" thickBot="1" x14ac:dyDescent="0.35">
      <c r="A497" s="200"/>
      <c r="B497" s="201"/>
      <c r="C497" s="201"/>
      <c r="D497" s="201"/>
      <c r="E497" s="201"/>
      <c r="F497" s="201"/>
      <c r="G497" s="201"/>
      <c r="H497" s="201"/>
      <c r="I497" s="201"/>
      <c r="J497" s="201"/>
      <c r="K497" s="201"/>
      <c r="L497" s="202"/>
      <c r="M497" s="161"/>
      <c r="N497" s="178"/>
      <c r="O497" s="179" t="s">
        <v>115</v>
      </c>
      <c r="P497" s="179"/>
      <c r="Q497" s="179"/>
      <c r="R497" s="179">
        <v>0</v>
      </c>
      <c r="S497" s="159"/>
      <c r="T497" s="179" t="s">
        <v>115</v>
      </c>
      <c r="U497" s="185"/>
      <c r="V497" s="181"/>
      <c r="W497" s="185" t="str">
        <f t="shared" si="145"/>
        <v/>
      </c>
      <c r="X497" s="181"/>
      <c r="Y497" s="185" t="str">
        <f t="shared" si="146"/>
        <v/>
      </c>
      <c r="Z497" s="186"/>
      <c r="AA497" s="161"/>
      <c r="AB497" s="161"/>
      <c r="AC497" s="161"/>
    </row>
    <row r="498" spans="1:29" ht="18" customHeight="1" thickBot="1" x14ac:dyDescent="0.25">
      <c r="A498" s="203"/>
      <c r="B498" s="203"/>
      <c r="C498" s="203"/>
      <c r="D498" s="203"/>
      <c r="E498" s="203"/>
      <c r="F498" s="203"/>
      <c r="G498" s="203"/>
      <c r="H498" s="203"/>
      <c r="I498" s="203"/>
      <c r="J498" s="203"/>
      <c r="K498" s="203"/>
      <c r="L498" s="203"/>
      <c r="M498" s="161"/>
      <c r="N498" s="178"/>
      <c r="O498" s="179" t="s">
        <v>118</v>
      </c>
      <c r="P498" s="179"/>
      <c r="Q498" s="179"/>
      <c r="R498" s="179">
        <v>0</v>
      </c>
      <c r="S498" s="159"/>
      <c r="T498" s="179" t="s">
        <v>118</v>
      </c>
      <c r="U498" s="185"/>
      <c r="V498" s="181"/>
      <c r="W498" s="185" t="str">
        <f t="shared" si="145"/>
        <v/>
      </c>
      <c r="X498" s="181"/>
      <c r="Y498" s="185" t="str">
        <f t="shared" si="146"/>
        <v/>
      </c>
      <c r="Z498" s="186"/>
      <c r="AA498" s="161"/>
      <c r="AB498" s="161"/>
      <c r="AC498" s="161"/>
    </row>
    <row r="499" spans="1:29" ht="18" customHeight="1" thickBot="1" x14ac:dyDescent="0.25">
      <c r="A499" s="447" t="s">
        <v>89</v>
      </c>
      <c r="B499" s="453"/>
      <c r="C499" s="453"/>
      <c r="D499" s="453"/>
      <c r="E499" s="453"/>
      <c r="F499" s="453"/>
      <c r="G499" s="453"/>
      <c r="H499" s="453"/>
      <c r="I499" s="453"/>
      <c r="J499" s="453"/>
      <c r="K499" s="453"/>
      <c r="L499" s="454"/>
      <c r="M499" s="161"/>
      <c r="N499" s="178"/>
      <c r="O499" s="179" t="s">
        <v>119</v>
      </c>
      <c r="P499" s="179"/>
      <c r="Q499" s="179"/>
      <c r="R499" s="179">
        <v>0</v>
      </c>
      <c r="S499" s="159"/>
      <c r="T499" s="179" t="s">
        <v>119</v>
      </c>
      <c r="U499" s="185"/>
      <c r="V499" s="181"/>
      <c r="W499" s="185" t="str">
        <f t="shared" si="145"/>
        <v/>
      </c>
      <c r="X499" s="181"/>
      <c r="Y499" s="185" t="str">
        <f t="shared" si="146"/>
        <v/>
      </c>
      <c r="Z499" s="186"/>
      <c r="AA499" s="161"/>
      <c r="AB499" s="161"/>
      <c r="AC499" s="161"/>
    </row>
    <row r="500" spans="1:29" ht="18" customHeight="1" x14ac:dyDescent="0.2">
      <c r="A500" s="166"/>
      <c r="B500" s="152"/>
      <c r="C500" s="443" t="s">
        <v>188</v>
      </c>
      <c r="D500" s="435"/>
      <c r="E500" s="435"/>
      <c r="F500" s="435"/>
      <c r="G500" s="167" t="str">
        <f>$J$1</f>
        <v>August</v>
      </c>
      <c r="H500" s="444">
        <f>$K$1</f>
        <v>2024</v>
      </c>
      <c r="I500" s="435"/>
      <c r="J500" s="152"/>
      <c r="K500" s="168"/>
      <c r="L500" s="169"/>
      <c r="M500" s="161"/>
      <c r="N500" s="178"/>
      <c r="O500" s="179" t="s">
        <v>120</v>
      </c>
      <c r="P500" s="179"/>
      <c r="Q500" s="179"/>
      <c r="R500" s="179">
        <v>0</v>
      </c>
      <c r="S500" s="159"/>
      <c r="T500" s="179" t="s">
        <v>120</v>
      </c>
      <c r="U500" s="185"/>
      <c r="V500" s="181"/>
      <c r="W500" s="185" t="str">
        <f t="shared" si="145"/>
        <v/>
      </c>
      <c r="X500" s="181"/>
      <c r="Y500" s="185" t="str">
        <f t="shared" si="146"/>
        <v/>
      </c>
      <c r="Z500" s="186"/>
      <c r="AA500" s="161"/>
      <c r="AB500" s="161"/>
      <c r="AC500" s="161"/>
    </row>
    <row r="501" spans="1:29" ht="18" customHeight="1" x14ac:dyDescent="0.2">
      <c r="A501" s="166"/>
      <c r="B501" s="152"/>
      <c r="C501" s="152"/>
      <c r="D501" s="175"/>
      <c r="E501" s="175"/>
      <c r="F501" s="175"/>
      <c r="G501" s="175"/>
      <c r="H501" s="175"/>
      <c r="I501" s="152"/>
      <c r="J501" s="176" t="s">
        <v>99</v>
      </c>
      <c r="K501" s="154">
        <f>18000+3000+1000+3000+3000</f>
        <v>28000</v>
      </c>
      <c r="L501" s="177"/>
      <c r="M501" s="161"/>
      <c r="N501" s="178"/>
      <c r="O501" s="179" t="s">
        <v>121</v>
      </c>
      <c r="P501" s="179"/>
      <c r="Q501" s="179"/>
      <c r="R501" s="179">
        <v>0</v>
      </c>
      <c r="S501" s="159"/>
      <c r="T501" s="179" t="s">
        <v>121</v>
      </c>
      <c r="U501" s="185"/>
      <c r="V501" s="181"/>
      <c r="W501" s="185" t="str">
        <f t="shared" si="145"/>
        <v/>
      </c>
      <c r="X501" s="181"/>
      <c r="Y501" s="185" t="str">
        <f t="shared" si="146"/>
        <v/>
      </c>
      <c r="Z501" s="186"/>
      <c r="AA501" s="161"/>
      <c r="AB501" s="161"/>
      <c r="AC501" s="161"/>
    </row>
    <row r="502" spans="1:29" ht="18" customHeight="1" thickBot="1" x14ac:dyDescent="0.25">
      <c r="A502" s="166"/>
      <c r="B502" s="152" t="s">
        <v>101</v>
      </c>
      <c r="C502" s="151" t="s">
        <v>189</v>
      </c>
      <c r="D502" s="152"/>
      <c r="E502" s="152"/>
      <c r="F502" s="152"/>
      <c r="G502" s="152"/>
      <c r="H502" s="182"/>
      <c r="I502" s="175"/>
      <c r="J502" s="152"/>
      <c r="K502" s="152"/>
      <c r="L502" s="183"/>
      <c r="M502" s="204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  <c r="AA502" s="204"/>
      <c r="AB502" s="204"/>
      <c r="AC502" s="204"/>
    </row>
    <row r="503" spans="1:29" ht="18" customHeight="1" x14ac:dyDescent="0.2">
      <c r="A503" s="166"/>
      <c r="B503" s="187" t="s">
        <v>103</v>
      </c>
      <c r="C503" s="188"/>
      <c r="D503" s="152"/>
      <c r="E503" s="152"/>
      <c r="F503" s="439" t="s">
        <v>91</v>
      </c>
      <c r="G503" s="413"/>
      <c r="H503" s="152"/>
      <c r="I503" s="439" t="s">
        <v>104</v>
      </c>
      <c r="J503" s="412"/>
      <c r="K503" s="413"/>
      <c r="L503" s="189"/>
      <c r="M503" s="162"/>
      <c r="N503" s="163"/>
      <c r="O503" s="440" t="s">
        <v>90</v>
      </c>
      <c r="P503" s="441"/>
      <c r="Q503" s="441"/>
      <c r="R503" s="442"/>
      <c r="S503" s="164"/>
      <c r="T503" s="440" t="s">
        <v>91</v>
      </c>
      <c r="U503" s="441"/>
      <c r="V503" s="441"/>
      <c r="W503" s="441"/>
      <c r="X503" s="441"/>
      <c r="Y503" s="442"/>
      <c r="Z503" s="165"/>
      <c r="AA503" s="162"/>
      <c r="AB503" s="161"/>
      <c r="AC503" s="161"/>
    </row>
    <row r="504" spans="1:29" ht="18" customHeight="1" x14ac:dyDescent="0.2">
      <c r="A504" s="166"/>
      <c r="B504" s="152"/>
      <c r="C504" s="152"/>
      <c r="D504" s="152"/>
      <c r="E504" s="152"/>
      <c r="F504" s="152"/>
      <c r="G504" s="152"/>
      <c r="H504" s="190"/>
      <c r="I504" s="152"/>
      <c r="J504" s="152"/>
      <c r="K504" s="152"/>
      <c r="L504" s="191"/>
      <c r="M504" s="170"/>
      <c r="N504" s="171"/>
      <c r="O504" s="172" t="s">
        <v>93</v>
      </c>
      <c r="P504" s="172" t="s">
        <v>94</v>
      </c>
      <c r="Q504" s="172" t="s">
        <v>95</v>
      </c>
      <c r="R504" s="172" t="s">
        <v>96</v>
      </c>
      <c r="S504" s="173"/>
      <c r="T504" s="172" t="s">
        <v>93</v>
      </c>
      <c r="U504" s="172" t="s">
        <v>97</v>
      </c>
      <c r="V504" s="172" t="s">
        <v>9</v>
      </c>
      <c r="W504" s="172" t="s">
        <v>10</v>
      </c>
      <c r="X504" s="172" t="s">
        <v>11</v>
      </c>
      <c r="Y504" s="172" t="s">
        <v>98</v>
      </c>
      <c r="Z504" s="174"/>
      <c r="AA504" s="170"/>
      <c r="AB504" s="161"/>
      <c r="AC504" s="161"/>
    </row>
    <row r="505" spans="1:29" ht="18" customHeight="1" x14ac:dyDescent="0.2">
      <c r="A505" s="166"/>
      <c r="B505" s="445" t="s">
        <v>90</v>
      </c>
      <c r="C505" s="413"/>
      <c r="D505" s="152"/>
      <c r="E505" s="152"/>
      <c r="F505" s="192" t="s">
        <v>107</v>
      </c>
      <c r="G505" s="19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5" s="190"/>
      <c r="I505" s="194">
        <f>IF(C509&gt;=C508,$K$2,C507+C509)</f>
        <v>31</v>
      </c>
      <c r="J505" s="195" t="s">
        <v>108</v>
      </c>
      <c r="K505" s="196">
        <f>K501/$K$2*I505</f>
        <v>28000</v>
      </c>
      <c r="L505" s="197"/>
      <c r="M505" s="161"/>
      <c r="N505" s="178"/>
      <c r="O505" s="179" t="s">
        <v>100</v>
      </c>
      <c r="P505" s="179">
        <v>31</v>
      </c>
      <c r="Q505" s="179">
        <v>0</v>
      </c>
      <c r="R505" s="179">
        <v>0</v>
      </c>
      <c r="S505" s="180"/>
      <c r="T505" s="179" t="s">
        <v>100</v>
      </c>
      <c r="U505" s="181">
        <v>27000</v>
      </c>
      <c r="V505" s="181"/>
      <c r="W505" s="181">
        <f>V505+U505</f>
        <v>27000</v>
      </c>
      <c r="X505" s="181"/>
      <c r="Y505" s="181">
        <f>W505-X505</f>
        <v>27000</v>
      </c>
      <c r="Z505" s="174"/>
      <c r="AA505" s="161"/>
      <c r="AB505" s="161"/>
      <c r="AC505" s="161"/>
    </row>
    <row r="506" spans="1:29" ht="18" customHeight="1" x14ac:dyDescent="0.2">
      <c r="A506" s="166"/>
      <c r="B506" s="198"/>
      <c r="C506" s="198"/>
      <c r="D506" s="152"/>
      <c r="E506" s="152"/>
      <c r="F506" s="192" t="s">
        <v>9</v>
      </c>
      <c r="G506" s="193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06" s="190"/>
      <c r="I506" s="194">
        <v>138</v>
      </c>
      <c r="J506" s="195" t="s">
        <v>110</v>
      </c>
      <c r="K506" s="193">
        <f>K501/$K$2/8*I506</f>
        <v>15580.645161290324</v>
      </c>
      <c r="L506" s="199"/>
      <c r="M506" s="162"/>
      <c r="N506" s="184"/>
      <c r="O506" s="179" t="s">
        <v>102</v>
      </c>
      <c r="P506" s="179">
        <v>29</v>
      </c>
      <c r="Q506" s="179">
        <v>0</v>
      </c>
      <c r="R506" s="179">
        <v>0</v>
      </c>
      <c r="S506" s="159"/>
      <c r="T506" s="179" t="s">
        <v>102</v>
      </c>
      <c r="U506" s="185">
        <f t="shared" ref="U506:U507" si="148">Y505</f>
        <v>27000</v>
      </c>
      <c r="V506" s="181"/>
      <c r="W506" s="185">
        <f t="shared" ref="W506:W516" si="149">IF(U506="","",U506+V506)</f>
        <v>27000</v>
      </c>
      <c r="X506" s="181">
        <v>2000</v>
      </c>
      <c r="Y506" s="185">
        <f t="shared" ref="Y506:Y516" si="150">IF(W506="","",W506-X506)</f>
        <v>25000</v>
      </c>
      <c r="Z506" s="186"/>
      <c r="AA506" s="162"/>
      <c r="AB506" s="161"/>
      <c r="AC506" s="161"/>
    </row>
    <row r="507" spans="1:29" ht="18" customHeight="1" x14ac:dyDescent="0.2">
      <c r="A507" s="166"/>
      <c r="B507" s="192" t="s">
        <v>94</v>
      </c>
      <c r="C507" s="198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07" s="152"/>
      <c r="E507" s="152"/>
      <c r="F507" s="192" t="s">
        <v>111</v>
      </c>
      <c r="G507" s="193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07" s="190"/>
      <c r="I507" s="446" t="s">
        <v>112</v>
      </c>
      <c r="J507" s="413"/>
      <c r="K507" s="193">
        <f>K505+K506</f>
        <v>43580.645161290326</v>
      </c>
      <c r="L507" s="199"/>
      <c r="M507" s="161"/>
      <c r="N507" s="178"/>
      <c r="O507" s="179" t="s">
        <v>105</v>
      </c>
      <c r="P507" s="179">
        <v>31</v>
      </c>
      <c r="Q507" s="179">
        <v>0</v>
      </c>
      <c r="R507" s="179">
        <f>IF(Q507="","",R506-Q507)</f>
        <v>0</v>
      </c>
      <c r="S507" s="159"/>
      <c r="T507" s="179" t="s">
        <v>105</v>
      </c>
      <c r="U507" s="185">
        <f t="shared" si="148"/>
        <v>25000</v>
      </c>
      <c r="V507" s="181"/>
      <c r="W507" s="185">
        <f t="shared" si="149"/>
        <v>25000</v>
      </c>
      <c r="X507" s="181"/>
      <c r="Y507" s="185">
        <f t="shared" si="150"/>
        <v>25000</v>
      </c>
      <c r="Z507" s="186"/>
      <c r="AA507" s="161"/>
      <c r="AB507" s="161"/>
      <c r="AC507" s="161"/>
    </row>
    <row r="508" spans="1:29" ht="18" customHeight="1" x14ac:dyDescent="0.2">
      <c r="A508" s="166"/>
      <c r="B508" s="192" t="s">
        <v>95</v>
      </c>
      <c r="C508" s="198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08" s="152"/>
      <c r="E508" s="152"/>
      <c r="F508" s="192" t="s">
        <v>11</v>
      </c>
      <c r="G508" s="193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08" s="190"/>
      <c r="I508" s="446" t="s">
        <v>114</v>
      </c>
      <c r="J508" s="413"/>
      <c r="K508" s="193">
        <f>G508</f>
        <v>0</v>
      </c>
      <c r="L508" s="199"/>
      <c r="M508" s="161"/>
      <c r="N508" s="178"/>
      <c r="O508" s="179" t="s">
        <v>106</v>
      </c>
      <c r="P508" s="179">
        <v>30</v>
      </c>
      <c r="Q508" s="179">
        <v>0</v>
      </c>
      <c r="R508" s="179">
        <v>0</v>
      </c>
      <c r="S508" s="159"/>
      <c r="T508" s="179" t="s">
        <v>106</v>
      </c>
      <c r="U508" s="185">
        <f>IF($J$1="March","",Y507)</f>
        <v>25000</v>
      </c>
      <c r="V508" s="181">
        <v>3000</v>
      </c>
      <c r="W508" s="185">
        <f t="shared" si="149"/>
        <v>28000</v>
      </c>
      <c r="X508" s="181">
        <v>2000</v>
      </c>
      <c r="Y508" s="185">
        <f t="shared" si="150"/>
        <v>26000</v>
      </c>
      <c r="Z508" s="186"/>
      <c r="AA508" s="161"/>
      <c r="AB508" s="161"/>
      <c r="AC508" s="161"/>
    </row>
    <row r="509" spans="1:29" ht="18" customHeight="1" x14ac:dyDescent="0.2">
      <c r="A509" s="166"/>
      <c r="B509" s="207" t="s">
        <v>116</v>
      </c>
      <c r="C509" s="198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09" s="152"/>
      <c r="E509" s="152"/>
      <c r="F509" s="207" t="s">
        <v>117</v>
      </c>
      <c r="G509" s="193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H509" s="152"/>
      <c r="I509" s="439" t="s">
        <v>13</v>
      </c>
      <c r="J509" s="413"/>
      <c r="K509" s="37">
        <f>K507-K508</f>
        <v>43580.645161290326</v>
      </c>
      <c r="L509" s="183"/>
      <c r="M509" s="161"/>
      <c r="N509" s="178"/>
      <c r="O509" s="179" t="s">
        <v>109</v>
      </c>
      <c r="P509" s="179">
        <v>31</v>
      </c>
      <c r="Q509" s="179">
        <v>0</v>
      </c>
      <c r="R509" s="179">
        <v>0</v>
      </c>
      <c r="S509" s="159"/>
      <c r="T509" s="179" t="s">
        <v>109</v>
      </c>
      <c r="U509" s="185">
        <f t="shared" ref="U509:U510" si="151">Y508</f>
        <v>26000</v>
      </c>
      <c r="V509" s="181"/>
      <c r="W509" s="185">
        <f t="shared" si="149"/>
        <v>26000</v>
      </c>
      <c r="X509" s="181">
        <v>2000</v>
      </c>
      <c r="Y509" s="185">
        <f t="shared" si="150"/>
        <v>24000</v>
      </c>
      <c r="Z509" s="186"/>
      <c r="AA509" s="161"/>
      <c r="AB509" s="161"/>
      <c r="AC509" s="161"/>
    </row>
    <row r="510" spans="1:29" ht="18" customHeight="1" x14ac:dyDescent="0.2">
      <c r="A510" s="166"/>
      <c r="B510" s="152"/>
      <c r="C510" s="152"/>
      <c r="D510" s="152"/>
      <c r="E510" s="152"/>
      <c r="F510" s="152"/>
      <c r="G510" s="152"/>
      <c r="H510" s="152"/>
      <c r="I510" s="434"/>
      <c r="J510" s="435"/>
      <c r="K510" s="154"/>
      <c r="L510" s="189"/>
      <c r="M510" s="161"/>
      <c r="N510" s="178"/>
      <c r="O510" s="179" t="s">
        <v>85</v>
      </c>
      <c r="P510" s="179">
        <v>30</v>
      </c>
      <c r="Q510" s="179">
        <v>0</v>
      </c>
      <c r="R510" s="179">
        <v>0</v>
      </c>
      <c r="S510" s="159"/>
      <c r="T510" s="179" t="s">
        <v>85</v>
      </c>
      <c r="U510" s="185">
        <f t="shared" si="151"/>
        <v>24000</v>
      </c>
      <c r="V510" s="181">
        <v>2000</v>
      </c>
      <c r="W510" s="185">
        <f t="shared" si="149"/>
        <v>26000</v>
      </c>
      <c r="X510" s="181">
        <v>4000</v>
      </c>
      <c r="Y510" s="185">
        <f t="shared" si="150"/>
        <v>22000</v>
      </c>
      <c r="Z510" s="186"/>
      <c r="AA510" s="161"/>
      <c r="AB510" s="161"/>
      <c r="AC510" s="161"/>
    </row>
    <row r="511" spans="1:29" ht="18" customHeight="1" x14ac:dyDescent="0.3">
      <c r="A511" s="166"/>
      <c r="B511" s="150"/>
      <c r="C511" s="150"/>
      <c r="D511" s="150"/>
      <c r="E511" s="150"/>
      <c r="F511" s="150"/>
      <c r="G511" s="150"/>
      <c r="H511" s="150"/>
      <c r="I511" s="434"/>
      <c r="J511" s="435"/>
      <c r="K511" s="154"/>
      <c r="L511" s="189"/>
      <c r="M511" s="161"/>
      <c r="N511" s="178"/>
      <c r="O511" s="179" t="s">
        <v>113</v>
      </c>
      <c r="P511" s="179">
        <v>31</v>
      </c>
      <c r="Q511" s="179">
        <v>0</v>
      </c>
      <c r="R511" s="179">
        <v>0</v>
      </c>
      <c r="S511" s="159"/>
      <c r="T511" s="179" t="s">
        <v>113</v>
      </c>
      <c r="U511" s="185">
        <f>Y510</f>
        <v>22000</v>
      </c>
      <c r="V511" s="181">
        <f>5000+20000</f>
        <v>25000</v>
      </c>
      <c r="W511" s="185">
        <f t="shared" si="149"/>
        <v>47000</v>
      </c>
      <c r="X511" s="181">
        <v>5000</v>
      </c>
      <c r="Y511" s="185">
        <f t="shared" si="150"/>
        <v>42000</v>
      </c>
      <c r="Z511" s="186"/>
      <c r="AA511" s="161"/>
      <c r="AB511" s="161"/>
      <c r="AC511" s="161"/>
    </row>
    <row r="512" spans="1:29" ht="18" customHeight="1" thickBot="1" x14ac:dyDescent="0.35">
      <c r="A512" s="200"/>
      <c r="B512" s="201"/>
      <c r="C512" s="201"/>
      <c r="D512" s="201"/>
      <c r="E512" s="201"/>
      <c r="F512" s="201"/>
      <c r="G512" s="201"/>
      <c r="H512" s="201"/>
      <c r="I512" s="201"/>
      <c r="J512" s="201"/>
      <c r="K512" s="201"/>
      <c r="L512" s="202"/>
      <c r="M512" s="161"/>
      <c r="N512" s="178"/>
      <c r="O512" s="179" t="s">
        <v>115</v>
      </c>
      <c r="P512" s="179"/>
      <c r="Q512" s="179"/>
      <c r="R512" s="179">
        <v>0</v>
      </c>
      <c r="S512" s="159"/>
      <c r="T512" s="179" t="s">
        <v>115</v>
      </c>
      <c r="U512" s="185"/>
      <c r="V512" s="181"/>
      <c r="W512" s="185" t="str">
        <f t="shared" si="149"/>
        <v/>
      </c>
      <c r="X512" s="181"/>
      <c r="Y512" s="185" t="str">
        <f t="shared" si="150"/>
        <v/>
      </c>
      <c r="Z512" s="186"/>
      <c r="AA512" s="161"/>
      <c r="AB512" s="161"/>
      <c r="AC512" s="161"/>
    </row>
    <row r="513" spans="1:29" ht="18" customHeight="1" thickBot="1" x14ac:dyDescent="0.25">
      <c r="A513" s="203"/>
      <c r="B513" s="203"/>
      <c r="C513" s="203"/>
      <c r="D513" s="203"/>
      <c r="E513" s="203"/>
      <c r="F513" s="203"/>
      <c r="G513" s="203"/>
      <c r="H513" s="203"/>
      <c r="I513" s="203"/>
      <c r="J513" s="203"/>
      <c r="K513" s="203"/>
      <c r="L513" s="203"/>
      <c r="M513" s="161"/>
      <c r="N513" s="178"/>
      <c r="O513" s="179" t="s">
        <v>118</v>
      </c>
      <c r="P513" s="179"/>
      <c r="Q513" s="179"/>
      <c r="R513" s="179">
        <v>0</v>
      </c>
      <c r="S513" s="159"/>
      <c r="T513" s="179" t="s">
        <v>118</v>
      </c>
      <c r="U513" s="185"/>
      <c r="V513" s="181"/>
      <c r="W513" s="185" t="str">
        <f t="shared" si="149"/>
        <v/>
      </c>
      <c r="X513" s="181"/>
      <c r="Y513" s="185" t="str">
        <f t="shared" si="150"/>
        <v/>
      </c>
      <c r="Z513" s="186"/>
      <c r="AA513" s="161"/>
      <c r="AB513" s="161"/>
      <c r="AC513" s="161"/>
    </row>
    <row r="514" spans="1:29" ht="18" customHeight="1" thickBot="1" x14ac:dyDescent="0.25">
      <c r="A514" s="447" t="s">
        <v>89</v>
      </c>
      <c r="B514" s="453"/>
      <c r="C514" s="453"/>
      <c r="D514" s="453"/>
      <c r="E514" s="453"/>
      <c r="F514" s="453"/>
      <c r="G514" s="453"/>
      <c r="H514" s="453"/>
      <c r="I514" s="453"/>
      <c r="J514" s="453"/>
      <c r="K514" s="453"/>
      <c r="L514" s="454"/>
      <c r="M514" s="161"/>
      <c r="N514" s="178"/>
      <c r="O514" s="179" t="s">
        <v>119</v>
      </c>
      <c r="P514" s="179"/>
      <c r="Q514" s="179"/>
      <c r="R514" s="179">
        <v>0</v>
      </c>
      <c r="S514" s="159"/>
      <c r="T514" s="179" t="s">
        <v>119</v>
      </c>
      <c r="U514" s="185"/>
      <c r="V514" s="181"/>
      <c r="W514" s="185" t="str">
        <f t="shared" si="149"/>
        <v/>
      </c>
      <c r="X514" s="181"/>
      <c r="Y514" s="185" t="str">
        <f t="shared" si="150"/>
        <v/>
      </c>
      <c r="Z514" s="186"/>
      <c r="AA514" s="161"/>
      <c r="AB514" s="161"/>
      <c r="AC514" s="161"/>
    </row>
    <row r="515" spans="1:29" ht="18" customHeight="1" x14ac:dyDescent="0.2">
      <c r="A515" s="166"/>
      <c r="B515" s="152"/>
      <c r="C515" s="443" t="s">
        <v>190</v>
      </c>
      <c r="D515" s="435"/>
      <c r="E515" s="435"/>
      <c r="F515" s="435"/>
      <c r="G515" s="167" t="str">
        <f>$J$1</f>
        <v>August</v>
      </c>
      <c r="H515" s="444">
        <f>$K$1</f>
        <v>2024</v>
      </c>
      <c r="I515" s="435"/>
      <c r="J515" s="152"/>
      <c r="K515" s="168"/>
      <c r="L515" s="169"/>
      <c r="M515" s="161"/>
      <c r="N515" s="178"/>
      <c r="O515" s="179" t="s">
        <v>120</v>
      </c>
      <c r="P515" s="179"/>
      <c r="Q515" s="179"/>
      <c r="R515" s="179">
        <v>0</v>
      </c>
      <c r="S515" s="159"/>
      <c r="T515" s="179" t="s">
        <v>120</v>
      </c>
      <c r="U515" s="185"/>
      <c r="V515" s="181"/>
      <c r="W515" s="185" t="str">
        <f t="shared" si="149"/>
        <v/>
      </c>
      <c r="X515" s="181"/>
      <c r="Y515" s="185" t="str">
        <f t="shared" si="150"/>
        <v/>
      </c>
      <c r="Z515" s="186"/>
      <c r="AA515" s="161"/>
      <c r="AB515" s="161"/>
      <c r="AC515" s="161"/>
    </row>
    <row r="516" spans="1:29" ht="18" customHeight="1" x14ac:dyDescent="0.2">
      <c r="A516" s="166"/>
      <c r="B516" s="152"/>
      <c r="C516" s="152"/>
      <c r="D516" s="175"/>
      <c r="E516" s="175"/>
      <c r="F516" s="175"/>
      <c r="G516" s="175"/>
      <c r="H516" s="175"/>
      <c r="I516" s="152"/>
      <c r="J516" s="176" t="s">
        <v>99</v>
      </c>
      <c r="K516" s="154">
        <v>35000</v>
      </c>
      <c r="L516" s="177"/>
      <c r="M516" s="161"/>
      <c r="N516" s="178"/>
      <c r="O516" s="179" t="s">
        <v>121</v>
      </c>
      <c r="P516" s="179"/>
      <c r="Q516" s="179"/>
      <c r="R516" s="179">
        <v>0</v>
      </c>
      <c r="S516" s="159"/>
      <c r="T516" s="179" t="s">
        <v>121</v>
      </c>
      <c r="U516" s="185"/>
      <c r="V516" s="181"/>
      <c r="W516" s="185" t="str">
        <f t="shared" si="149"/>
        <v/>
      </c>
      <c r="X516" s="181"/>
      <c r="Y516" s="185" t="str">
        <f t="shared" si="150"/>
        <v/>
      </c>
      <c r="Z516" s="186"/>
      <c r="AA516" s="161"/>
      <c r="AB516" s="161"/>
      <c r="AC516" s="161"/>
    </row>
    <row r="517" spans="1:29" ht="18" customHeight="1" thickBot="1" x14ac:dyDescent="0.25">
      <c r="A517" s="166"/>
      <c r="B517" s="152" t="s">
        <v>101</v>
      </c>
      <c r="C517" s="151" t="s">
        <v>300</v>
      </c>
      <c r="D517" s="152"/>
      <c r="E517" s="152"/>
      <c r="F517" s="152"/>
      <c r="G517" s="152"/>
      <c r="H517" s="182"/>
      <c r="I517" s="175"/>
      <c r="J517" s="152"/>
      <c r="K517" s="152"/>
      <c r="L517" s="183"/>
      <c r="M517" s="204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  <c r="AA517" s="204"/>
      <c r="AB517" s="204"/>
      <c r="AC517" s="204"/>
    </row>
    <row r="518" spans="1:29" ht="18" customHeight="1" x14ac:dyDescent="0.2">
      <c r="A518" s="166"/>
      <c r="B518" s="187" t="s">
        <v>103</v>
      </c>
      <c r="C518" s="213"/>
      <c r="D518" s="152"/>
      <c r="E518" s="152"/>
      <c r="F518" s="439" t="s">
        <v>91</v>
      </c>
      <c r="G518" s="413"/>
      <c r="H518" s="152"/>
      <c r="I518" s="439" t="s">
        <v>104</v>
      </c>
      <c r="J518" s="412"/>
      <c r="K518" s="413"/>
      <c r="L518" s="189"/>
      <c r="M518" s="162"/>
      <c r="N518" s="163"/>
      <c r="O518" s="440" t="s">
        <v>90</v>
      </c>
      <c r="P518" s="441"/>
      <c r="Q518" s="441"/>
      <c r="R518" s="442"/>
      <c r="S518" s="164"/>
      <c r="T518" s="440" t="s">
        <v>91</v>
      </c>
      <c r="U518" s="441"/>
      <c r="V518" s="441"/>
      <c r="W518" s="441"/>
      <c r="X518" s="441"/>
      <c r="Y518" s="442"/>
      <c r="Z518" s="165"/>
      <c r="AA518" s="162"/>
      <c r="AB518" s="161"/>
      <c r="AC518" s="161"/>
    </row>
    <row r="519" spans="1:29" ht="18" customHeight="1" x14ac:dyDescent="0.2">
      <c r="A519" s="166"/>
      <c r="B519" s="152"/>
      <c r="C519" s="152"/>
      <c r="D519" s="152"/>
      <c r="E519" s="152"/>
      <c r="F519" s="152"/>
      <c r="G519" s="152"/>
      <c r="H519" s="190"/>
      <c r="I519" s="152"/>
      <c r="J519" s="152"/>
      <c r="K519" s="152"/>
      <c r="L519" s="191"/>
      <c r="M519" s="170"/>
      <c r="N519" s="171"/>
      <c r="O519" s="172" t="s">
        <v>93</v>
      </c>
      <c r="P519" s="172" t="s">
        <v>94</v>
      </c>
      <c r="Q519" s="172" t="s">
        <v>95</v>
      </c>
      <c r="R519" s="172" t="s">
        <v>96</v>
      </c>
      <c r="S519" s="173"/>
      <c r="T519" s="172" t="s">
        <v>93</v>
      </c>
      <c r="U519" s="172" t="s">
        <v>97</v>
      </c>
      <c r="V519" s="172" t="s">
        <v>9</v>
      </c>
      <c r="W519" s="172" t="s">
        <v>10</v>
      </c>
      <c r="X519" s="172" t="s">
        <v>11</v>
      </c>
      <c r="Y519" s="172" t="s">
        <v>98</v>
      </c>
      <c r="Z519" s="174"/>
      <c r="AA519" s="170"/>
      <c r="AB519" s="161"/>
      <c r="AC519" s="161"/>
    </row>
    <row r="520" spans="1:29" ht="18" customHeight="1" x14ac:dyDescent="0.2">
      <c r="A520" s="166"/>
      <c r="B520" s="445" t="s">
        <v>90</v>
      </c>
      <c r="C520" s="413"/>
      <c r="D520" s="152"/>
      <c r="E520" s="152"/>
      <c r="F520" s="192" t="s">
        <v>107</v>
      </c>
      <c r="G520" s="19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0" s="190"/>
      <c r="I520" s="194">
        <f>IF(C524&gt;=C523,$K$2,C522+C524)</f>
        <v>31</v>
      </c>
      <c r="J520" s="195" t="s">
        <v>108</v>
      </c>
      <c r="K520" s="196">
        <f>K516/$K$2*I520</f>
        <v>35000</v>
      </c>
      <c r="L520" s="197"/>
      <c r="M520" s="161"/>
      <c r="N520" s="178"/>
      <c r="O520" s="179" t="s">
        <v>100</v>
      </c>
      <c r="P520" s="179"/>
      <c r="Q520" s="179"/>
      <c r="R520" s="179"/>
      <c r="S520" s="180"/>
      <c r="T520" s="179" t="s">
        <v>100</v>
      </c>
      <c r="U520" s="181"/>
      <c r="V520" s="181"/>
      <c r="W520" s="181">
        <f>V520+U520</f>
        <v>0</v>
      </c>
      <c r="X520" s="181"/>
      <c r="Y520" s="181">
        <f>W520-X520</f>
        <v>0</v>
      </c>
      <c r="Z520" s="174"/>
      <c r="AA520" s="161"/>
      <c r="AB520" s="161"/>
      <c r="AC520" s="161"/>
    </row>
    <row r="521" spans="1:29" ht="18" customHeight="1" x14ac:dyDescent="0.2">
      <c r="A521" s="166"/>
      <c r="B521" s="198"/>
      <c r="C521" s="198"/>
      <c r="D521" s="152"/>
      <c r="E521" s="152"/>
      <c r="F521" s="192" t="s">
        <v>9</v>
      </c>
      <c r="G521" s="19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1" s="190"/>
      <c r="I521" s="194"/>
      <c r="J521" s="195" t="s">
        <v>110</v>
      </c>
      <c r="K521" s="193">
        <f>K516/$K$2/8*I521</f>
        <v>0</v>
      </c>
      <c r="L521" s="199"/>
      <c r="M521" s="162"/>
      <c r="N521" s="184"/>
      <c r="O521" s="179" t="s">
        <v>102</v>
      </c>
      <c r="P521" s="179"/>
      <c r="Q521" s="179"/>
      <c r="R521" s="179">
        <v>0</v>
      </c>
      <c r="S521" s="159"/>
      <c r="T521" s="179" t="s">
        <v>102</v>
      </c>
      <c r="U521" s="185"/>
      <c r="V521" s="181"/>
      <c r="W521" s="185" t="str">
        <f t="shared" ref="W521:W524" si="152">IF(U521="","",U521+V521)</f>
        <v/>
      </c>
      <c r="X521" s="181"/>
      <c r="Y521" s="185" t="str">
        <f t="shared" ref="Y521:Y531" si="153">IF(W521="","",W521-X521)</f>
        <v/>
      </c>
      <c r="Z521" s="186"/>
      <c r="AA521" s="162"/>
      <c r="AB521" s="161"/>
      <c r="AC521" s="161"/>
    </row>
    <row r="522" spans="1:29" ht="18" customHeight="1" x14ac:dyDescent="0.2">
      <c r="A522" s="166"/>
      <c r="B522" s="192" t="s">
        <v>94</v>
      </c>
      <c r="C522" s="198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2" s="152"/>
      <c r="E522" s="152"/>
      <c r="F522" s="192" t="s">
        <v>111</v>
      </c>
      <c r="G522" s="19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2" s="190"/>
      <c r="I522" s="446" t="s">
        <v>112</v>
      </c>
      <c r="J522" s="413"/>
      <c r="K522" s="193">
        <f>K520+K521</f>
        <v>35000</v>
      </c>
      <c r="L522" s="199"/>
      <c r="M522" s="161"/>
      <c r="N522" s="178"/>
      <c r="O522" s="179" t="s">
        <v>105</v>
      </c>
      <c r="P522" s="179"/>
      <c r="Q522" s="179"/>
      <c r="R522" s="179">
        <v>0</v>
      </c>
      <c r="S522" s="159"/>
      <c r="T522" s="179" t="s">
        <v>105</v>
      </c>
      <c r="U522" s="185"/>
      <c r="V522" s="181"/>
      <c r="W522" s="185" t="str">
        <f t="shared" si="152"/>
        <v/>
      </c>
      <c r="X522" s="181"/>
      <c r="Y522" s="185" t="str">
        <f t="shared" si="153"/>
        <v/>
      </c>
      <c r="Z522" s="186"/>
      <c r="AA522" s="161"/>
      <c r="AB522" s="161"/>
      <c r="AC522" s="161"/>
    </row>
    <row r="523" spans="1:29" ht="18" customHeight="1" x14ac:dyDescent="0.2">
      <c r="A523" s="166"/>
      <c r="B523" s="192" t="s">
        <v>95</v>
      </c>
      <c r="C523" s="198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3" s="152"/>
      <c r="E523" s="152"/>
      <c r="F523" s="192" t="s">
        <v>11</v>
      </c>
      <c r="G523" s="19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3" s="190"/>
      <c r="I523" s="446" t="s">
        <v>114</v>
      </c>
      <c r="J523" s="413"/>
      <c r="K523" s="193">
        <f>G523</f>
        <v>0</v>
      </c>
      <c r="L523" s="199"/>
      <c r="M523" s="161"/>
      <c r="N523" s="178"/>
      <c r="O523" s="179" t="s">
        <v>106</v>
      </c>
      <c r="P523" s="179"/>
      <c r="Q523" s="179"/>
      <c r="R523" s="179">
        <v>0</v>
      </c>
      <c r="S523" s="159"/>
      <c r="T523" s="179" t="s">
        <v>106</v>
      </c>
      <c r="U523" s="185" t="str">
        <f>IF($J$1="March","",Y522)</f>
        <v/>
      </c>
      <c r="V523" s="181"/>
      <c r="W523" s="185" t="str">
        <f t="shared" si="152"/>
        <v/>
      </c>
      <c r="X523" s="181"/>
      <c r="Y523" s="185" t="str">
        <f t="shared" si="153"/>
        <v/>
      </c>
      <c r="Z523" s="186"/>
      <c r="AA523" s="161"/>
      <c r="AB523" s="161"/>
      <c r="AC523" s="161"/>
    </row>
    <row r="524" spans="1:29" ht="18" customHeight="1" x14ac:dyDescent="0.2">
      <c r="A524" s="166"/>
      <c r="B524" s="207" t="s">
        <v>116</v>
      </c>
      <c r="C524" s="198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4" s="152"/>
      <c r="E524" s="152"/>
      <c r="F524" s="207" t="s">
        <v>117</v>
      </c>
      <c r="G524" s="19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4" s="152"/>
      <c r="I524" s="439" t="s">
        <v>13</v>
      </c>
      <c r="J524" s="413"/>
      <c r="K524" s="37">
        <f>K522-K523</f>
        <v>35000</v>
      </c>
      <c r="L524" s="183"/>
      <c r="M524" s="161"/>
      <c r="N524" s="178"/>
      <c r="O524" s="179" t="s">
        <v>109</v>
      </c>
      <c r="P524" s="179"/>
      <c r="Q524" s="179"/>
      <c r="R524" s="179">
        <v>0</v>
      </c>
      <c r="S524" s="159"/>
      <c r="T524" s="179" t="s">
        <v>109</v>
      </c>
      <c r="U524" s="185" t="str">
        <f t="shared" ref="U524:U525" si="154">Y523</f>
        <v/>
      </c>
      <c r="V524" s="181"/>
      <c r="W524" s="185" t="str">
        <f t="shared" si="152"/>
        <v/>
      </c>
      <c r="X524" s="181"/>
      <c r="Y524" s="185" t="str">
        <f t="shared" si="153"/>
        <v/>
      </c>
      <c r="Z524" s="186"/>
      <c r="AA524" s="161"/>
      <c r="AB524" s="161"/>
      <c r="AC524" s="161"/>
    </row>
    <row r="525" spans="1:29" ht="18" customHeight="1" x14ac:dyDescent="0.2">
      <c r="A525" s="166"/>
      <c r="B525" s="152"/>
      <c r="C525" s="152"/>
      <c r="D525" s="152"/>
      <c r="E525" s="152"/>
      <c r="F525" s="152"/>
      <c r="G525" s="152"/>
      <c r="H525" s="152"/>
      <c r="I525" s="434"/>
      <c r="J525" s="435"/>
      <c r="K525" s="154"/>
      <c r="L525" s="189"/>
      <c r="M525" s="161"/>
      <c r="N525" s="178"/>
      <c r="O525" s="179" t="s">
        <v>85</v>
      </c>
      <c r="P525" s="179"/>
      <c r="Q525" s="179"/>
      <c r="R525" s="179">
        <v>0</v>
      </c>
      <c r="S525" s="159"/>
      <c r="T525" s="179" t="s">
        <v>85</v>
      </c>
      <c r="U525" s="185" t="str">
        <f t="shared" si="154"/>
        <v/>
      </c>
      <c r="V525" s="181"/>
      <c r="W525" s="185">
        <f>V525</f>
        <v>0</v>
      </c>
      <c r="X525" s="181"/>
      <c r="Y525" s="185">
        <f t="shared" si="153"/>
        <v>0</v>
      </c>
      <c r="Z525" s="186"/>
      <c r="AA525" s="161"/>
      <c r="AB525" s="161"/>
      <c r="AC525" s="161"/>
    </row>
    <row r="526" spans="1:29" ht="18" customHeight="1" x14ac:dyDescent="0.3">
      <c r="A526" s="166"/>
      <c r="B526" s="150"/>
      <c r="C526" s="150"/>
      <c r="D526" s="150"/>
      <c r="E526" s="150"/>
      <c r="F526" s="150"/>
      <c r="G526" s="150"/>
      <c r="H526" s="150"/>
      <c r="I526" s="434"/>
      <c r="J526" s="435"/>
      <c r="K526" s="154"/>
      <c r="L526" s="189"/>
      <c r="M526" s="161"/>
      <c r="N526" s="178"/>
      <c r="O526" s="179" t="s">
        <v>113</v>
      </c>
      <c r="P526" s="179">
        <v>31</v>
      </c>
      <c r="Q526" s="179">
        <v>0</v>
      </c>
      <c r="R526" s="179">
        <f>IF(Q526="","",R525-Q526)</f>
        <v>0</v>
      </c>
      <c r="S526" s="159"/>
      <c r="T526" s="179" t="s">
        <v>113</v>
      </c>
      <c r="U526" s="185"/>
      <c r="V526" s="181"/>
      <c r="W526" s="185">
        <f>V526+U526</f>
        <v>0</v>
      </c>
      <c r="X526" s="181"/>
      <c r="Y526" s="185">
        <f t="shared" si="153"/>
        <v>0</v>
      </c>
      <c r="Z526" s="186"/>
      <c r="AA526" s="161"/>
      <c r="AB526" s="161"/>
      <c r="AC526" s="161"/>
    </row>
    <row r="527" spans="1:29" ht="18" customHeight="1" thickBot="1" x14ac:dyDescent="0.35">
      <c r="A527" s="200"/>
      <c r="B527" s="201"/>
      <c r="C527" s="201"/>
      <c r="D527" s="201"/>
      <c r="E527" s="201"/>
      <c r="F527" s="201"/>
      <c r="G527" s="201"/>
      <c r="H527" s="201"/>
      <c r="I527" s="201"/>
      <c r="J527" s="201"/>
      <c r="K527" s="201"/>
      <c r="L527" s="202"/>
      <c r="M527" s="161"/>
      <c r="N527" s="178"/>
      <c r="O527" s="179" t="s">
        <v>115</v>
      </c>
      <c r="P527" s="179"/>
      <c r="Q527" s="179"/>
      <c r="R527" s="179">
        <v>0</v>
      </c>
      <c r="S527" s="159"/>
      <c r="T527" s="179" t="s">
        <v>115</v>
      </c>
      <c r="U527" s="185">
        <f>Y526</f>
        <v>0</v>
      </c>
      <c r="V527" s="181"/>
      <c r="W527" s="185">
        <f t="shared" ref="W527:W531" si="155">IF(U527="","",U527+V527)</f>
        <v>0</v>
      </c>
      <c r="X527" s="181"/>
      <c r="Y527" s="185">
        <f t="shared" si="153"/>
        <v>0</v>
      </c>
      <c r="Z527" s="186"/>
      <c r="AA527" s="161"/>
      <c r="AB527" s="161"/>
      <c r="AC527" s="161"/>
    </row>
    <row r="528" spans="1:29" ht="18" customHeight="1" thickBot="1" x14ac:dyDescent="0.25">
      <c r="A528" s="203"/>
      <c r="B528" s="203"/>
      <c r="C528" s="203"/>
      <c r="D528" s="203"/>
      <c r="E528" s="203"/>
      <c r="F528" s="203"/>
      <c r="G528" s="203"/>
      <c r="H528" s="203"/>
      <c r="I528" s="203"/>
      <c r="J528" s="203"/>
      <c r="K528" s="203"/>
      <c r="L528" s="203"/>
      <c r="M528" s="161"/>
      <c r="N528" s="178"/>
      <c r="O528" s="179" t="s">
        <v>118</v>
      </c>
      <c r="P528" s="179"/>
      <c r="Q528" s="179"/>
      <c r="R528" s="179">
        <v>0</v>
      </c>
      <c r="S528" s="159"/>
      <c r="T528" s="179" t="s">
        <v>118</v>
      </c>
      <c r="U528" s="185" t="str">
        <f>IF($J$1="September",Y527,"")</f>
        <v/>
      </c>
      <c r="V528" s="181"/>
      <c r="W528" s="185" t="str">
        <f t="shared" si="155"/>
        <v/>
      </c>
      <c r="X528" s="181"/>
      <c r="Y528" s="185" t="str">
        <f t="shared" si="153"/>
        <v/>
      </c>
      <c r="Z528" s="186"/>
      <c r="AA528" s="161"/>
      <c r="AB528" s="161"/>
      <c r="AC528" s="161"/>
    </row>
    <row r="529" spans="1:29" ht="18" customHeight="1" thickBot="1" x14ac:dyDescent="0.25">
      <c r="A529" s="447" t="s">
        <v>89</v>
      </c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4"/>
      <c r="M529" s="161"/>
      <c r="N529" s="178"/>
      <c r="O529" s="179" t="s">
        <v>119</v>
      </c>
      <c r="P529" s="179"/>
      <c r="Q529" s="179"/>
      <c r="R529" s="179">
        <v>0</v>
      </c>
      <c r="S529" s="159"/>
      <c r="T529" s="179" t="s">
        <v>119</v>
      </c>
      <c r="U529" s="185" t="str">
        <f>IF($J$1="October",Y528,"")</f>
        <v/>
      </c>
      <c r="V529" s="181"/>
      <c r="W529" s="185" t="str">
        <f t="shared" si="155"/>
        <v/>
      </c>
      <c r="X529" s="181"/>
      <c r="Y529" s="185" t="str">
        <f t="shared" si="153"/>
        <v/>
      </c>
      <c r="Z529" s="186"/>
      <c r="AA529" s="161"/>
      <c r="AB529" s="161"/>
      <c r="AC529" s="161"/>
    </row>
    <row r="530" spans="1:29" ht="18" customHeight="1" x14ac:dyDescent="0.2">
      <c r="A530" s="166"/>
      <c r="B530" s="152"/>
      <c r="C530" s="443" t="s">
        <v>191</v>
      </c>
      <c r="D530" s="435"/>
      <c r="E530" s="435"/>
      <c r="F530" s="435"/>
      <c r="G530" s="167" t="str">
        <f>$J$1</f>
        <v>August</v>
      </c>
      <c r="H530" s="444">
        <f>$K$1</f>
        <v>2024</v>
      </c>
      <c r="I530" s="435"/>
      <c r="J530" s="152"/>
      <c r="K530" s="168"/>
      <c r="L530" s="169"/>
      <c r="M530" s="161"/>
      <c r="N530" s="178"/>
      <c r="O530" s="179" t="s">
        <v>120</v>
      </c>
      <c r="P530" s="179"/>
      <c r="Q530" s="179"/>
      <c r="R530" s="179">
        <v>0</v>
      </c>
      <c r="S530" s="159"/>
      <c r="T530" s="179" t="s">
        <v>120</v>
      </c>
      <c r="U530" s="185" t="str">
        <f t="shared" ref="U530:U531" si="156">Y529</f>
        <v/>
      </c>
      <c r="V530" s="181"/>
      <c r="W530" s="185" t="str">
        <f t="shared" si="155"/>
        <v/>
      </c>
      <c r="X530" s="181"/>
      <c r="Y530" s="185" t="str">
        <f t="shared" si="153"/>
        <v/>
      </c>
      <c r="Z530" s="186"/>
      <c r="AA530" s="161"/>
      <c r="AB530" s="161"/>
      <c r="AC530" s="161"/>
    </row>
    <row r="531" spans="1:29" ht="18" customHeight="1" x14ac:dyDescent="0.2">
      <c r="A531" s="166"/>
      <c r="B531" s="152"/>
      <c r="C531" s="152"/>
      <c r="D531" s="175"/>
      <c r="E531" s="175"/>
      <c r="F531" s="175"/>
      <c r="G531" s="175"/>
      <c r="H531" s="175"/>
      <c r="I531" s="152"/>
      <c r="J531" s="176" t="s">
        <v>99</v>
      </c>
      <c r="K531" s="154">
        <f>30000+5000+5000</f>
        <v>40000</v>
      </c>
      <c r="L531" s="177"/>
      <c r="M531" s="161"/>
      <c r="N531" s="178"/>
      <c r="O531" s="179" t="s">
        <v>121</v>
      </c>
      <c r="P531" s="179"/>
      <c r="Q531" s="179"/>
      <c r="R531" s="179">
        <v>0</v>
      </c>
      <c r="S531" s="159"/>
      <c r="T531" s="179" t="s">
        <v>121</v>
      </c>
      <c r="U531" s="185" t="str">
        <f t="shared" si="156"/>
        <v/>
      </c>
      <c r="V531" s="181"/>
      <c r="W531" s="185" t="str">
        <f t="shared" si="155"/>
        <v/>
      </c>
      <c r="X531" s="181"/>
      <c r="Y531" s="185" t="str">
        <f t="shared" si="153"/>
        <v/>
      </c>
      <c r="Z531" s="186"/>
      <c r="AA531" s="161"/>
      <c r="AB531" s="161"/>
      <c r="AC531" s="161"/>
    </row>
    <row r="532" spans="1:29" ht="18" customHeight="1" thickBot="1" x14ac:dyDescent="0.25">
      <c r="A532" s="166"/>
      <c r="B532" s="152" t="s">
        <v>101</v>
      </c>
      <c r="C532" s="151" t="s">
        <v>192</v>
      </c>
      <c r="D532" s="152"/>
      <c r="E532" s="152"/>
      <c r="F532" s="152"/>
      <c r="G532" s="152"/>
      <c r="H532" s="182"/>
      <c r="I532" s="175"/>
      <c r="J532" s="152"/>
      <c r="K532" s="152"/>
      <c r="L532" s="183"/>
      <c r="M532" s="204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4"/>
      <c r="AB532" s="204"/>
      <c r="AC532" s="204"/>
    </row>
    <row r="533" spans="1:29" ht="18" customHeight="1" x14ac:dyDescent="0.2">
      <c r="A533" s="166"/>
      <c r="B533" s="187" t="s">
        <v>103</v>
      </c>
      <c r="C533" s="188"/>
      <c r="D533" s="152"/>
      <c r="E533" s="152"/>
      <c r="F533" s="439" t="s">
        <v>91</v>
      </c>
      <c r="G533" s="413"/>
      <c r="H533" s="152"/>
      <c r="I533" s="439" t="s">
        <v>104</v>
      </c>
      <c r="J533" s="412"/>
      <c r="K533" s="413"/>
      <c r="L533" s="189"/>
      <c r="M533" s="162"/>
      <c r="N533" s="163"/>
      <c r="O533" s="440" t="s">
        <v>90</v>
      </c>
      <c r="P533" s="441"/>
      <c r="Q533" s="441"/>
      <c r="R533" s="442"/>
      <c r="S533" s="164"/>
      <c r="T533" s="440" t="s">
        <v>91</v>
      </c>
      <c r="U533" s="441"/>
      <c r="V533" s="441"/>
      <c r="W533" s="441"/>
      <c r="X533" s="441"/>
      <c r="Y533" s="442"/>
      <c r="Z533" s="165"/>
      <c r="AA533" s="162"/>
      <c r="AB533" s="161"/>
      <c r="AC533" s="161"/>
    </row>
    <row r="534" spans="1:29" ht="18" customHeight="1" x14ac:dyDescent="0.2">
      <c r="A534" s="166"/>
      <c r="B534" s="152"/>
      <c r="C534" s="152"/>
      <c r="D534" s="152"/>
      <c r="E534" s="152"/>
      <c r="F534" s="152"/>
      <c r="G534" s="152"/>
      <c r="H534" s="190"/>
      <c r="I534" s="152"/>
      <c r="J534" s="152"/>
      <c r="K534" s="152"/>
      <c r="L534" s="191"/>
      <c r="M534" s="170"/>
      <c r="N534" s="171"/>
      <c r="O534" s="172" t="s">
        <v>93</v>
      </c>
      <c r="P534" s="172" t="s">
        <v>94</v>
      </c>
      <c r="Q534" s="172" t="s">
        <v>95</v>
      </c>
      <c r="R534" s="172" t="s">
        <v>96</v>
      </c>
      <c r="S534" s="173"/>
      <c r="T534" s="172" t="s">
        <v>93</v>
      </c>
      <c r="U534" s="172" t="s">
        <v>97</v>
      </c>
      <c r="V534" s="172" t="s">
        <v>9</v>
      </c>
      <c r="W534" s="172" t="s">
        <v>10</v>
      </c>
      <c r="X534" s="172" t="s">
        <v>11</v>
      </c>
      <c r="Y534" s="172" t="s">
        <v>98</v>
      </c>
      <c r="Z534" s="174"/>
      <c r="AA534" s="170"/>
      <c r="AB534" s="161"/>
      <c r="AC534" s="161"/>
    </row>
    <row r="535" spans="1:29" ht="18" customHeight="1" x14ac:dyDescent="0.2">
      <c r="A535" s="166"/>
      <c r="B535" s="445" t="s">
        <v>90</v>
      </c>
      <c r="C535" s="413"/>
      <c r="D535" s="152"/>
      <c r="E535" s="152"/>
      <c r="F535" s="192" t="s">
        <v>107</v>
      </c>
      <c r="G535" s="193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5" s="190"/>
      <c r="I535" s="194">
        <f>IF(C539&gt;=C538,$K$2,C537+C539)</f>
        <v>31</v>
      </c>
      <c r="J535" s="195" t="s">
        <v>108</v>
      </c>
      <c r="K535" s="196">
        <f>K531/$K$2*I535</f>
        <v>40000</v>
      </c>
      <c r="L535" s="197"/>
      <c r="M535" s="161"/>
      <c r="N535" s="178"/>
      <c r="O535" s="179" t="s">
        <v>100</v>
      </c>
      <c r="P535" s="179">
        <v>31</v>
      </c>
      <c r="Q535" s="179">
        <v>0</v>
      </c>
      <c r="R535" s="179">
        <f>19-Q535+15</f>
        <v>34</v>
      </c>
      <c r="S535" s="180"/>
      <c r="T535" s="179" t="s">
        <v>100</v>
      </c>
      <c r="U535" s="181">
        <v>5000</v>
      </c>
      <c r="V535" s="181"/>
      <c r="W535" s="181">
        <f>V535+U535</f>
        <v>5000</v>
      </c>
      <c r="X535" s="181">
        <v>5000</v>
      </c>
      <c r="Y535" s="181">
        <f>W535-X535</f>
        <v>0</v>
      </c>
      <c r="Z535" s="174"/>
      <c r="AA535" s="161"/>
      <c r="AB535" s="161"/>
      <c r="AC535" s="161"/>
    </row>
    <row r="536" spans="1:29" ht="18" customHeight="1" x14ac:dyDescent="0.2">
      <c r="A536" s="166"/>
      <c r="B536" s="198"/>
      <c r="C536" s="198"/>
      <c r="D536" s="152"/>
      <c r="E536" s="152"/>
      <c r="F536" s="192" t="s">
        <v>9</v>
      </c>
      <c r="G536" s="193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36" s="190"/>
      <c r="I536" s="194">
        <v>111</v>
      </c>
      <c r="J536" s="195" t="s">
        <v>110</v>
      </c>
      <c r="K536" s="193">
        <f>K531/$K$2/8*I536</f>
        <v>17903.225806451614</v>
      </c>
      <c r="L536" s="199"/>
      <c r="M536" s="162"/>
      <c r="N536" s="184"/>
      <c r="O536" s="179" t="s">
        <v>102</v>
      </c>
      <c r="P536" s="179">
        <v>29</v>
      </c>
      <c r="Q536" s="179">
        <v>0</v>
      </c>
      <c r="R536" s="179">
        <f t="shared" ref="R536:R546" si="157">IF(Q536="","",R535-Q536)</f>
        <v>34</v>
      </c>
      <c r="S536" s="159"/>
      <c r="T536" s="179" t="s">
        <v>102</v>
      </c>
      <c r="U536" s="185">
        <f t="shared" ref="U536:U540" si="158">Y535</f>
        <v>0</v>
      </c>
      <c r="V536" s="181"/>
      <c r="W536" s="185">
        <f t="shared" ref="W536:W546" si="159">IF(U536="","",U536+V536)</f>
        <v>0</v>
      </c>
      <c r="X536" s="181"/>
      <c r="Y536" s="185">
        <f t="shared" ref="Y536:Y546" si="160">IF(W536="","",W536-X536)</f>
        <v>0</v>
      </c>
      <c r="Z536" s="186"/>
      <c r="AA536" s="162"/>
      <c r="AB536" s="161"/>
      <c r="AC536" s="161"/>
    </row>
    <row r="537" spans="1:29" ht="18" customHeight="1" x14ac:dyDescent="0.2">
      <c r="A537" s="166"/>
      <c r="B537" s="192" t="s">
        <v>94</v>
      </c>
      <c r="C537" s="198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37" s="152"/>
      <c r="E537" s="152"/>
      <c r="F537" s="192" t="s">
        <v>111</v>
      </c>
      <c r="G537" s="193" t="str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/>
      </c>
      <c r="H537" s="190"/>
      <c r="I537" s="446" t="s">
        <v>112</v>
      </c>
      <c r="J537" s="413"/>
      <c r="K537" s="193">
        <f>K535+K536</f>
        <v>57903.225806451614</v>
      </c>
      <c r="L537" s="199"/>
      <c r="M537" s="161"/>
      <c r="N537" s="178"/>
      <c r="O537" s="179" t="s">
        <v>105</v>
      </c>
      <c r="P537" s="179">
        <v>31</v>
      </c>
      <c r="Q537" s="179">
        <v>0</v>
      </c>
      <c r="R537" s="179">
        <f t="shared" si="157"/>
        <v>34</v>
      </c>
      <c r="S537" s="159"/>
      <c r="T537" s="179" t="s">
        <v>105</v>
      </c>
      <c r="U537" s="185">
        <f t="shared" si="158"/>
        <v>0</v>
      </c>
      <c r="V537" s="181">
        <v>50000</v>
      </c>
      <c r="W537" s="185">
        <f t="shared" si="159"/>
        <v>50000</v>
      </c>
      <c r="X537" s="181"/>
      <c r="Y537" s="185">
        <f t="shared" si="160"/>
        <v>50000</v>
      </c>
      <c r="Z537" s="186"/>
      <c r="AA537" s="161"/>
      <c r="AB537" s="161"/>
      <c r="AC537" s="161"/>
    </row>
    <row r="538" spans="1:29" ht="18" customHeight="1" x14ac:dyDescent="0.2">
      <c r="A538" s="166"/>
      <c r="B538" s="192" t="s">
        <v>95</v>
      </c>
      <c r="C538" s="198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38" s="152"/>
      <c r="E538" s="152"/>
      <c r="F538" s="192" t="s">
        <v>11</v>
      </c>
      <c r="G538" s="193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38" s="190"/>
      <c r="I538" s="446" t="s">
        <v>114</v>
      </c>
      <c r="J538" s="413"/>
      <c r="K538" s="193">
        <f>G538</f>
        <v>0</v>
      </c>
      <c r="L538" s="199"/>
      <c r="M538" s="161"/>
      <c r="N538" s="178"/>
      <c r="O538" s="179" t="s">
        <v>106</v>
      </c>
      <c r="P538" s="179">
        <v>18</v>
      </c>
      <c r="Q538" s="179">
        <v>12</v>
      </c>
      <c r="R538" s="179">
        <f t="shared" si="157"/>
        <v>22</v>
      </c>
      <c r="S538" s="159"/>
      <c r="T538" s="179" t="s">
        <v>106</v>
      </c>
      <c r="U538" s="185">
        <f t="shared" si="158"/>
        <v>50000</v>
      </c>
      <c r="V538" s="181"/>
      <c r="W538" s="185">
        <f t="shared" si="159"/>
        <v>50000</v>
      </c>
      <c r="X538" s="181">
        <v>5000</v>
      </c>
      <c r="Y538" s="185">
        <f t="shared" si="160"/>
        <v>45000</v>
      </c>
      <c r="Z538" s="186"/>
      <c r="AA538" s="161"/>
      <c r="AB538" s="161"/>
      <c r="AC538" s="161"/>
    </row>
    <row r="539" spans="1:29" ht="18" customHeight="1" x14ac:dyDescent="0.2">
      <c r="A539" s="166"/>
      <c r="B539" s="207" t="s">
        <v>116</v>
      </c>
      <c r="C539" s="198" t="str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/>
      </c>
      <c r="D539" s="152"/>
      <c r="E539" s="152"/>
      <c r="F539" s="207" t="s">
        <v>117</v>
      </c>
      <c r="G539" s="193" t="str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/>
      </c>
      <c r="H539" s="152"/>
      <c r="I539" s="439" t="s">
        <v>13</v>
      </c>
      <c r="J539" s="413"/>
      <c r="K539" s="37">
        <f>K537-K538</f>
        <v>57903.225806451614</v>
      </c>
      <c r="L539" s="183"/>
      <c r="M539" s="161"/>
      <c r="N539" s="178"/>
      <c r="O539" s="179" t="s">
        <v>109</v>
      </c>
      <c r="P539" s="179">
        <v>31</v>
      </c>
      <c r="Q539" s="179">
        <v>0</v>
      </c>
      <c r="R539" s="179">
        <f t="shared" si="157"/>
        <v>22</v>
      </c>
      <c r="S539" s="159"/>
      <c r="T539" s="179" t="s">
        <v>109</v>
      </c>
      <c r="U539" s="185">
        <f t="shared" si="158"/>
        <v>45000</v>
      </c>
      <c r="V539" s="181"/>
      <c r="W539" s="185">
        <f t="shared" si="159"/>
        <v>45000</v>
      </c>
      <c r="X539" s="181">
        <v>5000</v>
      </c>
      <c r="Y539" s="185">
        <f t="shared" si="160"/>
        <v>40000</v>
      </c>
      <c r="Z539" s="186"/>
      <c r="AA539" s="161"/>
      <c r="AB539" s="161"/>
      <c r="AC539" s="161"/>
    </row>
    <row r="540" spans="1:29" ht="18" customHeight="1" x14ac:dyDescent="0.2">
      <c r="A540" s="166"/>
      <c r="B540" s="152"/>
      <c r="C540" s="152"/>
      <c r="D540" s="152"/>
      <c r="E540" s="152"/>
      <c r="F540" s="152"/>
      <c r="G540" s="152"/>
      <c r="H540" s="152"/>
      <c r="I540" s="434"/>
      <c r="J540" s="435"/>
      <c r="K540" s="154"/>
      <c r="L540" s="189"/>
      <c r="M540" s="161"/>
      <c r="N540" s="178"/>
      <c r="O540" s="179" t="s">
        <v>85</v>
      </c>
      <c r="P540" s="179">
        <v>30</v>
      </c>
      <c r="Q540" s="179">
        <v>0</v>
      </c>
      <c r="R540" s="179">
        <f t="shared" si="157"/>
        <v>22</v>
      </c>
      <c r="S540" s="159"/>
      <c r="T540" s="179" t="s">
        <v>85</v>
      </c>
      <c r="U540" s="185">
        <f t="shared" si="158"/>
        <v>40000</v>
      </c>
      <c r="V540" s="181"/>
      <c r="W540" s="185">
        <f t="shared" si="159"/>
        <v>40000</v>
      </c>
      <c r="X540" s="181">
        <v>5000</v>
      </c>
      <c r="Y540" s="185">
        <f t="shared" si="160"/>
        <v>35000</v>
      </c>
      <c r="Z540" s="186"/>
      <c r="AA540" s="161"/>
      <c r="AB540" s="161"/>
      <c r="AC540" s="161"/>
    </row>
    <row r="541" spans="1:29" ht="18" customHeight="1" x14ac:dyDescent="0.3">
      <c r="A541" s="166"/>
      <c r="B541" s="150"/>
      <c r="C541" s="150"/>
      <c r="D541" s="150"/>
      <c r="E541" s="150"/>
      <c r="F541" s="150"/>
      <c r="G541" s="150"/>
      <c r="H541" s="150"/>
      <c r="I541" s="457"/>
      <c r="J541" s="435"/>
      <c r="K541" s="154"/>
      <c r="L541" s="189"/>
      <c r="M541" s="161"/>
      <c r="N541" s="178"/>
      <c r="O541" s="179" t="s">
        <v>113</v>
      </c>
      <c r="P541" s="179">
        <v>31</v>
      </c>
      <c r="Q541" s="179">
        <v>0</v>
      </c>
      <c r="R541" s="179">
        <f t="shared" si="157"/>
        <v>22</v>
      </c>
      <c r="S541" s="159"/>
      <c r="T541" s="179" t="s">
        <v>113</v>
      </c>
      <c r="U541" s="185">
        <f>Y540</f>
        <v>35000</v>
      </c>
      <c r="V541" s="181"/>
      <c r="W541" s="185">
        <f t="shared" si="159"/>
        <v>35000</v>
      </c>
      <c r="X541" s="181">
        <v>5000</v>
      </c>
      <c r="Y541" s="185">
        <f t="shared" si="160"/>
        <v>30000</v>
      </c>
      <c r="Z541" s="186"/>
      <c r="AA541" s="161"/>
      <c r="AB541" s="161"/>
      <c r="AC541" s="161"/>
    </row>
    <row r="542" spans="1:29" ht="18" customHeight="1" thickBot="1" x14ac:dyDescent="0.35">
      <c r="A542" s="200"/>
      <c r="B542" s="201"/>
      <c r="C542" s="201"/>
      <c r="D542" s="201"/>
      <c r="E542" s="201"/>
      <c r="F542" s="201"/>
      <c r="G542" s="201"/>
      <c r="H542" s="201"/>
      <c r="I542" s="201"/>
      <c r="J542" s="201"/>
      <c r="K542" s="201"/>
      <c r="L542" s="202"/>
      <c r="M542" s="161"/>
      <c r="N542" s="178"/>
      <c r="O542" s="179" t="s">
        <v>115</v>
      </c>
      <c r="P542" s="179"/>
      <c r="Q542" s="179"/>
      <c r="R542" s="179" t="str">
        <f t="shared" si="157"/>
        <v/>
      </c>
      <c r="S542" s="159"/>
      <c r="T542" s="179" t="s">
        <v>115</v>
      </c>
      <c r="U542" s="185"/>
      <c r="V542" s="181"/>
      <c r="W542" s="185" t="str">
        <f t="shared" si="159"/>
        <v/>
      </c>
      <c r="X542" s="181"/>
      <c r="Y542" s="185" t="str">
        <f t="shared" si="160"/>
        <v/>
      </c>
      <c r="Z542" s="186"/>
      <c r="AA542" s="161"/>
      <c r="AB542" s="161"/>
      <c r="AC542" s="161"/>
    </row>
    <row r="543" spans="1:29" ht="18" customHeight="1" thickBot="1" x14ac:dyDescent="0.25">
      <c r="A543" s="203"/>
      <c r="B543" s="203"/>
      <c r="C543" s="203"/>
      <c r="D543" s="203"/>
      <c r="E543" s="203"/>
      <c r="F543" s="203"/>
      <c r="G543" s="203"/>
      <c r="H543" s="203"/>
      <c r="I543" s="203"/>
      <c r="J543" s="203"/>
      <c r="K543" s="203"/>
      <c r="L543" s="203"/>
      <c r="M543" s="161"/>
      <c r="N543" s="178"/>
      <c r="O543" s="179" t="s">
        <v>118</v>
      </c>
      <c r="P543" s="179"/>
      <c r="Q543" s="179"/>
      <c r="R543" s="179" t="str">
        <f t="shared" si="157"/>
        <v/>
      </c>
      <c r="S543" s="159"/>
      <c r="T543" s="179" t="s">
        <v>118</v>
      </c>
      <c r="U543" s="185"/>
      <c r="V543" s="181"/>
      <c r="W543" s="185" t="str">
        <f t="shared" si="159"/>
        <v/>
      </c>
      <c r="X543" s="181"/>
      <c r="Y543" s="185" t="str">
        <f t="shared" si="160"/>
        <v/>
      </c>
      <c r="Z543" s="186"/>
      <c r="AA543" s="161"/>
      <c r="AB543" s="161"/>
      <c r="AC543" s="161"/>
    </row>
    <row r="544" spans="1:29" ht="18" customHeight="1" x14ac:dyDescent="0.2">
      <c r="A544" s="456" t="s">
        <v>89</v>
      </c>
      <c r="B544" s="437"/>
      <c r="C544" s="437"/>
      <c r="D544" s="437"/>
      <c r="E544" s="437"/>
      <c r="F544" s="437"/>
      <c r="G544" s="437"/>
      <c r="H544" s="437"/>
      <c r="I544" s="437"/>
      <c r="J544" s="437"/>
      <c r="K544" s="437"/>
      <c r="L544" s="438"/>
      <c r="M544" s="161"/>
      <c r="N544" s="178"/>
      <c r="O544" s="179" t="s">
        <v>119</v>
      </c>
      <c r="P544" s="179"/>
      <c r="Q544" s="179"/>
      <c r="R544" s="179" t="str">
        <f t="shared" si="157"/>
        <v/>
      </c>
      <c r="S544" s="159"/>
      <c r="T544" s="179" t="s">
        <v>119</v>
      </c>
      <c r="U544" s="185"/>
      <c r="V544" s="181"/>
      <c r="W544" s="185" t="str">
        <f t="shared" si="159"/>
        <v/>
      </c>
      <c r="X544" s="181"/>
      <c r="Y544" s="185" t="str">
        <f t="shared" si="160"/>
        <v/>
      </c>
      <c r="Z544" s="186"/>
      <c r="AA544" s="161"/>
      <c r="AB544" s="161"/>
      <c r="AC544" s="161"/>
    </row>
    <row r="545" spans="1:29" ht="18" customHeight="1" x14ac:dyDescent="0.2">
      <c r="A545" s="166"/>
      <c r="B545" s="152"/>
      <c r="C545" s="443" t="s">
        <v>193</v>
      </c>
      <c r="D545" s="435"/>
      <c r="E545" s="435"/>
      <c r="F545" s="435"/>
      <c r="G545" s="167" t="str">
        <f>$J$1</f>
        <v>August</v>
      </c>
      <c r="H545" s="444">
        <f>$K$1</f>
        <v>2024</v>
      </c>
      <c r="I545" s="435"/>
      <c r="J545" s="152"/>
      <c r="K545" s="168"/>
      <c r="L545" s="169"/>
      <c r="M545" s="161"/>
      <c r="N545" s="178"/>
      <c r="O545" s="179" t="s">
        <v>120</v>
      </c>
      <c r="P545" s="179"/>
      <c r="Q545" s="179"/>
      <c r="R545" s="179" t="str">
        <f t="shared" si="157"/>
        <v/>
      </c>
      <c r="S545" s="159"/>
      <c r="T545" s="179" t="s">
        <v>120</v>
      </c>
      <c r="U545" s="185"/>
      <c r="V545" s="181"/>
      <c r="W545" s="185" t="str">
        <f t="shared" si="159"/>
        <v/>
      </c>
      <c r="X545" s="181"/>
      <c r="Y545" s="185" t="str">
        <f t="shared" si="160"/>
        <v/>
      </c>
      <c r="Z545" s="186"/>
      <c r="AA545" s="161"/>
      <c r="AB545" s="161"/>
      <c r="AC545" s="161"/>
    </row>
    <row r="546" spans="1:29" ht="18" customHeight="1" x14ac:dyDescent="0.2">
      <c r="A546" s="166"/>
      <c r="B546" s="152"/>
      <c r="C546" s="152"/>
      <c r="D546" s="175"/>
      <c r="E546" s="175"/>
      <c r="F546" s="175"/>
      <c r="G546" s="175"/>
      <c r="H546" s="175"/>
      <c r="I546" s="152"/>
      <c r="J546" s="176" t="s">
        <v>99</v>
      </c>
      <c r="K546" s="154">
        <f>40000+10000+5000</f>
        <v>55000</v>
      </c>
      <c r="L546" s="177"/>
      <c r="M546" s="161"/>
      <c r="N546" s="178"/>
      <c r="O546" s="179" t="s">
        <v>121</v>
      </c>
      <c r="P546" s="179"/>
      <c r="Q546" s="179"/>
      <c r="R546" s="179" t="str">
        <f t="shared" si="157"/>
        <v/>
      </c>
      <c r="S546" s="159"/>
      <c r="T546" s="179" t="s">
        <v>121</v>
      </c>
      <c r="U546" s="185"/>
      <c r="V546" s="181"/>
      <c r="W546" s="185" t="str">
        <f t="shared" si="159"/>
        <v/>
      </c>
      <c r="X546" s="181"/>
      <c r="Y546" s="185" t="str">
        <f t="shared" si="160"/>
        <v/>
      </c>
      <c r="Z546" s="186"/>
      <c r="AA546" s="161"/>
      <c r="AB546" s="161"/>
      <c r="AC546" s="161"/>
    </row>
    <row r="547" spans="1:29" ht="18" customHeight="1" thickBot="1" x14ac:dyDescent="0.25">
      <c r="A547" s="166"/>
      <c r="B547" s="152" t="s">
        <v>101</v>
      </c>
      <c r="C547" s="151" t="s">
        <v>194</v>
      </c>
      <c r="D547" s="152"/>
      <c r="E547" s="152"/>
      <c r="F547" s="152"/>
      <c r="G547" s="152"/>
      <c r="H547" s="182"/>
      <c r="I547" s="175"/>
      <c r="J547" s="152"/>
      <c r="K547" s="152"/>
      <c r="L547" s="183"/>
      <c r="M547" s="204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  <c r="AA547" s="204"/>
      <c r="AB547" s="204"/>
      <c r="AC547" s="204"/>
    </row>
    <row r="548" spans="1:29" ht="18" customHeight="1" x14ac:dyDescent="0.2">
      <c r="A548" s="166"/>
      <c r="B548" s="187" t="s">
        <v>103</v>
      </c>
      <c r="C548" s="220"/>
      <c r="D548" s="152"/>
      <c r="E548" s="152"/>
      <c r="F548" s="439" t="s">
        <v>91</v>
      </c>
      <c r="G548" s="413"/>
      <c r="H548" s="152"/>
      <c r="I548" s="439" t="s">
        <v>104</v>
      </c>
      <c r="J548" s="412"/>
      <c r="K548" s="413"/>
      <c r="L548" s="189"/>
      <c r="M548" s="162"/>
      <c r="N548" s="163"/>
      <c r="O548" s="440" t="s">
        <v>90</v>
      </c>
      <c r="P548" s="441"/>
      <c r="Q548" s="441"/>
      <c r="R548" s="442"/>
      <c r="S548" s="164"/>
      <c r="T548" s="440" t="s">
        <v>91</v>
      </c>
      <c r="U548" s="441"/>
      <c r="V548" s="441"/>
      <c r="W548" s="441"/>
      <c r="X548" s="441"/>
      <c r="Y548" s="442"/>
      <c r="Z548" s="165"/>
      <c r="AA548" s="162"/>
      <c r="AB548" s="161"/>
      <c r="AC548" s="161"/>
    </row>
    <row r="549" spans="1:29" ht="18" customHeight="1" x14ac:dyDescent="0.2">
      <c r="A549" s="166"/>
      <c r="B549" s="152"/>
      <c r="C549" s="152"/>
      <c r="D549" s="152"/>
      <c r="E549" s="152"/>
      <c r="F549" s="152"/>
      <c r="G549" s="152"/>
      <c r="H549" s="190"/>
      <c r="I549" s="152"/>
      <c r="J549" s="152"/>
      <c r="K549" s="152"/>
      <c r="L549" s="191"/>
      <c r="M549" s="170"/>
      <c r="N549" s="171"/>
      <c r="O549" s="172" t="s">
        <v>93</v>
      </c>
      <c r="P549" s="172" t="s">
        <v>94</v>
      </c>
      <c r="Q549" s="172" t="s">
        <v>95</v>
      </c>
      <c r="R549" s="172" t="s">
        <v>96</v>
      </c>
      <c r="S549" s="173"/>
      <c r="T549" s="172" t="s">
        <v>93</v>
      </c>
      <c r="U549" s="172" t="s">
        <v>97</v>
      </c>
      <c r="V549" s="172" t="s">
        <v>9</v>
      </c>
      <c r="W549" s="172" t="s">
        <v>10</v>
      </c>
      <c r="X549" s="172" t="s">
        <v>11</v>
      </c>
      <c r="Y549" s="172" t="s">
        <v>98</v>
      </c>
      <c r="Z549" s="174"/>
      <c r="AA549" s="170"/>
      <c r="AB549" s="161"/>
      <c r="AC549" s="161"/>
    </row>
    <row r="550" spans="1:29" ht="18" customHeight="1" x14ac:dyDescent="0.2">
      <c r="A550" s="166"/>
      <c r="B550" s="445" t="s">
        <v>90</v>
      </c>
      <c r="C550" s="413"/>
      <c r="D550" s="152"/>
      <c r="E550" s="152"/>
      <c r="F550" s="192" t="s">
        <v>107</v>
      </c>
      <c r="G550" s="193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0</v>
      </c>
      <c r="H550" s="190"/>
      <c r="I550" s="194">
        <f>IF(C554&gt;=C553,$K$2,C552+C554)</f>
        <v>31</v>
      </c>
      <c r="J550" s="195" t="s">
        <v>108</v>
      </c>
      <c r="K550" s="196">
        <f>K546/$K$2*I550</f>
        <v>55000</v>
      </c>
      <c r="L550" s="197"/>
      <c r="M550" s="161"/>
      <c r="N550" s="178"/>
      <c r="O550" s="179" t="s">
        <v>100</v>
      </c>
      <c r="P550" s="179">
        <v>28</v>
      </c>
      <c r="Q550" s="179">
        <v>3</v>
      </c>
      <c r="R550" s="179">
        <v>0</v>
      </c>
      <c r="S550" s="180"/>
      <c r="T550" s="179" t="s">
        <v>100</v>
      </c>
      <c r="U550" s="181"/>
      <c r="V550" s="181"/>
      <c r="W550" s="181">
        <f>V550+U550</f>
        <v>0</v>
      </c>
      <c r="X550" s="181"/>
      <c r="Y550" s="181">
        <f>W550-X550</f>
        <v>0</v>
      </c>
      <c r="Z550" s="174"/>
      <c r="AA550" s="161"/>
      <c r="AB550" s="161"/>
      <c r="AC550" s="161"/>
    </row>
    <row r="551" spans="1:29" ht="18" customHeight="1" x14ac:dyDescent="0.2">
      <c r="A551" s="166"/>
      <c r="B551" s="198"/>
      <c r="C551" s="198"/>
      <c r="D551" s="152"/>
      <c r="E551" s="152"/>
      <c r="F551" s="192" t="s">
        <v>9</v>
      </c>
      <c r="G551" s="193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1" s="190"/>
      <c r="I551" s="214">
        <v>67</v>
      </c>
      <c r="J551" s="195" t="s">
        <v>110</v>
      </c>
      <c r="K551" s="263">
        <f>K546/$K$2/8*I551</f>
        <v>14858.870967741936</v>
      </c>
      <c r="L551" s="199"/>
      <c r="M551" s="162"/>
      <c r="N551" s="184"/>
      <c r="O551" s="179" t="s">
        <v>102</v>
      </c>
      <c r="P551" s="179">
        <v>28</v>
      </c>
      <c r="Q551" s="179">
        <v>2</v>
      </c>
      <c r="R551" s="179">
        <v>0</v>
      </c>
      <c r="S551" s="159"/>
      <c r="T551" s="179" t="s">
        <v>102</v>
      </c>
      <c r="U551" s="185">
        <f>IF($J$1="January","",Y550)</f>
        <v>0</v>
      </c>
      <c r="V551" s="181">
        <v>4000</v>
      </c>
      <c r="W551" s="185">
        <f t="shared" ref="W551:W561" si="161">IF(U551="","",U551+V551)</f>
        <v>4000</v>
      </c>
      <c r="X551" s="181">
        <v>2000</v>
      </c>
      <c r="Y551" s="185">
        <f t="shared" ref="Y551:Y561" si="162">IF(W551="","",W551-X551)</f>
        <v>2000</v>
      </c>
      <c r="Z551" s="186"/>
      <c r="AA551" s="162"/>
      <c r="AB551" s="161"/>
      <c r="AC551" s="161"/>
    </row>
    <row r="552" spans="1:29" ht="18" customHeight="1" x14ac:dyDescent="0.2">
      <c r="A552" s="166"/>
      <c r="B552" s="192" t="s">
        <v>94</v>
      </c>
      <c r="C552" s="198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0</v>
      </c>
      <c r="D552" s="152"/>
      <c r="E552" s="152"/>
      <c r="F552" s="192" t="s">
        <v>111</v>
      </c>
      <c r="G552" s="193" t="str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/>
      </c>
      <c r="H552" s="190"/>
      <c r="I552" s="446" t="s">
        <v>112</v>
      </c>
      <c r="J552" s="413"/>
      <c r="K552" s="193">
        <f>K550+K551</f>
        <v>69858.870967741939</v>
      </c>
      <c r="L552" s="199"/>
      <c r="M552" s="161"/>
      <c r="N552" s="178"/>
      <c r="O552" s="179" t="s">
        <v>105</v>
      </c>
      <c r="P552" s="179">
        <v>28</v>
      </c>
      <c r="Q552" s="179">
        <v>3</v>
      </c>
      <c r="R552" s="179">
        <v>0</v>
      </c>
      <c r="S552" s="159"/>
      <c r="T552" s="179" t="s">
        <v>105</v>
      </c>
      <c r="U552" s="185">
        <f>IF($J$1="February","",Y551)</f>
        <v>2000</v>
      </c>
      <c r="V552" s="181">
        <v>15000</v>
      </c>
      <c r="W552" s="185">
        <f t="shared" si="161"/>
        <v>17000</v>
      </c>
      <c r="X552" s="181">
        <v>5000</v>
      </c>
      <c r="Y552" s="185">
        <f t="shared" si="162"/>
        <v>12000</v>
      </c>
      <c r="Z552" s="186"/>
      <c r="AA552" s="161"/>
      <c r="AB552" s="161"/>
      <c r="AC552" s="161"/>
    </row>
    <row r="553" spans="1:29" ht="18" customHeight="1" x14ac:dyDescent="0.2">
      <c r="A553" s="166"/>
      <c r="B553" s="192" t="s">
        <v>95</v>
      </c>
      <c r="C553" s="198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3" s="152"/>
      <c r="E553" s="152"/>
      <c r="F553" s="192" t="s">
        <v>11</v>
      </c>
      <c r="G553" s="193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3" s="190"/>
      <c r="I553" s="446" t="s">
        <v>114</v>
      </c>
      <c r="J553" s="413"/>
      <c r="K553" s="193">
        <f>G553</f>
        <v>0</v>
      </c>
      <c r="L553" s="199"/>
      <c r="M553" s="161"/>
      <c r="N553" s="178"/>
      <c r="O553" s="179" t="s">
        <v>106</v>
      </c>
      <c r="P553" s="179">
        <v>30</v>
      </c>
      <c r="Q553" s="179">
        <v>0</v>
      </c>
      <c r="R553" s="179">
        <v>0</v>
      </c>
      <c r="S553" s="159"/>
      <c r="T553" s="179" t="s">
        <v>106</v>
      </c>
      <c r="U553" s="185">
        <f>IF($J$1="March","",Y552)</f>
        <v>12000</v>
      </c>
      <c r="V553" s="181"/>
      <c r="W553" s="185">
        <f t="shared" si="161"/>
        <v>12000</v>
      </c>
      <c r="X553" s="181">
        <v>5000</v>
      </c>
      <c r="Y553" s="185">
        <f t="shared" si="162"/>
        <v>7000</v>
      </c>
      <c r="Z553" s="186"/>
      <c r="AA553" s="161"/>
      <c r="AB553" s="161"/>
      <c r="AC553" s="161"/>
    </row>
    <row r="554" spans="1:29" ht="18" customHeight="1" x14ac:dyDescent="0.2">
      <c r="A554" s="166"/>
      <c r="B554" s="215" t="s">
        <v>116</v>
      </c>
      <c r="C554" s="198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4" s="152"/>
      <c r="E554" s="152"/>
      <c r="F554" s="192" t="s">
        <v>169</v>
      </c>
      <c r="G554" s="193" t="str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/>
      </c>
      <c r="H554" s="152"/>
      <c r="I554" s="439" t="s">
        <v>13</v>
      </c>
      <c r="J554" s="413"/>
      <c r="K554" s="37">
        <f>K552-K553</f>
        <v>69858.870967741939</v>
      </c>
      <c r="L554" s="183"/>
      <c r="M554" s="161"/>
      <c r="N554" s="178"/>
      <c r="O554" s="179" t="s">
        <v>109</v>
      </c>
      <c r="P554" s="179">
        <v>25</v>
      </c>
      <c r="Q554" s="179">
        <v>6</v>
      </c>
      <c r="R554" s="179">
        <v>0</v>
      </c>
      <c r="S554" s="159"/>
      <c r="T554" s="179" t="s">
        <v>109</v>
      </c>
      <c r="U554" s="185">
        <f>IF($J$1="April","",Y553)</f>
        <v>7000</v>
      </c>
      <c r="V554" s="181"/>
      <c r="W554" s="185">
        <f t="shared" si="161"/>
        <v>7000</v>
      </c>
      <c r="X554" s="181">
        <v>5000</v>
      </c>
      <c r="Y554" s="185">
        <f t="shared" si="162"/>
        <v>2000</v>
      </c>
      <c r="Z554" s="186"/>
      <c r="AA554" s="161"/>
      <c r="AB554" s="161"/>
      <c r="AC554" s="161"/>
    </row>
    <row r="555" spans="1:29" ht="18" customHeight="1" x14ac:dyDescent="0.2">
      <c r="A555" s="166"/>
      <c r="B555" s="152"/>
      <c r="C555" s="152"/>
      <c r="D555" s="152"/>
      <c r="E555" s="152"/>
      <c r="F555" s="152"/>
      <c r="G555" s="152"/>
      <c r="H555" s="152"/>
      <c r="I555" s="434"/>
      <c r="J555" s="435"/>
      <c r="K555" s="154"/>
      <c r="L555" s="189"/>
      <c r="M555" s="161"/>
      <c r="N555" s="178"/>
      <c r="O555" s="179" t="s">
        <v>85</v>
      </c>
      <c r="P555" s="179">
        <v>27</v>
      </c>
      <c r="Q555" s="179">
        <v>3</v>
      </c>
      <c r="R555" s="179">
        <v>0</v>
      </c>
      <c r="S555" s="159"/>
      <c r="T555" s="179" t="s">
        <v>85</v>
      </c>
      <c r="U555" s="185">
        <f>IF($J$1="May","",Y554)</f>
        <v>2000</v>
      </c>
      <c r="V555" s="181">
        <v>30000</v>
      </c>
      <c r="W555" s="185">
        <f t="shared" si="161"/>
        <v>32000</v>
      </c>
      <c r="X555" s="181">
        <v>5000</v>
      </c>
      <c r="Y555" s="185">
        <f t="shared" si="162"/>
        <v>27000</v>
      </c>
      <c r="Z555" s="186"/>
      <c r="AA555" s="161"/>
      <c r="AB555" s="161"/>
      <c r="AC555" s="161"/>
    </row>
    <row r="556" spans="1:29" ht="18" customHeight="1" x14ac:dyDescent="0.3">
      <c r="A556" s="166"/>
      <c r="B556" s="150"/>
      <c r="C556" s="150"/>
      <c r="D556" s="150"/>
      <c r="E556" s="150"/>
      <c r="F556" s="150"/>
      <c r="G556" s="150"/>
      <c r="H556" s="150"/>
      <c r="I556" s="434"/>
      <c r="J556" s="435"/>
      <c r="K556" s="154"/>
      <c r="L556" s="189"/>
      <c r="M556" s="161"/>
      <c r="N556" s="178"/>
      <c r="O556" s="179" t="s">
        <v>113</v>
      </c>
      <c r="P556" s="179">
        <v>25</v>
      </c>
      <c r="Q556" s="179">
        <v>6</v>
      </c>
      <c r="R556" s="179">
        <v>0</v>
      </c>
      <c r="S556" s="159"/>
      <c r="T556" s="179" t="s">
        <v>113</v>
      </c>
      <c r="U556" s="185">
        <f>IF($J$1="June","",Y555)</f>
        <v>27000</v>
      </c>
      <c r="V556" s="181"/>
      <c r="W556" s="185">
        <f t="shared" si="161"/>
        <v>27000</v>
      </c>
      <c r="X556" s="181">
        <v>5000</v>
      </c>
      <c r="Y556" s="185">
        <f t="shared" si="162"/>
        <v>22000</v>
      </c>
      <c r="Z556" s="186"/>
      <c r="AA556" s="161"/>
      <c r="AB556" s="161"/>
      <c r="AC556" s="161"/>
    </row>
    <row r="557" spans="1:29" ht="18" customHeight="1" x14ac:dyDescent="0.3">
      <c r="A557" s="166"/>
      <c r="B557" s="150"/>
      <c r="C557" s="150"/>
      <c r="D557" s="150"/>
      <c r="E557" s="150"/>
      <c r="F557" s="150"/>
      <c r="G557" s="150"/>
      <c r="H557" s="150"/>
      <c r="I557" s="150"/>
      <c r="J557" s="150"/>
      <c r="K557" s="150"/>
      <c r="L557" s="189"/>
      <c r="M557" s="161"/>
      <c r="N557" s="178"/>
      <c r="O557" s="179" t="s">
        <v>115</v>
      </c>
      <c r="P557" s="179"/>
      <c r="Q557" s="179"/>
      <c r="R557" s="179">
        <v>0</v>
      </c>
      <c r="S557" s="159"/>
      <c r="T557" s="179" t="s">
        <v>115</v>
      </c>
      <c r="U557" s="185"/>
      <c r="V557" s="181"/>
      <c r="W557" s="185" t="str">
        <f t="shared" si="161"/>
        <v/>
      </c>
      <c r="X557" s="181"/>
      <c r="Y557" s="185" t="str">
        <f t="shared" si="162"/>
        <v/>
      </c>
      <c r="Z557" s="186"/>
      <c r="AA557" s="161"/>
      <c r="AB557" s="161"/>
      <c r="AC557" s="161"/>
    </row>
    <row r="558" spans="1:29" ht="18" customHeight="1" thickBot="1" x14ac:dyDescent="0.25">
      <c r="A558" s="200"/>
      <c r="B558" s="216"/>
      <c r="C558" s="216"/>
      <c r="D558" s="216"/>
      <c r="E558" s="216"/>
      <c r="F558" s="216"/>
      <c r="G558" s="216"/>
      <c r="H558" s="216"/>
      <c r="I558" s="216"/>
      <c r="J558" s="216"/>
      <c r="K558" s="216"/>
      <c r="L558" s="202"/>
      <c r="M558" s="161"/>
      <c r="N558" s="178"/>
      <c r="O558" s="179" t="s">
        <v>118</v>
      </c>
      <c r="P558" s="179"/>
      <c r="Q558" s="179"/>
      <c r="R558" s="179">
        <v>0</v>
      </c>
      <c r="S558" s="159"/>
      <c r="T558" s="179" t="s">
        <v>118</v>
      </c>
      <c r="U558" s="185"/>
      <c r="V558" s="181"/>
      <c r="W558" s="185" t="str">
        <f t="shared" si="161"/>
        <v/>
      </c>
      <c r="X558" s="181"/>
      <c r="Y558" s="185" t="str">
        <f t="shared" si="162"/>
        <v/>
      </c>
      <c r="Z558" s="186"/>
      <c r="AA558" s="161"/>
      <c r="AB558" s="161"/>
      <c r="AC558" s="161"/>
    </row>
    <row r="559" spans="1:29" ht="18" customHeight="1" thickBot="1" x14ac:dyDescent="0.25">
      <c r="A559" s="200"/>
      <c r="B559" s="216"/>
      <c r="C559" s="216"/>
      <c r="D559" s="216"/>
      <c r="E559" s="216"/>
      <c r="F559" s="216"/>
      <c r="G559" s="216"/>
      <c r="H559" s="216"/>
      <c r="I559" s="216"/>
      <c r="J559" s="216"/>
      <c r="K559" s="216"/>
      <c r="L559" s="202"/>
      <c r="M559" s="161"/>
      <c r="N559" s="178"/>
      <c r="O559" s="179" t="s">
        <v>119</v>
      </c>
      <c r="P559" s="179"/>
      <c r="Q559" s="179"/>
      <c r="R559" s="179">
        <v>0</v>
      </c>
      <c r="S559" s="159"/>
      <c r="T559" s="179" t="s">
        <v>119</v>
      </c>
      <c r="U559" s="185"/>
      <c r="V559" s="181"/>
      <c r="W559" s="185" t="str">
        <f t="shared" si="161"/>
        <v/>
      </c>
      <c r="X559" s="181"/>
      <c r="Y559" s="185" t="str">
        <f t="shared" si="162"/>
        <v/>
      </c>
      <c r="Z559" s="186"/>
      <c r="AA559" s="161"/>
      <c r="AB559" s="161"/>
      <c r="AC559" s="161"/>
    </row>
    <row r="560" spans="1:29" ht="18" customHeight="1" thickBot="1" x14ac:dyDescent="0.25">
      <c r="A560" s="447" t="s">
        <v>89</v>
      </c>
      <c r="B560" s="453"/>
      <c r="C560" s="453"/>
      <c r="D560" s="453"/>
      <c r="E560" s="453"/>
      <c r="F560" s="453"/>
      <c r="G560" s="453"/>
      <c r="H560" s="453"/>
      <c r="I560" s="453"/>
      <c r="J560" s="453"/>
      <c r="K560" s="453"/>
      <c r="L560" s="454"/>
      <c r="M560" s="161"/>
      <c r="N560" s="178"/>
      <c r="O560" s="179" t="s">
        <v>120</v>
      </c>
      <c r="P560" s="208"/>
      <c r="Q560" s="208"/>
      <c r="R560" s="179">
        <v>0</v>
      </c>
      <c r="S560" s="159"/>
      <c r="T560" s="179" t="s">
        <v>120</v>
      </c>
      <c r="U560" s="185"/>
      <c r="V560" s="181"/>
      <c r="W560" s="185" t="str">
        <f t="shared" si="161"/>
        <v/>
      </c>
      <c r="X560" s="181"/>
      <c r="Y560" s="185" t="str">
        <f t="shared" si="162"/>
        <v/>
      </c>
      <c r="Z560" s="186"/>
      <c r="AA560" s="161"/>
      <c r="AB560" s="161"/>
      <c r="AC560" s="161"/>
    </row>
    <row r="561" spans="1:29" ht="18" customHeight="1" x14ac:dyDescent="0.2">
      <c r="A561" s="166"/>
      <c r="B561" s="152"/>
      <c r="C561" s="443" t="s">
        <v>195</v>
      </c>
      <c r="D561" s="435"/>
      <c r="E561" s="435"/>
      <c r="F561" s="435"/>
      <c r="G561" s="167" t="str">
        <f>$J$1</f>
        <v>August</v>
      </c>
      <c r="H561" s="444">
        <f>$K$1</f>
        <v>2024</v>
      </c>
      <c r="I561" s="435"/>
      <c r="J561" s="152"/>
      <c r="K561" s="168"/>
      <c r="L561" s="169"/>
      <c r="M561" s="161"/>
      <c r="N561" s="178"/>
      <c r="O561" s="179" t="s">
        <v>121</v>
      </c>
      <c r="P561" s="179"/>
      <c r="Q561" s="179"/>
      <c r="R561" s="179">
        <v>0</v>
      </c>
      <c r="S561" s="159"/>
      <c r="T561" s="179" t="s">
        <v>121</v>
      </c>
      <c r="U561" s="185"/>
      <c r="V561" s="181"/>
      <c r="W561" s="185" t="str">
        <f t="shared" si="161"/>
        <v/>
      </c>
      <c r="X561" s="181"/>
      <c r="Y561" s="185" t="str">
        <f t="shared" si="162"/>
        <v/>
      </c>
      <c r="Z561" s="186"/>
      <c r="AA561" s="161"/>
      <c r="AB561" s="161"/>
      <c r="AC561" s="161"/>
    </row>
    <row r="562" spans="1:29" ht="18" customHeight="1" thickBot="1" x14ac:dyDescent="0.25">
      <c r="A562" s="166"/>
      <c r="B562" s="152"/>
      <c r="C562" s="152"/>
      <c r="D562" s="175"/>
      <c r="E562" s="175"/>
      <c r="F562" s="175"/>
      <c r="G562" s="175"/>
      <c r="H562" s="175"/>
      <c r="I562" s="152"/>
      <c r="J562" s="176" t="s">
        <v>99</v>
      </c>
      <c r="K562" s="154">
        <v>32000</v>
      </c>
      <c r="L562" s="177"/>
      <c r="M562" s="161"/>
      <c r="N562" s="217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21"/>
      <c r="AA562" s="161"/>
      <c r="AB562" s="161"/>
      <c r="AC562" s="161"/>
    </row>
    <row r="563" spans="1:29" ht="18" customHeight="1" thickBot="1" x14ac:dyDescent="0.25">
      <c r="A563" s="166"/>
      <c r="B563" s="152" t="s">
        <v>101</v>
      </c>
      <c r="C563" s="151" t="s">
        <v>196</v>
      </c>
      <c r="D563" s="152"/>
      <c r="E563" s="152"/>
      <c r="F563" s="152"/>
      <c r="G563" s="152"/>
      <c r="H563" s="182"/>
      <c r="I563" s="175"/>
      <c r="J563" s="152"/>
      <c r="K563" s="152"/>
      <c r="L563" s="183"/>
      <c r="M563" s="161"/>
      <c r="N563" s="178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222"/>
      <c r="AA563" s="161"/>
      <c r="AB563" s="161"/>
      <c r="AC563" s="161"/>
    </row>
    <row r="564" spans="1:29" ht="18" customHeight="1" x14ac:dyDescent="0.2">
      <c r="A564" s="166"/>
      <c r="B564" s="187" t="s">
        <v>103</v>
      </c>
      <c r="C564" s="213">
        <v>45324</v>
      </c>
      <c r="D564" s="152"/>
      <c r="E564" s="152"/>
      <c r="F564" s="439" t="s">
        <v>91</v>
      </c>
      <c r="G564" s="413"/>
      <c r="H564" s="152"/>
      <c r="I564" s="439" t="s">
        <v>104</v>
      </c>
      <c r="J564" s="412"/>
      <c r="K564" s="413"/>
      <c r="L564" s="189"/>
      <c r="M564" s="162"/>
      <c r="N564" s="163"/>
      <c r="O564" s="440" t="s">
        <v>90</v>
      </c>
      <c r="P564" s="441"/>
      <c r="Q564" s="441"/>
      <c r="R564" s="442"/>
      <c r="S564" s="164"/>
      <c r="T564" s="440" t="s">
        <v>91</v>
      </c>
      <c r="U564" s="441"/>
      <c r="V564" s="441"/>
      <c r="W564" s="441"/>
      <c r="X564" s="441"/>
      <c r="Y564" s="442"/>
      <c r="Z564" s="165"/>
      <c r="AA564" s="162"/>
      <c r="AB564" s="161"/>
      <c r="AC564" s="161"/>
    </row>
    <row r="565" spans="1:29" ht="18" customHeight="1" x14ac:dyDescent="0.2">
      <c r="A565" s="166"/>
      <c r="B565" s="152"/>
      <c r="C565" s="152"/>
      <c r="D565" s="152"/>
      <c r="E565" s="152"/>
      <c r="F565" s="152"/>
      <c r="G565" s="152"/>
      <c r="H565" s="190"/>
      <c r="I565" s="152"/>
      <c r="J565" s="152"/>
      <c r="K565" s="152"/>
      <c r="L565" s="191"/>
      <c r="M565" s="170"/>
      <c r="N565" s="171"/>
      <c r="O565" s="172" t="s">
        <v>93</v>
      </c>
      <c r="P565" s="172" t="s">
        <v>94</v>
      </c>
      <c r="Q565" s="172" t="s">
        <v>95</v>
      </c>
      <c r="R565" s="172" t="s">
        <v>96</v>
      </c>
      <c r="S565" s="173"/>
      <c r="T565" s="172" t="s">
        <v>93</v>
      </c>
      <c r="U565" s="172" t="s">
        <v>97</v>
      </c>
      <c r="V565" s="172" t="s">
        <v>9</v>
      </c>
      <c r="W565" s="172" t="s">
        <v>10</v>
      </c>
      <c r="X565" s="172" t="s">
        <v>11</v>
      </c>
      <c r="Y565" s="172" t="s">
        <v>98</v>
      </c>
      <c r="Z565" s="174"/>
      <c r="AA565" s="170"/>
      <c r="AB565" s="161"/>
      <c r="AC565" s="161"/>
    </row>
    <row r="566" spans="1:29" ht="18" customHeight="1" x14ac:dyDescent="0.2">
      <c r="A566" s="166"/>
      <c r="B566" s="445" t="s">
        <v>90</v>
      </c>
      <c r="C566" s="413"/>
      <c r="D566" s="152"/>
      <c r="E566" s="152"/>
      <c r="F566" s="192" t="s">
        <v>107</v>
      </c>
      <c r="G566" s="193" t="str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/>
      </c>
      <c r="H566" s="190"/>
      <c r="I566" s="194">
        <f>IF(C570&gt;=C569,$K$2,C568+C570)</f>
        <v>31</v>
      </c>
      <c r="J566" s="195" t="s">
        <v>108</v>
      </c>
      <c r="K566" s="196">
        <f>K562/$K$2*I566</f>
        <v>32000</v>
      </c>
      <c r="L566" s="197"/>
      <c r="M566" s="161"/>
      <c r="N566" s="178"/>
      <c r="O566" s="179" t="s">
        <v>100</v>
      </c>
      <c r="P566" s="179"/>
      <c r="Q566" s="179"/>
      <c r="R566" s="179"/>
      <c r="S566" s="180"/>
      <c r="T566" s="179" t="s">
        <v>100</v>
      </c>
      <c r="U566" s="181"/>
      <c r="V566" s="181"/>
      <c r="W566" s="181">
        <f>V566+U566</f>
        <v>0</v>
      </c>
      <c r="X566" s="181"/>
      <c r="Y566" s="181">
        <f>W566-X566</f>
        <v>0</v>
      </c>
      <c r="Z566" s="174"/>
      <c r="AA566" s="161"/>
      <c r="AB566" s="161"/>
      <c r="AC566" s="161"/>
    </row>
    <row r="567" spans="1:29" ht="18" customHeight="1" x14ac:dyDescent="0.2">
      <c r="A567" s="166"/>
      <c r="B567" s="198"/>
      <c r="C567" s="198"/>
      <c r="D567" s="152"/>
      <c r="E567" s="152"/>
      <c r="F567" s="192" t="s">
        <v>9</v>
      </c>
      <c r="G567" s="193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0</v>
      </c>
      <c r="H567" s="190"/>
      <c r="I567" s="194">
        <v>26</v>
      </c>
      <c r="J567" s="195" t="s">
        <v>110</v>
      </c>
      <c r="K567" s="193">
        <f>K562/$K$2/8*I567</f>
        <v>3354.8387096774195</v>
      </c>
      <c r="L567" s="199"/>
      <c r="M567" s="162"/>
      <c r="N567" s="184"/>
      <c r="O567" s="179" t="s">
        <v>102</v>
      </c>
      <c r="P567" s="179">
        <v>26</v>
      </c>
      <c r="Q567" s="179">
        <v>2</v>
      </c>
      <c r="R567" s="179">
        <v>0</v>
      </c>
      <c r="S567" s="159"/>
      <c r="T567" s="179" t="s">
        <v>102</v>
      </c>
      <c r="U567" s="185">
        <f>Y566</f>
        <v>0</v>
      </c>
      <c r="V567" s="181"/>
      <c r="W567" s="185">
        <f t="shared" ref="W567:W577" si="163">IF(U567="","",U567+V567)</f>
        <v>0</v>
      </c>
      <c r="X567" s="181"/>
      <c r="Y567" s="185">
        <f t="shared" ref="Y567:Y577" si="164">IF(W567="","",W567-X567)</f>
        <v>0</v>
      </c>
      <c r="Z567" s="186"/>
      <c r="AA567" s="162"/>
      <c r="AB567" s="161"/>
      <c r="AC567" s="161"/>
    </row>
    <row r="568" spans="1:29" ht="18" customHeight="1" x14ac:dyDescent="0.2">
      <c r="A568" s="166"/>
      <c r="B568" s="192" t="s">
        <v>94</v>
      </c>
      <c r="C568" s="198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0</v>
      </c>
      <c r="D568" s="152"/>
      <c r="E568" s="152"/>
      <c r="F568" s="192" t="s">
        <v>111</v>
      </c>
      <c r="G568" s="193" t="str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/>
      </c>
      <c r="H568" s="190"/>
      <c r="I568" s="446" t="s">
        <v>112</v>
      </c>
      <c r="J568" s="413"/>
      <c r="K568" s="193">
        <f>K566+K567</f>
        <v>35354.838709677417</v>
      </c>
      <c r="L568" s="199"/>
      <c r="M568" s="161"/>
      <c r="N568" s="178"/>
      <c r="O568" s="179" t="s">
        <v>105</v>
      </c>
      <c r="P568" s="179">
        <v>30</v>
      </c>
      <c r="Q568" s="179">
        <v>1</v>
      </c>
      <c r="R568" s="179">
        <v>0</v>
      </c>
      <c r="S568" s="159"/>
      <c r="T568" s="179" t="s">
        <v>105</v>
      </c>
      <c r="U568" s="185"/>
      <c r="V568" s="181"/>
      <c r="W568" s="185" t="str">
        <f t="shared" si="163"/>
        <v/>
      </c>
      <c r="X568" s="181"/>
      <c r="Y568" s="185" t="str">
        <f t="shared" si="164"/>
        <v/>
      </c>
      <c r="Z568" s="186"/>
      <c r="AA568" s="161"/>
      <c r="AB568" s="161"/>
      <c r="AC568" s="161"/>
    </row>
    <row r="569" spans="1:29" ht="18" customHeight="1" x14ac:dyDescent="0.2">
      <c r="A569" s="166"/>
      <c r="B569" s="192" t="s">
        <v>95</v>
      </c>
      <c r="C569" s="198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0</v>
      </c>
      <c r="D569" s="152"/>
      <c r="E569" s="152"/>
      <c r="F569" s="192" t="s">
        <v>11</v>
      </c>
      <c r="G569" s="193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0</v>
      </c>
      <c r="H569" s="190"/>
      <c r="I569" s="446" t="s">
        <v>114</v>
      </c>
      <c r="J569" s="413"/>
      <c r="K569" s="193">
        <f>G569</f>
        <v>0</v>
      </c>
      <c r="L569" s="199"/>
      <c r="M569" s="161"/>
      <c r="N569" s="178"/>
      <c r="O569" s="179" t="s">
        <v>106</v>
      </c>
      <c r="P569" s="179">
        <v>27</v>
      </c>
      <c r="Q569" s="179">
        <v>3</v>
      </c>
      <c r="R569" s="179">
        <v>0</v>
      </c>
      <c r="S569" s="159"/>
      <c r="T569" s="179" t="s">
        <v>106</v>
      </c>
      <c r="U569" s="185" t="str">
        <f t="shared" ref="U569:U577" si="165">Y568</f>
        <v/>
      </c>
      <c r="V569" s="181"/>
      <c r="W569" s="185" t="str">
        <f t="shared" si="163"/>
        <v/>
      </c>
      <c r="X569" s="181"/>
      <c r="Y569" s="185" t="str">
        <f t="shared" si="164"/>
        <v/>
      </c>
      <c r="Z569" s="186"/>
      <c r="AA569" s="161"/>
      <c r="AB569" s="161"/>
      <c r="AC569" s="161"/>
    </row>
    <row r="570" spans="1:29" ht="18" customHeight="1" x14ac:dyDescent="0.2">
      <c r="A570" s="166"/>
      <c r="B570" s="207" t="s">
        <v>116</v>
      </c>
      <c r="C570" s="198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0" s="152"/>
      <c r="E570" s="152"/>
      <c r="F570" s="207" t="s">
        <v>117</v>
      </c>
      <c r="G570" s="193" t="str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/>
      </c>
      <c r="H570" s="152"/>
      <c r="I570" s="439" t="s">
        <v>13</v>
      </c>
      <c r="J570" s="413"/>
      <c r="K570" s="37">
        <f>K568-K569</f>
        <v>35354.838709677417</v>
      </c>
      <c r="L570" s="183"/>
      <c r="M570" s="161"/>
      <c r="N570" s="178"/>
      <c r="O570" s="179" t="s">
        <v>109</v>
      </c>
      <c r="P570" s="179">
        <v>29</v>
      </c>
      <c r="Q570" s="179">
        <v>2</v>
      </c>
      <c r="R570" s="179">
        <v>0</v>
      </c>
      <c r="S570" s="159"/>
      <c r="T570" s="179" t="s">
        <v>109</v>
      </c>
      <c r="U570" s="185" t="str">
        <f t="shared" si="165"/>
        <v/>
      </c>
      <c r="V570" s="181"/>
      <c r="W570" s="185" t="str">
        <f t="shared" si="163"/>
        <v/>
      </c>
      <c r="X570" s="181"/>
      <c r="Y570" s="185" t="str">
        <f t="shared" si="164"/>
        <v/>
      </c>
      <c r="Z570" s="186"/>
      <c r="AA570" s="161"/>
      <c r="AB570" s="161"/>
      <c r="AC570" s="161"/>
    </row>
    <row r="571" spans="1:29" ht="18" customHeight="1" x14ac:dyDescent="0.2">
      <c r="A571" s="166"/>
      <c r="B571" s="152"/>
      <c r="C571" s="152"/>
      <c r="D571" s="152"/>
      <c r="E571" s="152"/>
      <c r="F571" s="152"/>
      <c r="G571" s="152"/>
      <c r="H571" s="152"/>
      <c r="I571" s="434"/>
      <c r="J571" s="435"/>
      <c r="K571" s="154"/>
      <c r="L571" s="189"/>
      <c r="M571" s="161"/>
      <c r="N571" s="178"/>
      <c r="O571" s="179" t="s">
        <v>85</v>
      </c>
      <c r="P571" s="179">
        <v>28</v>
      </c>
      <c r="Q571" s="179">
        <v>2</v>
      </c>
      <c r="R571" s="179">
        <v>0</v>
      </c>
      <c r="S571" s="159"/>
      <c r="T571" s="179" t="s">
        <v>85</v>
      </c>
      <c r="U571" s="185" t="str">
        <f t="shared" si="165"/>
        <v/>
      </c>
      <c r="V571" s="181"/>
      <c r="W571" s="185" t="str">
        <f t="shared" si="163"/>
        <v/>
      </c>
      <c r="X571" s="181"/>
      <c r="Y571" s="185" t="str">
        <f t="shared" si="164"/>
        <v/>
      </c>
      <c r="Z571" s="186"/>
      <c r="AA571" s="161"/>
      <c r="AB571" s="161"/>
      <c r="AC571" s="161"/>
    </row>
    <row r="572" spans="1:29" ht="18" customHeight="1" x14ac:dyDescent="0.3">
      <c r="A572" s="166"/>
      <c r="B572" s="150"/>
      <c r="C572" s="150"/>
      <c r="D572" s="150"/>
      <c r="E572" s="150"/>
      <c r="F572" s="150"/>
      <c r="G572" s="150"/>
      <c r="H572" s="150"/>
      <c r="I572" s="434"/>
      <c r="J572" s="435"/>
      <c r="K572" s="154"/>
      <c r="L572" s="189"/>
      <c r="M572" s="161"/>
      <c r="N572" s="178"/>
      <c r="O572" s="179" t="s">
        <v>113</v>
      </c>
      <c r="P572" s="208">
        <v>29</v>
      </c>
      <c r="Q572" s="208">
        <v>2</v>
      </c>
      <c r="R572" s="179">
        <v>0</v>
      </c>
      <c r="S572" s="159"/>
      <c r="T572" s="179" t="s">
        <v>113</v>
      </c>
      <c r="U572" s="185" t="str">
        <f t="shared" si="165"/>
        <v/>
      </c>
      <c r="V572" s="181"/>
      <c r="W572" s="185" t="str">
        <f t="shared" si="163"/>
        <v/>
      </c>
      <c r="X572" s="181"/>
      <c r="Y572" s="185" t="str">
        <f t="shared" si="164"/>
        <v/>
      </c>
      <c r="Z572" s="186"/>
      <c r="AA572" s="161"/>
      <c r="AB572" s="161"/>
      <c r="AC572" s="161"/>
    </row>
    <row r="573" spans="1:29" ht="18" customHeight="1" thickBot="1" x14ac:dyDescent="0.35">
      <c r="A573" s="200"/>
      <c r="B573" s="201"/>
      <c r="C573" s="201"/>
      <c r="D573" s="201"/>
      <c r="E573" s="201"/>
      <c r="F573" s="201"/>
      <c r="G573" s="201"/>
      <c r="H573" s="201"/>
      <c r="I573" s="201"/>
      <c r="J573" s="201"/>
      <c r="K573" s="201"/>
      <c r="L573" s="202"/>
      <c r="M573" s="161"/>
      <c r="N573" s="178"/>
      <c r="O573" s="179" t="s">
        <v>115</v>
      </c>
      <c r="P573" s="179"/>
      <c r="Q573" s="179"/>
      <c r="R573" s="179">
        <v>0</v>
      </c>
      <c r="S573" s="159"/>
      <c r="T573" s="179" t="s">
        <v>115</v>
      </c>
      <c r="U573" s="185" t="str">
        <f t="shared" si="165"/>
        <v/>
      </c>
      <c r="V573" s="181"/>
      <c r="W573" s="185" t="str">
        <f t="shared" si="163"/>
        <v/>
      </c>
      <c r="X573" s="181"/>
      <c r="Y573" s="185" t="str">
        <f t="shared" si="164"/>
        <v/>
      </c>
      <c r="Z573" s="186"/>
      <c r="AA573" s="161"/>
      <c r="AB573" s="161"/>
      <c r="AC573" s="161"/>
    </row>
    <row r="574" spans="1:29" ht="18" customHeight="1" thickBot="1" x14ac:dyDescent="0.25">
      <c r="A574" s="203"/>
      <c r="B574" s="203"/>
      <c r="C574" s="203"/>
      <c r="D574" s="203"/>
      <c r="E574" s="203"/>
      <c r="F574" s="203"/>
      <c r="G574" s="203"/>
      <c r="H574" s="203"/>
      <c r="I574" s="203"/>
      <c r="J574" s="203"/>
      <c r="K574" s="203"/>
      <c r="L574" s="203"/>
      <c r="M574" s="161"/>
      <c r="N574" s="178"/>
      <c r="O574" s="179" t="s">
        <v>118</v>
      </c>
      <c r="P574" s="179"/>
      <c r="Q574" s="179"/>
      <c r="R574" s="179">
        <v>0</v>
      </c>
      <c r="S574" s="159"/>
      <c r="T574" s="179" t="s">
        <v>118</v>
      </c>
      <c r="U574" s="185" t="str">
        <f t="shared" si="165"/>
        <v/>
      </c>
      <c r="V574" s="181"/>
      <c r="W574" s="185" t="str">
        <f t="shared" si="163"/>
        <v/>
      </c>
      <c r="X574" s="181"/>
      <c r="Y574" s="185" t="str">
        <f t="shared" si="164"/>
        <v/>
      </c>
      <c r="Z574" s="186"/>
      <c r="AA574" s="161"/>
      <c r="AB574" s="161"/>
      <c r="AC574" s="161"/>
    </row>
    <row r="575" spans="1:29" ht="18" customHeight="1" thickBot="1" x14ac:dyDescent="0.25">
      <c r="A575" s="447" t="s">
        <v>89</v>
      </c>
      <c r="B575" s="453"/>
      <c r="C575" s="453"/>
      <c r="D575" s="453"/>
      <c r="E575" s="453"/>
      <c r="F575" s="453"/>
      <c r="G575" s="453"/>
      <c r="H575" s="453"/>
      <c r="I575" s="453"/>
      <c r="J575" s="453"/>
      <c r="K575" s="453"/>
      <c r="L575" s="454"/>
      <c r="M575" s="161"/>
      <c r="N575" s="178"/>
      <c r="O575" s="179" t="s">
        <v>119</v>
      </c>
      <c r="P575" s="179"/>
      <c r="Q575" s="179"/>
      <c r="R575" s="179">
        <v>0</v>
      </c>
      <c r="S575" s="159"/>
      <c r="T575" s="179" t="s">
        <v>119</v>
      </c>
      <c r="U575" s="185" t="str">
        <f t="shared" si="165"/>
        <v/>
      </c>
      <c r="V575" s="181"/>
      <c r="W575" s="185" t="str">
        <f t="shared" si="163"/>
        <v/>
      </c>
      <c r="X575" s="181"/>
      <c r="Y575" s="185" t="str">
        <f t="shared" si="164"/>
        <v/>
      </c>
      <c r="Z575" s="186"/>
      <c r="AA575" s="161"/>
      <c r="AB575" s="161"/>
      <c r="AC575" s="161"/>
    </row>
    <row r="576" spans="1:29" ht="18" customHeight="1" x14ac:dyDescent="0.2">
      <c r="A576" s="166"/>
      <c r="B576" s="152"/>
      <c r="C576" s="443" t="s">
        <v>197</v>
      </c>
      <c r="D576" s="435"/>
      <c r="E576" s="435"/>
      <c r="F576" s="435"/>
      <c r="G576" s="167" t="str">
        <f>$J$1</f>
        <v>August</v>
      </c>
      <c r="H576" s="444">
        <f>$K$1</f>
        <v>2024</v>
      </c>
      <c r="I576" s="435"/>
      <c r="J576" s="152"/>
      <c r="K576" s="168"/>
      <c r="L576" s="169"/>
      <c r="M576" s="161"/>
      <c r="N576" s="178"/>
      <c r="O576" s="179" t="s">
        <v>120</v>
      </c>
      <c r="P576" s="179"/>
      <c r="Q576" s="179"/>
      <c r="R576" s="179">
        <v>0</v>
      </c>
      <c r="S576" s="159"/>
      <c r="T576" s="179" t="s">
        <v>120</v>
      </c>
      <c r="U576" s="185" t="str">
        <f t="shared" si="165"/>
        <v/>
      </c>
      <c r="V576" s="181"/>
      <c r="W576" s="185" t="str">
        <f t="shared" si="163"/>
        <v/>
      </c>
      <c r="X576" s="181"/>
      <c r="Y576" s="185" t="str">
        <f t="shared" si="164"/>
        <v/>
      </c>
      <c r="Z576" s="186"/>
      <c r="AA576" s="161"/>
      <c r="AB576" s="161"/>
      <c r="AC576" s="161"/>
    </row>
    <row r="577" spans="1:29" ht="18" customHeight="1" x14ac:dyDescent="0.2">
      <c r="A577" s="166"/>
      <c r="B577" s="152"/>
      <c r="C577" s="152"/>
      <c r="D577" s="175"/>
      <c r="E577" s="175"/>
      <c r="F577" s="175"/>
      <c r="G577" s="175"/>
      <c r="H577" s="175"/>
      <c r="I577" s="152"/>
      <c r="J577" s="176" t="s">
        <v>99</v>
      </c>
      <c r="K577" s="154">
        <f>30000+5000</f>
        <v>35000</v>
      </c>
      <c r="L577" s="177"/>
      <c r="M577" s="161"/>
      <c r="N577" s="178"/>
      <c r="O577" s="179" t="s">
        <v>121</v>
      </c>
      <c r="P577" s="179"/>
      <c r="Q577" s="179"/>
      <c r="R577" s="179">
        <v>0</v>
      </c>
      <c r="S577" s="159"/>
      <c r="T577" s="179" t="s">
        <v>121</v>
      </c>
      <c r="U577" s="185" t="str">
        <f t="shared" si="165"/>
        <v/>
      </c>
      <c r="V577" s="181"/>
      <c r="W577" s="185" t="str">
        <f t="shared" si="163"/>
        <v/>
      </c>
      <c r="X577" s="181"/>
      <c r="Y577" s="185" t="str">
        <f t="shared" si="164"/>
        <v/>
      </c>
      <c r="Z577" s="186"/>
      <c r="AA577" s="161"/>
      <c r="AB577" s="161"/>
      <c r="AC577" s="161"/>
    </row>
    <row r="578" spans="1:29" ht="18" customHeight="1" thickBot="1" x14ac:dyDescent="0.25">
      <c r="A578" s="166"/>
      <c r="B578" s="152" t="s">
        <v>101</v>
      </c>
      <c r="C578" s="151" t="s">
        <v>198</v>
      </c>
      <c r="D578" s="152"/>
      <c r="E578" s="152"/>
      <c r="F578" s="152"/>
      <c r="G578" s="152"/>
      <c r="H578" s="182"/>
      <c r="I578" s="175"/>
      <c r="J578" s="152"/>
      <c r="K578" s="152"/>
      <c r="L578" s="183"/>
      <c r="M578" s="204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  <c r="AA578" s="204"/>
      <c r="AB578" s="204"/>
      <c r="AC578" s="204"/>
    </row>
    <row r="579" spans="1:29" ht="18" customHeight="1" x14ac:dyDescent="0.2">
      <c r="A579" s="166"/>
      <c r="B579" s="187" t="s">
        <v>103</v>
      </c>
      <c r="C579" s="188"/>
      <c r="D579" s="152"/>
      <c r="E579" s="152"/>
      <c r="F579" s="439" t="s">
        <v>91</v>
      </c>
      <c r="G579" s="413"/>
      <c r="H579" s="152"/>
      <c r="I579" s="439" t="s">
        <v>104</v>
      </c>
      <c r="J579" s="412"/>
      <c r="K579" s="413"/>
      <c r="L579" s="189"/>
      <c r="M579" s="162"/>
      <c r="N579" s="163"/>
      <c r="O579" s="440" t="s">
        <v>90</v>
      </c>
      <c r="P579" s="441"/>
      <c r="Q579" s="441"/>
      <c r="R579" s="442"/>
      <c r="S579" s="164"/>
      <c r="T579" s="440" t="s">
        <v>91</v>
      </c>
      <c r="U579" s="441"/>
      <c r="V579" s="441"/>
      <c r="W579" s="441"/>
      <c r="X579" s="441"/>
      <c r="Y579" s="442"/>
      <c r="Z579" s="165"/>
      <c r="AA579" s="162"/>
      <c r="AB579" s="161"/>
      <c r="AC579" s="161"/>
    </row>
    <row r="580" spans="1:29" ht="18" customHeight="1" x14ac:dyDescent="0.2">
      <c r="A580" s="166"/>
      <c r="B580" s="152"/>
      <c r="C580" s="152"/>
      <c r="D580" s="152"/>
      <c r="E580" s="152"/>
      <c r="F580" s="152"/>
      <c r="G580" s="152"/>
      <c r="H580" s="190"/>
      <c r="I580" s="152"/>
      <c r="J580" s="152"/>
      <c r="K580" s="152"/>
      <c r="L580" s="191"/>
      <c r="M580" s="170"/>
      <c r="N580" s="171"/>
      <c r="O580" s="172" t="s">
        <v>93</v>
      </c>
      <c r="P580" s="172" t="s">
        <v>94</v>
      </c>
      <c r="Q580" s="172" t="s">
        <v>95</v>
      </c>
      <c r="R580" s="172" t="s">
        <v>96</v>
      </c>
      <c r="S580" s="173"/>
      <c r="T580" s="172" t="s">
        <v>93</v>
      </c>
      <c r="U580" s="172" t="s">
        <v>97</v>
      </c>
      <c r="V580" s="172" t="s">
        <v>9</v>
      </c>
      <c r="W580" s="172" t="s">
        <v>10</v>
      </c>
      <c r="X580" s="172" t="s">
        <v>11</v>
      </c>
      <c r="Y580" s="172" t="s">
        <v>98</v>
      </c>
      <c r="Z580" s="174"/>
      <c r="AA580" s="170"/>
      <c r="AB580" s="161"/>
      <c r="AC580" s="161"/>
    </row>
    <row r="581" spans="1:29" ht="18" customHeight="1" x14ac:dyDescent="0.2">
      <c r="A581" s="166"/>
      <c r="B581" s="445" t="s">
        <v>90</v>
      </c>
      <c r="C581" s="413"/>
      <c r="D581" s="152"/>
      <c r="E581" s="152"/>
      <c r="F581" s="192" t="s">
        <v>107</v>
      </c>
      <c r="G581" s="193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0</v>
      </c>
      <c r="H581" s="190"/>
      <c r="I581" s="194">
        <f>IF(C585&gt;=C584,$K$2,C583+C585)</f>
        <v>31</v>
      </c>
      <c r="J581" s="195" t="s">
        <v>108</v>
      </c>
      <c r="K581" s="196">
        <f>K577/$K$2*I581</f>
        <v>35000</v>
      </c>
      <c r="L581" s="197"/>
      <c r="M581" s="161"/>
      <c r="N581" s="178"/>
      <c r="O581" s="179" t="s">
        <v>100</v>
      </c>
      <c r="P581" s="179">
        <v>28</v>
      </c>
      <c r="Q581" s="179">
        <v>3</v>
      </c>
      <c r="R581" s="179">
        <v>0</v>
      </c>
      <c r="S581" s="180"/>
      <c r="T581" s="179" t="s">
        <v>100</v>
      </c>
      <c r="U581" s="181"/>
      <c r="V581" s="181"/>
      <c r="W581" s="181">
        <f>V581+U581</f>
        <v>0</v>
      </c>
      <c r="X581" s="181"/>
      <c r="Y581" s="181">
        <f>W581-X581</f>
        <v>0</v>
      </c>
      <c r="Z581" s="174"/>
      <c r="AA581" s="161"/>
      <c r="AB581" s="161"/>
      <c r="AC581" s="161"/>
    </row>
    <row r="582" spans="1:29" ht="18" customHeight="1" x14ac:dyDescent="0.2">
      <c r="A582" s="166"/>
      <c r="B582" s="198"/>
      <c r="C582" s="198"/>
      <c r="D582" s="152"/>
      <c r="E582" s="152"/>
      <c r="F582" s="192" t="s">
        <v>9</v>
      </c>
      <c r="G582" s="193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2" s="190"/>
      <c r="I582" s="194">
        <v>196</v>
      </c>
      <c r="J582" s="195" t="s">
        <v>110</v>
      </c>
      <c r="K582" s="193">
        <f>K577/$K$2/8*I582</f>
        <v>27661.290322580644</v>
      </c>
      <c r="L582" s="199"/>
      <c r="M582" s="162"/>
      <c r="N582" s="184"/>
      <c r="O582" s="179" t="s">
        <v>102</v>
      </c>
      <c r="P582" s="179">
        <v>29</v>
      </c>
      <c r="Q582" s="179">
        <v>0</v>
      </c>
      <c r="R582" s="179">
        <v>0</v>
      </c>
      <c r="S582" s="159"/>
      <c r="T582" s="179" t="s">
        <v>102</v>
      </c>
      <c r="U582" s="185">
        <f>Y581</f>
        <v>0</v>
      </c>
      <c r="V582" s="181">
        <v>500</v>
      </c>
      <c r="W582" s="185">
        <f t="shared" ref="W582:W592" si="166">IF(U582="","",U582+V582)</f>
        <v>500</v>
      </c>
      <c r="X582" s="181">
        <v>500</v>
      </c>
      <c r="Y582" s="185">
        <f t="shared" ref="Y582:Y592" si="167">IF(W582="","",W582-X582)</f>
        <v>0</v>
      </c>
      <c r="Z582" s="186"/>
      <c r="AA582" s="162"/>
      <c r="AB582" s="161"/>
      <c r="AC582" s="161"/>
    </row>
    <row r="583" spans="1:29" ht="18" customHeight="1" x14ac:dyDescent="0.2">
      <c r="A583" s="166"/>
      <c r="B583" s="192" t="s">
        <v>94</v>
      </c>
      <c r="C583" s="198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0</v>
      </c>
      <c r="D583" s="152"/>
      <c r="E583" s="152"/>
      <c r="F583" s="192" t="s">
        <v>111</v>
      </c>
      <c r="G583" s="193" t="str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/>
      </c>
      <c r="H583" s="190"/>
      <c r="I583" s="446" t="s">
        <v>112</v>
      </c>
      <c r="J583" s="413"/>
      <c r="K583" s="193">
        <f>K581+K582</f>
        <v>62661.290322580644</v>
      </c>
      <c r="L583" s="199"/>
      <c r="M583" s="161"/>
      <c r="N583" s="178"/>
      <c r="O583" s="179" t="s">
        <v>105</v>
      </c>
      <c r="P583" s="179">
        <v>31</v>
      </c>
      <c r="Q583" s="179">
        <v>0</v>
      </c>
      <c r="R583" s="179">
        <v>0</v>
      </c>
      <c r="S583" s="159"/>
      <c r="T583" s="179" t="s">
        <v>105</v>
      </c>
      <c r="U583" s="185">
        <f>IF($J$1="February","",Y582)</f>
        <v>0</v>
      </c>
      <c r="V583" s="181"/>
      <c r="W583" s="185">
        <f t="shared" si="166"/>
        <v>0</v>
      </c>
      <c r="X583" s="181"/>
      <c r="Y583" s="185">
        <f t="shared" si="167"/>
        <v>0</v>
      </c>
      <c r="Z583" s="186"/>
      <c r="AA583" s="161"/>
      <c r="AB583" s="161"/>
      <c r="AC583" s="161"/>
    </row>
    <row r="584" spans="1:29" ht="18" customHeight="1" x14ac:dyDescent="0.2">
      <c r="A584" s="166"/>
      <c r="B584" s="192" t="s">
        <v>95</v>
      </c>
      <c r="C584" s="198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0</v>
      </c>
      <c r="D584" s="152"/>
      <c r="E584" s="152"/>
      <c r="F584" s="192" t="s">
        <v>11</v>
      </c>
      <c r="G584" s="193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0</v>
      </c>
      <c r="H584" s="190"/>
      <c r="I584" s="446" t="s">
        <v>114</v>
      </c>
      <c r="J584" s="413"/>
      <c r="K584" s="193">
        <f>G584</f>
        <v>0</v>
      </c>
      <c r="L584" s="199"/>
      <c r="M584" s="161"/>
      <c r="N584" s="178"/>
      <c r="O584" s="179" t="s">
        <v>106</v>
      </c>
      <c r="P584" s="208">
        <v>22</v>
      </c>
      <c r="Q584" s="208">
        <v>8</v>
      </c>
      <c r="R584" s="179">
        <v>0</v>
      </c>
      <c r="S584" s="159"/>
      <c r="T584" s="179" t="s">
        <v>106</v>
      </c>
      <c r="U584" s="185">
        <f>IF($J$1="March","",Y583)</f>
        <v>0</v>
      </c>
      <c r="V584" s="181"/>
      <c r="W584" s="185">
        <f t="shared" si="166"/>
        <v>0</v>
      </c>
      <c r="X584" s="181"/>
      <c r="Y584" s="185">
        <f t="shared" si="167"/>
        <v>0</v>
      </c>
      <c r="Z584" s="186"/>
      <c r="AA584" s="161"/>
      <c r="AB584" s="161"/>
      <c r="AC584" s="161"/>
    </row>
    <row r="585" spans="1:29" ht="18" customHeight="1" x14ac:dyDescent="0.2">
      <c r="A585" s="166"/>
      <c r="B585" s="207" t="s">
        <v>116</v>
      </c>
      <c r="C585" s="198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0</v>
      </c>
      <c r="D585" s="152"/>
      <c r="E585" s="152"/>
      <c r="F585" s="207" t="s">
        <v>117</v>
      </c>
      <c r="G585" s="193" t="str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/>
      </c>
      <c r="H585" s="152"/>
      <c r="I585" s="439" t="s">
        <v>13</v>
      </c>
      <c r="J585" s="413"/>
      <c r="K585" s="37">
        <f>K583-K584</f>
        <v>62661.290322580644</v>
      </c>
      <c r="L585" s="183"/>
      <c r="M585" s="161"/>
      <c r="N585" s="178"/>
      <c r="O585" s="179" t="s">
        <v>109</v>
      </c>
      <c r="P585" s="179">
        <v>23</v>
      </c>
      <c r="Q585" s="179">
        <v>8</v>
      </c>
      <c r="R585" s="179">
        <v>0</v>
      </c>
      <c r="S585" s="159"/>
      <c r="T585" s="179" t="s">
        <v>109</v>
      </c>
      <c r="U585" s="185">
        <f>IF($J$1="April","",Y584)</f>
        <v>0</v>
      </c>
      <c r="V585" s="181">
        <v>1000</v>
      </c>
      <c r="W585" s="185">
        <f t="shared" si="166"/>
        <v>1000</v>
      </c>
      <c r="X585" s="181">
        <v>1000</v>
      </c>
      <c r="Y585" s="185">
        <f t="shared" si="167"/>
        <v>0</v>
      </c>
      <c r="Z585" s="186"/>
      <c r="AA585" s="161"/>
      <c r="AB585" s="161"/>
      <c r="AC585" s="161"/>
    </row>
    <row r="586" spans="1:29" ht="18" customHeight="1" x14ac:dyDescent="0.2">
      <c r="A586" s="166"/>
      <c r="B586" s="152"/>
      <c r="C586" s="152"/>
      <c r="D586" s="152"/>
      <c r="E586" s="152"/>
      <c r="F586" s="152"/>
      <c r="G586" s="152"/>
      <c r="H586" s="152"/>
      <c r="I586" s="434"/>
      <c r="J586" s="435"/>
      <c r="K586" s="154"/>
      <c r="L586" s="189"/>
      <c r="M586" s="161"/>
      <c r="N586" s="178"/>
      <c r="O586" s="179" t="s">
        <v>85</v>
      </c>
      <c r="P586" s="179">
        <v>29</v>
      </c>
      <c r="Q586" s="179">
        <v>1</v>
      </c>
      <c r="R586" s="179">
        <f>15-Q631</f>
        <v>14</v>
      </c>
      <c r="S586" s="159"/>
      <c r="T586" s="179" t="s">
        <v>85</v>
      </c>
      <c r="U586" s="185"/>
      <c r="V586" s="181">
        <v>15000</v>
      </c>
      <c r="W586" s="185">
        <f>V586+U586</f>
        <v>15000</v>
      </c>
      <c r="X586" s="223">
        <v>5000</v>
      </c>
      <c r="Y586" s="185">
        <f t="shared" si="167"/>
        <v>10000</v>
      </c>
      <c r="Z586" s="186"/>
      <c r="AA586" s="161"/>
      <c r="AB586" s="161"/>
      <c r="AC586" s="161"/>
    </row>
    <row r="587" spans="1:29" ht="18" customHeight="1" x14ac:dyDescent="0.3">
      <c r="A587" s="166"/>
      <c r="B587" s="150"/>
      <c r="C587" s="150"/>
      <c r="D587" s="150"/>
      <c r="E587" s="150"/>
      <c r="F587" s="150"/>
      <c r="G587" s="150"/>
      <c r="H587" s="150"/>
      <c r="I587" s="434"/>
      <c r="J587" s="435"/>
      <c r="K587" s="154"/>
      <c r="L587" s="189"/>
      <c r="M587" s="161"/>
      <c r="N587" s="178"/>
      <c r="O587" s="179" t="s">
        <v>113</v>
      </c>
      <c r="P587" s="179">
        <v>30</v>
      </c>
      <c r="Q587" s="179">
        <v>1</v>
      </c>
      <c r="R587" s="179">
        <f>R586-Q587</f>
        <v>13</v>
      </c>
      <c r="S587" s="159"/>
      <c r="T587" s="179" t="s">
        <v>113</v>
      </c>
      <c r="U587" s="185">
        <f t="shared" ref="U587:U591" si="168">Y586</f>
        <v>10000</v>
      </c>
      <c r="V587" s="181"/>
      <c r="W587" s="185">
        <f t="shared" si="166"/>
        <v>10000</v>
      </c>
      <c r="X587" s="223">
        <v>5000</v>
      </c>
      <c r="Y587" s="185">
        <f t="shared" si="167"/>
        <v>5000</v>
      </c>
      <c r="Z587" s="186"/>
      <c r="AA587" s="161"/>
      <c r="AB587" s="161"/>
      <c r="AC587" s="161"/>
    </row>
    <row r="588" spans="1:29" ht="18" customHeight="1" thickBot="1" x14ac:dyDescent="0.35">
      <c r="A588" s="200"/>
      <c r="B588" s="201"/>
      <c r="C588" s="201"/>
      <c r="D588" s="201"/>
      <c r="E588" s="201"/>
      <c r="F588" s="201"/>
      <c r="G588" s="201"/>
      <c r="H588" s="201"/>
      <c r="I588" s="201"/>
      <c r="J588" s="201"/>
      <c r="K588" s="201"/>
      <c r="L588" s="202"/>
      <c r="M588" s="161"/>
      <c r="N588" s="178"/>
      <c r="O588" s="179" t="s">
        <v>115</v>
      </c>
      <c r="P588" s="179"/>
      <c r="Q588" s="179"/>
      <c r="R588" s="179">
        <v>0</v>
      </c>
      <c r="S588" s="159"/>
      <c r="T588" s="179" t="s">
        <v>115</v>
      </c>
      <c r="U588" s="185"/>
      <c r="V588" s="181"/>
      <c r="W588" s="185" t="str">
        <f t="shared" si="166"/>
        <v/>
      </c>
      <c r="X588" s="223"/>
      <c r="Y588" s="185" t="str">
        <f t="shared" si="167"/>
        <v/>
      </c>
      <c r="Z588" s="186"/>
      <c r="AA588" s="161"/>
      <c r="AB588" s="161"/>
      <c r="AC588" s="161"/>
    </row>
    <row r="589" spans="1:29" ht="18" customHeight="1" thickBot="1" x14ac:dyDescent="0.25">
      <c r="A589" s="203"/>
      <c r="B589" s="203"/>
      <c r="C589" s="203"/>
      <c r="D589" s="203"/>
      <c r="E589" s="203"/>
      <c r="F589" s="203"/>
      <c r="G589" s="203"/>
      <c r="H589" s="203"/>
      <c r="I589" s="203"/>
      <c r="J589" s="203"/>
      <c r="K589" s="203"/>
      <c r="L589" s="203"/>
      <c r="M589" s="161"/>
      <c r="N589" s="178"/>
      <c r="O589" s="179" t="s">
        <v>118</v>
      </c>
      <c r="P589" s="179"/>
      <c r="Q589" s="179"/>
      <c r="R589" s="179">
        <v>0</v>
      </c>
      <c r="S589" s="159"/>
      <c r="T589" s="179" t="s">
        <v>118</v>
      </c>
      <c r="U589" s="185" t="str">
        <f t="shared" si="168"/>
        <v/>
      </c>
      <c r="V589" s="181"/>
      <c r="W589" s="185" t="str">
        <f t="shared" si="166"/>
        <v/>
      </c>
      <c r="X589" s="181"/>
      <c r="Y589" s="185" t="str">
        <f t="shared" si="167"/>
        <v/>
      </c>
      <c r="Z589" s="186"/>
      <c r="AA589" s="161"/>
      <c r="AB589" s="161"/>
      <c r="AC589" s="161"/>
    </row>
    <row r="590" spans="1:29" ht="18" customHeight="1" x14ac:dyDescent="0.2">
      <c r="A590" s="456" t="s">
        <v>89</v>
      </c>
      <c r="B590" s="437"/>
      <c r="C590" s="437"/>
      <c r="D590" s="437"/>
      <c r="E590" s="437"/>
      <c r="F590" s="437"/>
      <c r="G590" s="437"/>
      <c r="H590" s="437"/>
      <c r="I590" s="437"/>
      <c r="J590" s="437"/>
      <c r="K590" s="437"/>
      <c r="L590" s="438"/>
      <c r="M590" s="161"/>
      <c r="N590" s="178"/>
      <c r="O590" s="179" t="s">
        <v>119</v>
      </c>
      <c r="P590" s="179"/>
      <c r="Q590" s="179"/>
      <c r="R590" s="179">
        <v>0</v>
      </c>
      <c r="S590" s="159"/>
      <c r="T590" s="179" t="s">
        <v>119</v>
      </c>
      <c r="U590" s="185" t="str">
        <f t="shared" si="168"/>
        <v/>
      </c>
      <c r="V590" s="181"/>
      <c r="W590" s="185" t="str">
        <f t="shared" si="166"/>
        <v/>
      </c>
      <c r="X590" s="181"/>
      <c r="Y590" s="185" t="str">
        <f t="shared" si="167"/>
        <v/>
      </c>
      <c r="Z590" s="186"/>
      <c r="AA590" s="161"/>
      <c r="AB590" s="161"/>
      <c r="AC590" s="161"/>
    </row>
    <row r="591" spans="1:29" ht="18" customHeight="1" x14ac:dyDescent="0.2">
      <c r="A591" s="166"/>
      <c r="B591" s="152"/>
      <c r="C591" s="443" t="s">
        <v>199</v>
      </c>
      <c r="D591" s="435"/>
      <c r="E591" s="435"/>
      <c r="F591" s="435"/>
      <c r="G591" s="167" t="str">
        <f>$J$1</f>
        <v>August</v>
      </c>
      <c r="H591" s="444">
        <f>$K$1</f>
        <v>2024</v>
      </c>
      <c r="I591" s="435"/>
      <c r="J591" s="152"/>
      <c r="K591" s="168"/>
      <c r="L591" s="169"/>
      <c r="M591" s="161"/>
      <c r="N591" s="178"/>
      <c r="O591" s="179" t="s">
        <v>120</v>
      </c>
      <c r="P591" s="179"/>
      <c r="Q591" s="179"/>
      <c r="R591" s="179">
        <v>0</v>
      </c>
      <c r="S591" s="159"/>
      <c r="T591" s="179" t="s">
        <v>120</v>
      </c>
      <c r="U591" s="185" t="str">
        <f t="shared" si="168"/>
        <v/>
      </c>
      <c r="V591" s="181"/>
      <c r="W591" s="185" t="str">
        <f t="shared" si="166"/>
        <v/>
      </c>
      <c r="X591" s="181"/>
      <c r="Y591" s="185" t="str">
        <f t="shared" si="167"/>
        <v/>
      </c>
      <c r="Z591" s="186"/>
      <c r="AA591" s="161"/>
      <c r="AB591" s="161"/>
      <c r="AC591" s="161"/>
    </row>
    <row r="592" spans="1:29" ht="18" customHeight="1" x14ac:dyDescent="0.2">
      <c r="A592" s="166"/>
      <c r="B592" s="152"/>
      <c r="C592" s="152"/>
      <c r="D592" s="175"/>
      <c r="E592" s="175"/>
      <c r="F592" s="175"/>
      <c r="G592" s="175"/>
      <c r="H592" s="175"/>
      <c r="I592" s="152"/>
      <c r="J592" s="176" t="s">
        <v>99</v>
      </c>
      <c r="K592" s="154">
        <f>35000+10000</f>
        <v>45000</v>
      </c>
      <c r="L592" s="177"/>
      <c r="M592" s="161"/>
      <c r="N592" s="178"/>
      <c r="O592" s="179" t="s">
        <v>121</v>
      </c>
      <c r="P592" s="179"/>
      <c r="Q592" s="179"/>
      <c r="R592" s="179">
        <v>0</v>
      </c>
      <c r="S592" s="159"/>
      <c r="T592" s="179" t="s">
        <v>121</v>
      </c>
      <c r="U592" s="185">
        <v>0</v>
      </c>
      <c r="V592" s="181"/>
      <c r="W592" s="185">
        <f t="shared" si="166"/>
        <v>0</v>
      </c>
      <c r="X592" s="181"/>
      <c r="Y592" s="185">
        <f t="shared" si="167"/>
        <v>0</v>
      </c>
      <c r="Z592" s="186"/>
      <c r="AA592" s="161"/>
      <c r="AB592" s="161"/>
      <c r="AC592" s="161"/>
    </row>
    <row r="593" spans="1:29" ht="18" customHeight="1" thickBot="1" x14ac:dyDescent="0.25">
      <c r="A593" s="166"/>
      <c r="B593" s="152" t="s">
        <v>101</v>
      </c>
      <c r="C593" s="151" t="s">
        <v>200</v>
      </c>
      <c r="D593" s="152"/>
      <c r="E593" s="152"/>
      <c r="F593" s="152"/>
      <c r="G593" s="152"/>
      <c r="H593" s="182"/>
      <c r="I593" s="175"/>
      <c r="J593" s="152"/>
      <c r="K593" s="152"/>
      <c r="L593" s="183"/>
      <c r="M593" s="204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  <c r="AA593" s="204"/>
      <c r="AB593" s="204"/>
      <c r="AC593" s="204"/>
    </row>
    <row r="594" spans="1:29" ht="18" customHeight="1" x14ac:dyDescent="0.2">
      <c r="A594" s="166"/>
      <c r="B594" s="187" t="s">
        <v>103</v>
      </c>
      <c r="C594" s="213">
        <v>45156</v>
      </c>
      <c r="D594" s="152"/>
      <c r="E594" s="152"/>
      <c r="F594" s="439" t="s">
        <v>91</v>
      </c>
      <c r="G594" s="413"/>
      <c r="H594" s="152"/>
      <c r="I594" s="439" t="s">
        <v>104</v>
      </c>
      <c r="J594" s="412"/>
      <c r="K594" s="413"/>
      <c r="L594" s="189"/>
      <c r="M594" s="162"/>
      <c r="N594" s="163"/>
      <c r="O594" s="440" t="s">
        <v>90</v>
      </c>
      <c r="P594" s="441"/>
      <c r="Q594" s="441"/>
      <c r="R594" s="442"/>
      <c r="S594" s="164"/>
      <c r="T594" s="440" t="s">
        <v>91</v>
      </c>
      <c r="U594" s="441"/>
      <c r="V594" s="441"/>
      <c r="W594" s="441"/>
      <c r="X594" s="441"/>
      <c r="Y594" s="442"/>
      <c r="Z594" s="159"/>
      <c r="AA594" s="161"/>
      <c r="AB594" s="161"/>
      <c r="AC594" s="161"/>
    </row>
    <row r="595" spans="1:29" ht="18" customHeight="1" x14ac:dyDescent="0.2">
      <c r="A595" s="166"/>
      <c r="B595" s="152"/>
      <c r="C595" s="152"/>
      <c r="D595" s="152"/>
      <c r="E595" s="152"/>
      <c r="F595" s="152"/>
      <c r="G595" s="152"/>
      <c r="H595" s="190"/>
      <c r="I595" s="152"/>
      <c r="J595" s="152"/>
      <c r="K595" s="152"/>
      <c r="L595" s="191"/>
      <c r="M595" s="170"/>
      <c r="N595" s="171"/>
      <c r="O595" s="172" t="s">
        <v>93</v>
      </c>
      <c r="P595" s="172" t="s">
        <v>94</v>
      </c>
      <c r="Q595" s="172" t="s">
        <v>95</v>
      </c>
      <c r="R595" s="172" t="s">
        <v>96</v>
      </c>
      <c r="S595" s="173"/>
      <c r="T595" s="172" t="s">
        <v>93</v>
      </c>
      <c r="U595" s="172" t="s">
        <v>97</v>
      </c>
      <c r="V595" s="172" t="s">
        <v>9</v>
      </c>
      <c r="W595" s="172" t="s">
        <v>10</v>
      </c>
      <c r="X595" s="172" t="s">
        <v>11</v>
      </c>
      <c r="Y595" s="172" t="s">
        <v>98</v>
      </c>
      <c r="Z595" s="159"/>
      <c r="AA595" s="161"/>
      <c r="AB595" s="161"/>
      <c r="AC595" s="161"/>
    </row>
    <row r="596" spans="1:29" ht="18" customHeight="1" x14ac:dyDescent="0.2">
      <c r="A596" s="166"/>
      <c r="B596" s="445" t="s">
        <v>90</v>
      </c>
      <c r="C596" s="413"/>
      <c r="D596" s="152"/>
      <c r="E596" s="152"/>
      <c r="F596" s="192" t="s">
        <v>107</v>
      </c>
      <c r="G596" s="193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0</v>
      </c>
      <c r="H596" s="190"/>
      <c r="I596" s="194">
        <f>IF(C600&gt;0,$K$2,C598)</f>
        <v>0</v>
      </c>
      <c r="J596" s="195" t="s">
        <v>108</v>
      </c>
      <c r="K596" s="196">
        <f>K592/$K$2*I596</f>
        <v>0</v>
      </c>
      <c r="L596" s="197"/>
      <c r="M596" s="161"/>
      <c r="N596" s="178"/>
      <c r="O596" s="179" t="s">
        <v>100</v>
      </c>
      <c r="P596" s="179">
        <v>31</v>
      </c>
      <c r="Q596" s="179">
        <v>0</v>
      </c>
      <c r="R596" s="179">
        <v>0</v>
      </c>
      <c r="S596" s="180"/>
      <c r="T596" s="179" t="s">
        <v>100</v>
      </c>
      <c r="U596" s="181"/>
      <c r="V596" s="181"/>
      <c r="W596" s="181">
        <f>V596+U596</f>
        <v>0</v>
      </c>
      <c r="X596" s="181"/>
      <c r="Y596" s="181">
        <f>W596-X596</f>
        <v>0</v>
      </c>
      <c r="Z596" s="159"/>
      <c r="AA596" s="161"/>
      <c r="AB596" s="161"/>
      <c r="AC596" s="161"/>
    </row>
    <row r="597" spans="1:29" ht="18" customHeight="1" x14ac:dyDescent="0.2">
      <c r="A597" s="166"/>
      <c r="B597" s="198"/>
      <c r="C597" s="198"/>
      <c r="D597" s="152"/>
      <c r="E597" s="152"/>
      <c r="F597" s="192" t="s">
        <v>9</v>
      </c>
      <c r="G597" s="193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597" s="190"/>
      <c r="I597" s="194">
        <v>28</v>
      </c>
      <c r="J597" s="195" t="s">
        <v>110</v>
      </c>
      <c r="K597" s="193">
        <f>K592/$K$2/8*I597</f>
        <v>5080.645161290322</v>
      </c>
      <c r="L597" s="199"/>
      <c r="M597" s="162"/>
      <c r="N597" s="184"/>
      <c r="O597" s="179" t="s">
        <v>102</v>
      </c>
      <c r="P597" s="179">
        <v>28</v>
      </c>
      <c r="Q597" s="179">
        <v>1</v>
      </c>
      <c r="R597" s="179">
        <v>0</v>
      </c>
      <c r="S597" s="159"/>
      <c r="T597" s="179" t="s">
        <v>102</v>
      </c>
      <c r="U597" s="185">
        <f t="shared" ref="U597:U598" si="169">Y596</f>
        <v>0</v>
      </c>
      <c r="V597" s="181"/>
      <c r="W597" s="185">
        <f t="shared" ref="W597:W604" si="170">IF(U597="","",U597+V597)</f>
        <v>0</v>
      </c>
      <c r="X597" s="181"/>
      <c r="Y597" s="185">
        <f t="shared" ref="Y597:Y604" si="171">IF(W597="","",W597-X597)</f>
        <v>0</v>
      </c>
      <c r="Z597" s="159"/>
      <c r="AA597" s="161"/>
      <c r="AB597" s="161"/>
      <c r="AC597" s="161"/>
    </row>
    <row r="598" spans="1:29" ht="18" customHeight="1" x14ac:dyDescent="0.2">
      <c r="A598" s="166"/>
      <c r="B598" s="192" t="s">
        <v>94</v>
      </c>
      <c r="C598" s="198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0</v>
      </c>
      <c r="D598" s="152"/>
      <c r="E598" s="152"/>
      <c r="F598" s="192" t="s">
        <v>111</v>
      </c>
      <c r="G598" s="193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0</v>
      </c>
      <c r="H598" s="190"/>
      <c r="I598" s="446" t="s">
        <v>112</v>
      </c>
      <c r="J598" s="413"/>
      <c r="K598" s="193">
        <f>K596+K597</f>
        <v>5080.645161290322</v>
      </c>
      <c r="L598" s="199"/>
      <c r="M598" s="161"/>
      <c r="N598" s="178"/>
      <c r="O598" s="179" t="s">
        <v>105</v>
      </c>
      <c r="P598" s="179">
        <v>31</v>
      </c>
      <c r="Q598" s="179">
        <v>0</v>
      </c>
      <c r="R598" s="179">
        <v>0</v>
      </c>
      <c r="S598" s="159"/>
      <c r="T598" s="179" t="s">
        <v>105</v>
      </c>
      <c r="U598" s="185">
        <f t="shared" si="169"/>
        <v>0</v>
      </c>
      <c r="V598" s="181"/>
      <c r="W598" s="185">
        <f t="shared" si="170"/>
        <v>0</v>
      </c>
      <c r="X598" s="181"/>
      <c r="Y598" s="185">
        <f t="shared" si="171"/>
        <v>0</v>
      </c>
      <c r="Z598" s="159"/>
      <c r="AA598" s="161"/>
      <c r="AB598" s="161"/>
      <c r="AC598" s="161"/>
    </row>
    <row r="599" spans="1:29" ht="18" customHeight="1" x14ac:dyDescent="0.2">
      <c r="A599" s="166"/>
      <c r="B599" s="192" t="s">
        <v>95</v>
      </c>
      <c r="C599" s="198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0</v>
      </c>
      <c r="D599" s="152"/>
      <c r="E599" s="152"/>
      <c r="F599" s="192" t="s">
        <v>11</v>
      </c>
      <c r="G599" s="193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0</v>
      </c>
      <c r="H599" s="190"/>
      <c r="I599" s="446" t="s">
        <v>114</v>
      </c>
      <c r="J599" s="413"/>
      <c r="K599" s="193">
        <f>G599</f>
        <v>0</v>
      </c>
      <c r="L599" s="199"/>
      <c r="M599" s="161"/>
      <c r="N599" s="178"/>
      <c r="O599" s="179" t="s">
        <v>106</v>
      </c>
      <c r="P599" s="179">
        <v>30</v>
      </c>
      <c r="Q599" s="179">
        <v>0</v>
      </c>
      <c r="R599" s="179">
        <v>0</v>
      </c>
      <c r="S599" s="159"/>
      <c r="T599" s="179" t="s">
        <v>106</v>
      </c>
      <c r="U599" s="185">
        <f>IF($J$1="March","",Y598)</f>
        <v>0</v>
      </c>
      <c r="V599" s="181"/>
      <c r="W599" s="185">
        <f t="shared" si="170"/>
        <v>0</v>
      </c>
      <c r="X599" s="181"/>
      <c r="Y599" s="185">
        <f t="shared" si="171"/>
        <v>0</v>
      </c>
      <c r="Z599" s="159"/>
      <c r="AA599" s="161"/>
      <c r="AB599" s="161"/>
      <c r="AC599" s="161"/>
    </row>
    <row r="600" spans="1:29" ht="18" customHeight="1" x14ac:dyDescent="0.2">
      <c r="A600" s="166"/>
      <c r="B600" s="215" t="s">
        <v>116</v>
      </c>
      <c r="C600" s="198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0" s="152"/>
      <c r="E600" s="152"/>
      <c r="F600" s="192" t="s">
        <v>169</v>
      </c>
      <c r="G600" s="193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0</v>
      </c>
      <c r="H600" s="152"/>
      <c r="I600" s="439" t="s">
        <v>13</v>
      </c>
      <c r="J600" s="413"/>
      <c r="K600" s="37">
        <f>K598-K599</f>
        <v>5080.645161290322</v>
      </c>
      <c r="L600" s="183"/>
      <c r="M600" s="161"/>
      <c r="N600" s="178"/>
      <c r="O600" s="179" t="s">
        <v>109</v>
      </c>
      <c r="P600" s="179">
        <v>31</v>
      </c>
      <c r="Q600" s="179">
        <v>0</v>
      </c>
      <c r="R600" s="179">
        <v>0</v>
      </c>
      <c r="S600" s="159"/>
      <c r="T600" s="179" t="s">
        <v>109</v>
      </c>
      <c r="U600" s="185">
        <f t="shared" ref="U600:U604" si="172">Y599</f>
        <v>0</v>
      </c>
      <c r="V600" s="181"/>
      <c r="W600" s="185">
        <f t="shared" si="170"/>
        <v>0</v>
      </c>
      <c r="X600" s="181"/>
      <c r="Y600" s="185">
        <f t="shared" si="171"/>
        <v>0</v>
      </c>
      <c r="Z600" s="159"/>
      <c r="AA600" s="161"/>
      <c r="AB600" s="161"/>
      <c r="AC600" s="161"/>
    </row>
    <row r="601" spans="1:29" ht="18" customHeight="1" x14ac:dyDescent="0.2">
      <c r="A601" s="166"/>
      <c r="B601" s="152"/>
      <c r="C601" s="152"/>
      <c r="D601" s="152"/>
      <c r="E601" s="152"/>
      <c r="F601" s="152"/>
      <c r="G601" s="152"/>
      <c r="H601" s="152"/>
      <c r="I601" s="434"/>
      <c r="J601" s="435"/>
      <c r="K601" s="154"/>
      <c r="L601" s="189"/>
      <c r="M601" s="161"/>
      <c r="N601" s="178"/>
      <c r="O601" s="179" t="s">
        <v>85</v>
      </c>
      <c r="P601" s="179">
        <v>30</v>
      </c>
      <c r="Q601" s="179">
        <v>0</v>
      </c>
      <c r="R601" s="179">
        <v>0</v>
      </c>
      <c r="S601" s="159"/>
      <c r="T601" s="179" t="s">
        <v>85</v>
      </c>
      <c r="U601" s="185">
        <f t="shared" si="172"/>
        <v>0</v>
      </c>
      <c r="V601" s="181"/>
      <c r="W601" s="185">
        <f t="shared" si="170"/>
        <v>0</v>
      </c>
      <c r="X601" s="223"/>
      <c r="Y601" s="185">
        <f t="shared" si="171"/>
        <v>0</v>
      </c>
      <c r="Z601" s="159"/>
      <c r="AA601" s="161"/>
      <c r="AB601" s="161"/>
      <c r="AC601" s="161"/>
    </row>
    <row r="602" spans="1:29" ht="18" customHeight="1" x14ac:dyDescent="0.3">
      <c r="A602" s="166"/>
      <c r="B602" s="150"/>
      <c r="C602" s="150"/>
      <c r="D602" s="150"/>
      <c r="E602" s="150"/>
      <c r="F602" s="150"/>
      <c r="G602" s="150"/>
      <c r="H602" s="150"/>
      <c r="I602" s="434"/>
      <c r="J602" s="435"/>
      <c r="K602" s="154"/>
      <c r="L602" s="189"/>
      <c r="M602" s="161"/>
      <c r="N602" s="178"/>
      <c r="O602" s="179" t="s">
        <v>113</v>
      </c>
      <c r="P602" s="208">
        <v>31</v>
      </c>
      <c r="Q602" s="208">
        <v>0</v>
      </c>
      <c r="R602" s="179">
        <v>0</v>
      </c>
      <c r="S602" s="159"/>
      <c r="T602" s="179" t="s">
        <v>113</v>
      </c>
      <c r="U602" s="185">
        <f t="shared" si="172"/>
        <v>0</v>
      </c>
      <c r="V602" s="181"/>
      <c r="W602" s="185">
        <f t="shared" si="170"/>
        <v>0</v>
      </c>
      <c r="X602" s="223"/>
      <c r="Y602" s="185">
        <f t="shared" si="171"/>
        <v>0</v>
      </c>
      <c r="Z602" s="159"/>
      <c r="AA602" s="161"/>
      <c r="AB602" s="161"/>
      <c r="AC602" s="161"/>
    </row>
    <row r="603" spans="1:29" ht="18" customHeight="1" x14ac:dyDescent="0.3">
      <c r="A603" s="166"/>
      <c r="B603" s="150"/>
      <c r="C603" s="150"/>
      <c r="D603" s="150"/>
      <c r="E603" s="150"/>
      <c r="F603" s="150"/>
      <c r="G603" s="150"/>
      <c r="H603" s="150"/>
      <c r="I603" s="150"/>
      <c r="J603" s="150"/>
      <c r="K603" s="150"/>
      <c r="L603" s="189"/>
      <c r="M603" s="161"/>
      <c r="N603" s="178"/>
      <c r="O603" s="179" t="s">
        <v>115</v>
      </c>
      <c r="P603" s="179"/>
      <c r="Q603" s="179"/>
      <c r="R603" s="179">
        <v>0</v>
      </c>
      <c r="S603" s="159"/>
      <c r="T603" s="179" t="s">
        <v>115</v>
      </c>
      <c r="U603" s="185">
        <f t="shared" si="172"/>
        <v>0</v>
      </c>
      <c r="V603" s="181"/>
      <c r="W603" s="185">
        <f t="shared" si="170"/>
        <v>0</v>
      </c>
      <c r="X603" s="223"/>
      <c r="Y603" s="185">
        <f t="shared" si="171"/>
        <v>0</v>
      </c>
      <c r="Z603" s="159"/>
      <c r="AA603" s="161"/>
      <c r="AB603" s="161"/>
      <c r="AC603" s="161"/>
    </row>
    <row r="604" spans="1:29" ht="18" customHeight="1" thickBot="1" x14ac:dyDescent="0.25">
      <c r="A604" s="200"/>
      <c r="B604" s="216"/>
      <c r="C604" s="216"/>
      <c r="D604" s="216"/>
      <c r="E604" s="216"/>
      <c r="F604" s="216"/>
      <c r="G604" s="216"/>
      <c r="H604" s="216"/>
      <c r="I604" s="216"/>
      <c r="J604" s="216"/>
      <c r="K604" s="216"/>
      <c r="L604" s="202"/>
      <c r="M604" s="161"/>
      <c r="N604" s="178"/>
      <c r="O604" s="179" t="s">
        <v>118</v>
      </c>
      <c r="P604" s="179"/>
      <c r="Q604" s="179"/>
      <c r="R604" s="179" t="str">
        <f t="shared" ref="R604:R605" si="173">IF(Q604="","",R603-Q604)</f>
        <v/>
      </c>
      <c r="S604" s="159"/>
      <c r="T604" s="179" t="s">
        <v>118</v>
      </c>
      <c r="U604" s="185">
        <f t="shared" si="172"/>
        <v>0</v>
      </c>
      <c r="V604" s="181"/>
      <c r="W604" s="185">
        <f t="shared" si="170"/>
        <v>0</v>
      </c>
      <c r="X604" s="181"/>
      <c r="Y604" s="185">
        <f t="shared" si="171"/>
        <v>0</v>
      </c>
      <c r="Z604" s="159"/>
      <c r="AA604" s="161"/>
      <c r="AB604" s="161"/>
      <c r="AC604" s="161"/>
    </row>
    <row r="605" spans="1:29" ht="18" customHeight="1" thickBot="1" x14ac:dyDescent="0.2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61"/>
      <c r="N605" s="178"/>
      <c r="O605" s="179" t="s">
        <v>119</v>
      </c>
      <c r="P605" s="179"/>
      <c r="Q605" s="179"/>
      <c r="R605" s="179" t="str">
        <f t="shared" si="173"/>
        <v/>
      </c>
      <c r="S605" s="159"/>
      <c r="T605" s="179" t="s">
        <v>119</v>
      </c>
      <c r="U605" s="185" t="str">
        <f>IF($J$1="October",Y604,"")</f>
        <v/>
      </c>
      <c r="V605" s="181"/>
      <c r="W605" s="185"/>
      <c r="X605" s="181"/>
      <c r="Y605" s="185"/>
      <c r="Z605" s="159"/>
      <c r="AA605" s="161"/>
      <c r="AB605" s="161"/>
      <c r="AC605" s="161"/>
    </row>
    <row r="606" spans="1:29" ht="18" customHeight="1" x14ac:dyDescent="0.2">
      <c r="A606" s="456" t="s">
        <v>89</v>
      </c>
      <c r="B606" s="437"/>
      <c r="C606" s="437"/>
      <c r="D606" s="437"/>
      <c r="E606" s="437"/>
      <c r="F606" s="437"/>
      <c r="G606" s="437"/>
      <c r="H606" s="437"/>
      <c r="I606" s="437"/>
      <c r="J606" s="437"/>
      <c r="K606" s="437"/>
      <c r="L606" s="438"/>
      <c r="M606" s="161"/>
      <c r="N606" s="178"/>
      <c r="O606" s="179" t="s">
        <v>120</v>
      </c>
      <c r="P606" s="179"/>
      <c r="Q606" s="179"/>
      <c r="R606" s="179">
        <v>0</v>
      </c>
      <c r="S606" s="159"/>
      <c r="T606" s="179" t="s">
        <v>120</v>
      </c>
      <c r="U606" s="185"/>
      <c r="V606" s="181"/>
      <c r="W606" s="185"/>
      <c r="X606" s="181"/>
      <c r="Y606" s="185"/>
      <c r="Z606" s="159"/>
      <c r="AA606" s="161"/>
      <c r="AB606" s="161"/>
      <c r="AC606" s="161"/>
    </row>
    <row r="607" spans="1:29" ht="18" customHeight="1" x14ac:dyDescent="0.2">
      <c r="A607" s="166"/>
      <c r="B607" s="152"/>
      <c r="C607" s="443" t="s">
        <v>201</v>
      </c>
      <c r="D607" s="435"/>
      <c r="E607" s="435"/>
      <c r="F607" s="435"/>
      <c r="G607" s="167" t="str">
        <f>$J$1</f>
        <v>August</v>
      </c>
      <c r="H607" s="444">
        <f>$K$1</f>
        <v>2024</v>
      </c>
      <c r="I607" s="435"/>
      <c r="J607" s="152"/>
      <c r="K607" s="168"/>
      <c r="L607" s="169"/>
      <c r="M607" s="161"/>
      <c r="N607" s="178"/>
      <c r="O607" s="179" t="s">
        <v>121</v>
      </c>
      <c r="P607" s="179"/>
      <c r="Q607" s="179"/>
      <c r="R607" s="179">
        <v>0</v>
      </c>
      <c r="S607" s="159"/>
      <c r="T607" s="179" t="s">
        <v>121</v>
      </c>
      <c r="U607" s="185"/>
      <c r="V607" s="181"/>
      <c r="W607" s="185"/>
      <c r="X607" s="181"/>
      <c r="Y607" s="185"/>
      <c r="Z607" s="159"/>
      <c r="AA607" s="161"/>
      <c r="AB607" s="161"/>
      <c r="AC607" s="161"/>
    </row>
    <row r="608" spans="1:29" ht="18" customHeight="1" thickBot="1" x14ac:dyDescent="0.25">
      <c r="A608" s="166"/>
      <c r="B608" s="152"/>
      <c r="C608" s="152"/>
      <c r="D608" s="175"/>
      <c r="E608" s="175"/>
      <c r="F608" s="175"/>
      <c r="G608" s="175"/>
      <c r="H608" s="175"/>
      <c r="I608" s="152"/>
      <c r="J608" s="176" t="s">
        <v>99</v>
      </c>
      <c r="K608" s="154">
        <f>45000+5000</f>
        <v>50000</v>
      </c>
      <c r="L608" s="177"/>
      <c r="M608" s="161"/>
      <c r="N608" s="217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159"/>
      <c r="AA608" s="161"/>
      <c r="AB608" s="161"/>
      <c r="AC608" s="161"/>
    </row>
    <row r="609" spans="1:29" ht="18" customHeight="1" thickBot="1" x14ac:dyDescent="0.25">
      <c r="A609" s="166"/>
      <c r="B609" s="152" t="s">
        <v>101</v>
      </c>
      <c r="C609" s="151" t="s">
        <v>202</v>
      </c>
      <c r="D609" s="152"/>
      <c r="E609" s="152"/>
      <c r="F609" s="152"/>
      <c r="G609" s="152"/>
      <c r="H609" s="182"/>
      <c r="I609" s="175"/>
      <c r="J609" s="152"/>
      <c r="K609" s="152"/>
      <c r="L609" s="183"/>
      <c r="M609" s="161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  <c r="AA609" s="161"/>
      <c r="AB609" s="161"/>
      <c r="AC609" s="161"/>
    </row>
    <row r="610" spans="1:29" ht="18" customHeight="1" x14ac:dyDescent="0.2">
      <c r="A610" s="166"/>
      <c r="B610" s="187" t="s">
        <v>103</v>
      </c>
      <c r="C610" s="224"/>
      <c r="D610" s="152"/>
      <c r="E610" s="152"/>
      <c r="F610" s="439" t="s">
        <v>91</v>
      </c>
      <c r="G610" s="413"/>
      <c r="H610" s="152"/>
      <c r="I610" s="439" t="s">
        <v>104</v>
      </c>
      <c r="J610" s="412"/>
      <c r="K610" s="413"/>
      <c r="L610" s="189"/>
      <c r="M610" s="162"/>
      <c r="N610" s="163"/>
      <c r="O610" s="440" t="s">
        <v>90</v>
      </c>
      <c r="P610" s="441"/>
      <c r="Q610" s="441"/>
      <c r="R610" s="442"/>
      <c r="S610" s="164"/>
      <c r="T610" s="440" t="s">
        <v>91</v>
      </c>
      <c r="U610" s="441"/>
      <c r="V610" s="441"/>
      <c r="W610" s="441"/>
      <c r="X610" s="441"/>
      <c r="Y610" s="442"/>
      <c r="Z610" s="165"/>
      <c r="AA610" s="161"/>
      <c r="AB610" s="161"/>
      <c r="AC610" s="161"/>
    </row>
    <row r="611" spans="1:29" ht="18" customHeight="1" x14ac:dyDescent="0.2">
      <c r="A611" s="166"/>
      <c r="B611" s="152"/>
      <c r="C611" s="152"/>
      <c r="D611" s="152"/>
      <c r="E611" s="152"/>
      <c r="F611" s="152"/>
      <c r="G611" s="152"/>
      <c r="H611" s="190"/>
      <c r="I611" s="152"/>
      <c r="J611" s="152"/>
      <c r="K611" s="152"/>
      <c r="L611" s="191"/>
      <c r="M611" s="170"/>
      <c r="N611" s="171"/>
      <c r="O611" s="172" t="s">
        <v>93</v>
      </c>
      <c r="P611" s="172" t="s">
        <v>94</v>
      </c>
      <c r="Q611" s="172" t="s">
        <v>95</v>
      </c>
      <c r="R611" s="172" t="s">
        <v>96</v>
      </c>
      <c r="S611" s="173"/>
      <c r="T611" s="172" t="s">
        <v>93</v>
      </c>
      <c r="U611" s="172" t="s">
        <v>97</v>
      </c>
      <c r="V611" s="172" t="s">
        <v>9</v>
      </c>
      <c r="W611" s="172" t="s">
        <v>10</v>
      </c>
      <c r="X611" s="172" t="s">
        <v>11</v>
      </c>
      <c r="Y611" s="172" t="s">
        <v>98</v>
      </c>
      <c r="Z611" s="174"/>
      <c r="AA611" s="161"/>
      <c r="AB611" s="161"/>
      <c r="AC611" s="161"/>
    </row>
    <row r="612" spans="1:29" ht="18" customHeight="1" x14ac:dyDescent="0.2">
      <c r="A612" s="166"/>
      <c r="B612" s="445" t="s">
        <v>90</v>
      </c>
      <c r="C612" s="413"/>
      <c r="D612" s="152"/>
      <c r="E612" s="152"/>
      <c r="F612" s="192" t="s">
        <v>107</v>
      </c>
      <c r="G612" s="193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0</v>
      </c>
      <c r="H612" s="190"/>
      <c r="I612" s="194">
        <f>IF(C616&gt;=C615,$K$2,C614+C616)</f>
        <v>31</v>
      </c>
      <c r="J612" s="195" t="s">
        <v>108</v>
      </c>
      <c r="K612" s="196">
        <f>K608/$K$2*I612</f>
        <v>50000</v>
      </c>
      <c r="L612" s="197"/>
      <c r="M612" s="161"/>
      <c r="N612" s="178"/>
      <c r="O612" s="179" t="s">
        <v>100</v>
      </c>
      <c r="P612" s="179">
        <v>30</v>
      </c>
      <c r="Q612" s="179">
        <v>1</v>
      </c>
      <c r="R612" s="179"/>
      <c r="S612" s="180"/>
      <c r="T612" s="179" t="s">
        <v>100</v>
      </c>
      <c r="U612" s="181">
        <v>4000</v>
      </c>
      <c r="V612" s="181">
        <f>5000+5000+5000+500</f>
        <v>15500</v>
      </c>
      <c r="W612" s="181">
        <f>V612+U612</f>
        <v>19500</v>
      </c>
      <c r="X612" s="181">
        <v>10000</v>
      </c>
      <c r="Y612" s="181">
        <f>W612-X612</f>
        <v>9500</v>
      </c>
      <c r="Z612" s="174"/>
      <c r="AA612" s="161"/>
      <c r="AB612" s="161"/>
      <c r="AC612" s="161"/>
    </row>
    <row r="613" spans="1:29" ht="18" customHeight="1" x14ac:dyDescent="0.2">
      <c r="A613" s="166"/>
      <c r="B613" s="198"/>
      <c r="C613" s="198"/>
      <c r="D613" s="152"/>
      <c r="E613" s="152"/>
      <c r="F613" s="192" t="s">
        <v>9</v>
      </c>
      <c r="G613" s="193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0</v>
      </c>
      <c r="H613" s="190"/>
      <c r="I613" s="214">
        <v>14</v>
      </c>
      <c r="J613" s="195" t="s">
        <v>110</v>
      </c>
      <c r="K613" s="193">
        <f>K608/$K$2/8*I613</f>
        <v>2822.5806451612907</v>
      </c>
      <c r="L613" s="199"/>
      <c r="M613" s="162"/>
      <c r="N613" s="184"/>
      <c r="O613" s="179" t="s">
        <v>102</v>
      </c>
      <c r="P613" s="179">
        <v>28</v>
      </c>
      <c r="Q613" s="179">
        <v>1</v>
      </c>
      <c r="R613" s="179"/>
      <c r="S613" s="159"/>
      <c r="T613" s="179" t="s">
        <v>102</v>
      </c>
      <c r="U613" s="185">
        <f t="shared" ref="U613:U614" si="174">Y612</f>
        <v>9500</v>
      </c>
      <c r="V613" s="181">
        <f>4000+3000</f>
        <v>7000</v>
      </c>
      <c r="W613" s="185">
        <f t="shared" ref="W613:W623" si="175">IF(U613="","",U613+V613)</f>
        <v>16500</v>
      </c>
      <c r="X613" s="181">
        <v>10000</v>
      </c>
      <c r="Y613" s="185">
        <f t="shared" ref="Y613:Y623" si="176">IF(W613="","",W613-X613)</f>
        <v>6500</v>
      </c>
      <c r="Z613" s="186"/>
      <c r="AA613" s="161"/>
      <c r="AB613" s="161"/>
      <c r="AC613" s="161"/>
    </row>
    <row r="614" spans="1:29" ht="18" customHeight="1" x14ac:dyDescent="0.2">
      <c r="A614" s="166"/>
      <c r="B614" s="192" t="s">
        <v>94</v>
      </c>
      <c r="C614" s="198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0</v>
      </c>
      <c r="D614" s="152"/>
      <c r="E614" s="152"/>
      <c r="F614" s="192" t="s">
        <v>111</v>
      </c>
      <c r="G614" s="193" t="str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/>
      </c>
      <c r="H614" s="190"/>
      <c r="I614" s="446" t="s">
        <v>112</v>
      </c>
      <c r="J614" s="413"/>
      <c r="K614" s="193">
        <f>K612+K613</f>
        <v>52822.580645161288</v>
      </c>
      <c r="L614" s="199"/>
      <c r="M614" s="161"/>
      <c r="N614" s="178"/>
      <c r="O614" s="179" t="s">
        <v>105</v>
      </c>
      <c r="P614" s="179">
        <v>27</v>
      </c>
      <c r="Q614" s="179">
        <v>4</v>
      </c>
      <c r="R614" s="179"/>
      <c r="S614" s="159"/>
      <c r="T614" s="179" t="s">
        <v>105</v>
      </c>
      <c r="U614" s="185">
        <f t="shared" si="174"/>
        <v>6500</v>
      </c>
      <c r="V614" s="181">
        <f>5000+5000+5000+5000</f>
        <v>20000</v>
      </c>
      <c r="W614" s="185">
        <f t="shared" si="175"/>
        <v>26500</v>
      </c>
      <c r="X614" s="181">
        <v>20000</v>
      </c>
      <c r="Y614" s="185">
        <f t="shared" si="176"/>
        <v>6500</v>
      </c>
      <c r="Z614" s="186"/>
      <c r="AA614" s="161"/>
      <c r="AB614" s="161"/>
      <c r="AC614" s="161"/>
    </row>
    <row r="615" spans="1:29" ht="18" customHeight="1" x14ac:dyDescent="0.2">
      <c r="A615" s="166"/>
      <c r="B615" s="192" t="s">
        <v>95</v>
      </c>
      <c r="C615" s="198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0</v>
      </c>
      <c r="D615" s="152"/>
      <c r="E615" s="152"/>
      <c r="F615" s="192" t="s">
        <v>11</v>
      </c>
      <c r="G615" s="193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0</v>
      </c>
      <c r="H615" s="190"/>
      <c r="I615" s="446" t="s">
        <v>114</v>
      </c>
      <c r="J615" s="413"/>
      <c r="K615" s="193">
        <f>G615</f>
        <v>0</v>
      </c>
      <c r="L615" s="199"/>
      <c r="M615" s="161"/>
      <c r="N615" s="178"/>
      <c r="O615" s="179" t="s">
        <v>106</v>
      </c>
      <c r="P615" s="179">
        <v>29</v>
      </c>
      <c r="Q615" s="179">
        <v>1</v>
      </c>
      <c r="R615" s="179"/>
      <c r="S615" s="159"/>
      <c r="T615" s="179" t="s">
        <v>106</v>
      </c>
      <c r="U615" s="185">
        <f>IF($J$1="March","",Y614)</f>
        <v>6500</v>
      </c>
      <c r="V615" s="181">
        <f>5000+5000+3000</f>
        <v>13000</v>
      </c>
      <c r="W615" s="185">
        <f t="shared" si="175"/>
        <v>19500</v>
      </c>
      <c r="X615" s="181">
        <v>15000</v>
      </c>
      <c r="Y615" s="185">
        <f t="shared" si="176"/>
        <v>4500</v>
      </c>
      <c r="Z615" s="186"/>
      <c r="AA615" s="161"/>
      <c r="AB615" s="161"/>
      <c r="AC615" s="161"/>
    </row>
    <row r="616" spans="1:29" ht="18" customHeight="1" x14ac:dyDescent="0.2">
      <c r="A616" s="166"/>
      <c r="B616" s="215" t="s">
        <v>116</v>
      </c>
      <c r="C616" s="198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0</v>
      </c>
      <c r="D616" s="152"/>
      <c r="E616" s="152"/>
      <c r="F616" s="225" t="s">
        <v>169</v>
      </c>
      <c r="G616" s="193" t="str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/>
      </c>
      <c r="H616" s="152"/>
      <c r="I616" s="439" t="s">
        <v>13</v>
      </c>
      <c r="J616" s="413"/>
      <c r="K616" s="37">
        <f>K614-K615</f>
        <v>52822.580645161288</v>
      </c>
      <c r="L616" s="183"/>
      <c r="M616" s="161"/>
      <c r="N616" s="178"/>
      <c r="O616" s="179" t="s">
        <v>109</v>
      </c>
      <c r="P616" s="179">
        <v>24</v>
      </c>
      <c r="Q616" s="179">
        <v>7</v>
      </c>
      <c r="R616" s="179"/>
      <c r="S616" s="159"/>
      <c r="T616" s="179" t="s">
        <v>109</v>
      </c>
      <c r="U616" s="185">
        <f>Y615</f>
        <v>4500</v>
      </c>
      <c r="V616" s="181">
        <f>10000+1000</f>
        <v>11000</v>
      </c>
      <c r="W616" s="185">
        <f t="shared" si="175"/>
        <v>15500</v>
      </c>
      <c r="X616" s="181">
        <v>10000</v>
      </c>
      <c r="Y616" s="185">
        <f t="shared" si="176"/>
        <v>5500</v>
      </c>
      <c r="Z616" s="186"/>
      <c r="AA616" s="161"/>
      <c r="AB616" s="161"/>
      <c r="AC616" s="161"/>
    </row>
    <row r="617" spans="1:29" ht="18" customHeight="1" x14ac:dyDescent="0.2">
      <c r="A617" s="166"/>
      <c r="B617" s="152"/>
      <c r="C617" s="152"/>
      <c r="D617" s="152"/>
      <c r="E617" s="152"/>
      <c r="F617" s="152"/>
      <c r="G617" s="152"/>
      <c r="H617" s="152"/>
      <c r="I617" s="434"/>
      <c r="J617" s="435"/>
      <c r="K617" s="154"/>
      <c r="L617" s="189"/>
      <c r="M617" s="161"/>
      <c r="N617" s="178"/>
      <c r="O617" s="179" t="s">
        <v>85</v>
      </c>
      <c r="P617" s="179">
        <v>25</v>
      </c>
      <c r="Q617" s="179">
        <v>5</v>
      </c>
      <c r="R617" s="179"/>
      <c r="S617" s="159"/>
      <c r="T617" s="179" t="s">
        <v>85</v>
      </c>
      <c r="U617" s="185">
        <f>IF($J$1="May","",Y616)</f>
        <v>5500</v>
      </c>
      <c r="V617" s="181">
        <v>10000</v>
      </c>
      <c r="W617" s="185">
        <f t="shared" si="175"/>
        <v>15500</v>
      </c>
      <c r="X617" s="181">
        <v>10000</v>
      </c>
      <c r="Y617" s="185">
        <f t="shared" si="176"/>
        <v>5500</v>
      </c>
      <c r="Z617" s="186"/>
      <c r="AA617" s="161"/>
      <c r="AB617" s="161"/>
      <c r="AC617" s="161"/>
    </row>
    <row r="618" spans="1:29" ht="18" customHeight="1" x14ac:dyDescent="0.3">
      <c r="A618" s="166"/>
      <c r="B618" s="150"/>
      <c r="C618" s="150"/>
      <c r="D618" s="150"/>
      <c r="E618" s="150"/>
      <c r="F618" s="150"/>
      <c r="G618" s="150"/>
      <c r="H618" s="150"/>
      <c r="I618" s="434"/>
      <c r="J618" s="435"/>
      <c r="K618" s="154"/>
      <c r="L618" s="189"/>
      <c r="M618" s="161"/>
      <c r="N618" s="178"/>
      <c r="O618" s="179" t="s">
        <v>113</v>
      </c>
      <c r="P618" s="179">
        <v>31</v>
      </c>
      <c r="Q618" s="179">
        <v>7</v>
      </c>
      <c r="R618" s="179">
        <f>R617-Q618</f>
        <v>-7</v>
      </c>
      <c r="S618" s="159"/>
      <c r="T618" s="179" t="s">
        <v>113</v>
      </c>
      <c r="U618" s="185">
        <f>IF($J$1="June","",Y617)</f>
        <v>5500</v>
      </c>
      <c r="V618" s="181">
        <v>15000</v>
      </c>
      <c r="W618" s="185">
        <f t="shared" si="175"/>
        <v>20500</v>
      </c>
      <c r="X618" s="264">
        <v>5000</v>
      </c>
      <c r="Y618" s="185">
        <f t="shared" si="176"/>
        <v>15500</v>
      </c>
      <c r="Z618" s="186"/>
      <c r="AA618" s="161"/>
      <c r="AB618" s="161"/>
      <c r="AC618" s="161"/>
    </row>
    <row r="619" spans="1:29" ht="18" customHeight="1" x14ac:dyDescent="0.3">
      <c r="A619" s="166"/>
      <c r="B619" s="150"/>
      <c r="C619" s="150"/>
      <c r="D619" s="150"/>
      <c r="E619" s="150"/>
      <c r="F619" s="150"/>
      <c r="G619" s="150"/>
      <c r="H619" s="150"/>
      <c r="I619" s="150"/>
      <c r="J619" s="150"/>
      <c r="K619" s="150"/>
      <c r="L619" s="189"/>
      <c r="M619" s="161"/>
      <c r="N619" s="178"/>
      <c r="O619" s="179" t="s">
        <v>115</v>
      </c>
      <c r="P619" s="208"/>
      <c r="Q619" s="208"/>
      <c r="R619" s="179">
        <v>0</v>
      </c>
      <c r="S619" s="159"/>
      <c r="T619" s="179" t="s">
        <v>115</v>
      </c>
      <c r="U619" s="185"/>
      <c r="V619" s="181"/>
      <c r="W619" s="185" t="str">
        <f t="shared" si="175"/>
        <v/>
      </c>
      <c r="X619" s="223"/>
      <c r="Y619" s="185" t="str">
        <f t="shared" si="176"/>
        <v/>
      </c>
      <c r="Z619" s="186"/>
      <c r="AA619" s="161"/>
      <c r="AB619" s="161"/>
      <c r="AC619" s="161"/>
    </row>
    <row r="620" spans="1:29" ht="18" customHeight="1" thickBot="1" x14ac:dyDescent="0.25">
      <c r="A620" s="200"/>
      <c r="B620" s="216"/>
      <c r="C620" s="216"/>
      <c r="D620" s="216"/>
      <c r="E620" s="216"/>
      <c r="F620" s="216"/>
      <c r="G620" s="216"/>
      <c r="H620" s="216"/>
      <c r="I620" s="216"/>
      <c r="J620" s="216"/>
      <c r="K620" s="216"/>
      <c r="L620" s="202"/>
      <c r="M620" s="161"/>
      <c r="N620" s="178"/>
      <c r="O620" s="179" t="s">
        <v>118</v>
      </c>
      <c r="P620" s="179"/>
      <c r="Q620" s="179"/>
      <c r="R620" s="179">
        <f>R619-Q620</f>
        <v>0</v>
      </c>
      <c r="S620" s="159"/>
      <c r="T620" s="179" t="s">
        <v>118</v>
      </c>
      <c r="U620" s="185"/>
      <c r="V620" s="181"/>
      <c r="W620" s="185" t="str">
        <f t="shared" si="175"/>
        <v/>
      </c>
      <c r="X620" s="223"/>
      <c r="Y620" s="185" t="str">
        <f t="shared" si="176"/>
        <v/>
      </c>
      <c r="Z620" s="186"/>
      <c r="AA620" s="161"/>
      <c r="AB620" s="161"/>
      <c r="AC620" s="161"/>
    </row>
    <row r="621" spans="1:29" ht="18" customHeight="1" thickBot="1" x14ac:dyDescent="0.25">
      <c r="A621" s="166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89"/>
      <c r="M621" s="161"/>
      <c r="N621" s="178"/>
      <c r="O621" s="179" t="s">
        <v>119</v>
      </c>
      <c r="P621" s="179"/>
      <c r="Q621" s="179"/>
      <c r="R621" s="179">
        <v>0</v>
      </c>
      <c r="S621" s="159"/>
      <c r="T621" s="179" t="s">
        <v>119</v>
      </c>
      <c r="U621" s="185"/>
      <c r="V621" s="181"/>
      <c r="W621" s="185" t="str">
        <f t="shared" si="175"/>
        <v/>
      </c>
      <c r="X621" s="181"/>
      <c r="Y621" s="185" t="str">
        <f t="shared" si="176"/>
        <v/>
      </c>
      <c r="Z621" s="186"/>
      <c r="AA621" s="161"/>
      <c r="AB621" s="161"/>
      <c r="AC621" s="161"/>
    </row>
    <row r="622" spans="1:29" ht="18" customHeight="1" x14ac:dyDescent="0.2">
      <c r="A622" s="456" t="s">
        <v>89</v>
      </c>
      <c r="B622" s="437"/>
      <c r="C622" s="437"/>
      <c r="D622" s="437"/>
      <c r="E622" s="437"/>
      <c r="F622" s="437"/>
      <c r="G622" s="437"/>
      <c r="H622" s="437"/>
      <c r="I622" s="437"/>
      <c r="J622" s="437"/>
      <c r="K622" s="437"/>
      <c r="L622" s="438"/>
      <c r="M622" s="161"/>
      <c r="N622" s="178"/>
      <c r="O622" s="179" t="s">
        <v>120</v>
      </c>
      <c r="P622" s="179"/>
      <c r="Q622" s="179"/>
      <c r="R622" s="179">
        <v>0</v>
      </c>
      <c r="S622" s="159"/>
      <c r="T622" s="179" t="s">
        <v>120</v>
      </c>
      <c r="U622" s="185"/>
      <c r="V622" s="181"/>
      <c r="W622" s="185" t="str">
        <f t="shared" si="175"/>
        <v/>
      </c>
      <c r="X622" s="181"/>
      <c r="Y622" s="185" t="str">
        <f t="shared" si="176"/>
        <v/>
      </c>
      <c r="Z622" s="186"/>
      <c r="AA622" s="161"/>
      <c r="AB622" s="161"/>
      <c r="AC622" s="161"/>
    </row>
    <row r="623" spans="1:29" ht="18" customHeight="1" x14ac:dyDescent="0.2">
      <c r="A623" s="166"/>
      <c r="B623" s="152"/>
      <c r="C623" s="443" t="s">
        <v>203</v>
      </c>
      <c r="D623" s="435"/>
      <c r="E623" s="435"/>
      <c r="F623" s="435"/>
      <c r="G623" s="167" t="str">
        <f>$J$1</f>
        <v>August</v>
      </c>
      <c r="H623" s="444">
        <f>$K$1</f>
        <v>2024</v>
      </c>
      <c r="I623" s="435"/>
      <c r="J623" s="152"/>
      <c r="K623" s="168"/>
      <c r="L623" s="169"/>
      <c r="M623" s="161"/>
      <c r="N623" s="178"/>
      <c r="O623" s="179" t="s">
        <v>121</v>
      </c>
      <c r="P623" s="179"/>
      <c r="Q623" s="179"/>
      <c r="R623" s="179">
        <f>R622-Q623</f>
        <v>0</v>
      </c>
      <c r="S623" s="159"/>
      <c r="T623" s="179" t="s">
        <v>121</v>
      </c>
      <c r="U623" s="185"/>
      <c r="V623" s="181"/>
      <c r="W623" s="185" t="str">
        <f t="shared" si="175"/>
        <v/>
      </c>
      <c r="X623" s="181"/>
      <c r="Y623" s="185" t="str">
        <f t="shared" si="176"/>
        <v/>
      </c>
      <c r="Z623" s="186"/>
      <c r="AA623" s="161"/>
      <c r="AB623" s="161"/>
      <c r="AC623" s="161"/>
    </row>
    <row r="624" spans="1:29" ht="18" customHeight="1" thickBot="1" x14ac:dyDescent="0.25">
      <c r="A624" s="166"/>
      <c r="B624" s="152"/>
      <c r="C624" s="152"/>
      <c r="D624" s="175"/>
      <c r="E624" s="175"/>
      <c r="F624" s="175"/>
      <c r="G624" s="175"/>
      <c r="H624" s="175"/>
      <c r="I624" s="152"/>
      <c r="J624" s="176" t="s">
        <v>99</v>
      </c>
      <c r="K624" s="154">
        <f>22000+3000</f>
        <v>25000</v>
      </c>
      <c r="L624" s="177"/>
      <c r="M624" s="161"/>
      <c r="N624" s="217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21"/>
      <c r="AA624" s="161"/>
      <c r="AB624" s="161"/>
      <c r="AC624" s="161"/>
    </row>
    <row r="625" spans="1:29" ht="18" customHeight="1" thickBot="1" x14ac:dyDescent="0.25">
      <c r="A625" s="166"/>
      <c r="B625" s="152" t="s">
        <v>101</v>
      </c>
      <c r="C625" s="151" t="s">
        <v>204</v>
      </c>
      <c r="D625" s="152"/>
      <c r="E625" s="152"/>
      <c r="F625" s="152"/>
      <c r="G625" s="152"/>
      <c r="H625" s="182"/>
      <c r="I625" s="175"/>
      <c r="J625" s="152"/>
      <c r="K625" s="152"/>
      <c r="L625" s="183"/>
      <c r="M625" s="161"/>
      <c r="N625" s="178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222"/>
      <c r="AA625" s="161"/>
      <c r="AB625" s="161"/>
      <c r="AC625" s="161"/>
    </row>
    <row r="626" spans="1:29" ht="18" customHeight="1" x14ac:dyDescent="0.2">
      <c r="A626" s="166"/>
      <c r="B626" s="187" t="s">
        <v>103</v>
      </c>
      <c r="C626" s="151"/>
      <c r="D626" s="152"/>
      <c r="E626" s="152"/>
      <c r="F626" s="439" t="s">
        <v>91</v>
      </c>
      <c r="G626" s="413"/>
      <c r="H626" s="152"/>
      <c r="I626" s="439" t="s">
        <v>104</v>
      </c>
      <c r="J626" s="412"/>
      <c r="K626" s="413"/>
      <c r="L626" s="189"/>
      <c r="M626" s="162"/>
      <c r="N626" s="163"/>
      <c r="O626" s="440" t="s">
        <v>90</v>
      </c>
      <c r="P626" s="441"/>
      <c r="Q626" s="441"/>
      <c r="R626" s="442"/>
      <c r="S626" s="164"/>
      <c r="T626" s="440" t="s">
        <v>91</v>
      </c>
      <c r="U626" s="441"/>
      <c r="V626" s="441"/>
      <c r="W626" s="441"/>
      <c r="X626" s="441"/>
      <c r="Y626" s="442"/>
      <c r="Z626" s="165"/>
      <c r="AA626" s="161"/>
      <c r="AB626" s="161"/>
      <c r="AC626" s="161"/>
    </row>
    <row r="627" spans="1:29" ht="18" customHeight="1" x14ac:dyDescent="0.2">
      <c r="A627" s="166"/>
      <c r="B627" s="152"/>
      <c r="C627" s="152"/>
      <c r="D627" s="152"/>
      <c r="E627" s="152"/>
      <c r="F627" s="152"/>
      <c r="G627" s="152"/>
      <c r="H627" s="190"/>
      <c r="I627" s="152"/>
      <c r="J627" s="152"/>
      <c r="K627" s="152"/>
      <c r="L627" s="191"/>
      <c r="M627" s="170"/>
      <c r="N627" s="171"/>
      <c r="O627" s="172" t="s">
        <v>93</v>
      </c>
      <c r="P627" s="172" t="s">
        <v>94</v>
      </c>
      <c r="Q627" s="172" t="s">
        <v>95</v>
      </c>
      <c r="R627" s="172" t="s">
        <v>96</v>
      </c>
      <c r="S627" s="173"/>
      <c r="T627" s="172" t="s">
        <v>93</v>
      </c>
      <c r="U627" s="172" t="s">
        <v>97</v>
      </c>
      <c r="V627" s="172" t="s">
        <v>9</v>
      </c>
      <c r="W627" s="172" t="s">
        <v>10</v>
      </c>
      <c r="X627" s="172" t="s">
        <v>11</v>
      </c>
      <c r="Y627" s="172" t="s">
        <v>98</v>
      </c>
      <c r="Z627" s="174"/>
      <c r="AA627" s="161"/>
      <c r="AB627" s="161"/>
      <c r="AC627" s="161"/>
    </row>
    <row r="628" spans="1:29" ht="18" customHeight="1" x14ac:dyDescent="0.2">
      <c r="A628" s="166"/>
      <c r="B628" s="445" t="s">
        <v>90</v>
      </c>
      <c r="C628" s="413"/>
      <c r="D628" s="152"/>
      <c r="E628" s="152"/>
      <c r="F628" s="192" t="s">
        <v>107</v>
      </c>
      <c r="G628" s="193">
        <f>IF($J$1="January",U628,IF($J$1="February",U629,IF($J$1="March",U630,IF($J$1="April",U631,IF($J$1="May",U632,IF($J$1="June",U633,IF($J$1="July",U634,IF($J$1="August",U635,IF($J$1="August",U635,IF($J$1="September",U636,IF($J$1="October",U637,IF($J$1="November",U638,IF($J$1="December",U639)))))))))))))</f>
        <v>0</v>
      </c>
      <c r="H628" s="190"/>
      <c r="I628" s="194">
        <f>IF(C632&gt;0,$K$2,C630)</f>
        <v>0</v>
      </c>
      <c r="J628" s="195" t="s">
        <v>108</v>
      </c>
      <c r="K628" s="196">
        <f>K624/$K$2*I628</f>
        <v>0</v>
      </c>
      <c r="L628" s="197"/>
      <c r="M628" s="161"/>
      <c r="N628" s="178"/>
      <c r="O628" s="179" t="s">
        <v>100</v>
      </c>
      <c r="P628" s="179">
        <v>24</v>
      </c>
      <c r="Q628" s="179">
        <v>7</v>
      </c>
      <c r="R628" s="179"/>
      <c r="S628" s="180"/>
      <c r="T628" s="179" t="s">
        <v>100</v>
      </c>
      <c r="U628" s="181"/>
      <c r="V628" s="181"/>
      <c r="W628" s="181"/>
      <c r="X628" s="181"/>
      <c r="Y628" s="181"/>
      <c r="Z628" s="174"/>
      <c r="AA628" s="161"/>
      <c r="AB628" s="161"/>
      <c r="AC628" s="161"/>
    </row>
    <row r="629" spans="1:29" ht="18" customHeight="1" x14ac:dyDescent="0.2">
      <c r="A629" s="166"/>
      <c r="B629" s="198"/>
      <c r="C629" s="198"/>
      <c r="D629" s="152"/>
      <c r="E629" s="152"/>
      <c r="F629" s="192" t="s">
        <v>9</v>
      </c>
      <c r="G629" s="193">
        <f>IF($J$1="January",V628,IF($J$1="February",V629,IF($J$1="March",V630,IF($J$1="April",V631,IF($J$1="May",V632,IF($J$1="June",V633,IF($J$1="July",V634,IF($J$1="August",V635,IF($J$1="August",V635,IF($J$1="September",V636,IF($J$1="October",V637,IF($J$1="November",V638,IF($J$1="December",V639)))))))))))))</f>
        <v>0</v>
      </c>
      <c r="H629" s="190"/>
      <c r="I629" s="214">
        <v>128</v>
      </c>
      <c r="J629" s="195" t="s">
        <v>110</v>
      </c>
      <c r="K629" s="193">
        <f>K624/$K$2/8*I629</f>
        <v>12903.225806451614</v>
      </c>
      <c r="L629" s="199"/>
      <c r="M629" s="162"/>
      <c r="N629" s="184"/>
      <c r="O629" s="179" t="s">
        <v>102</v>
      </c>
      <c r="P629" s="179">
        <v>26</v>
      </c>
      <c r="Q629" s="179">
        <v>3</v>
      </c>
      <c r="R629" s="226"/>
      <c r="S629" s="159"/>
      <c r="T629" s="179" t="s">
        <v>102</v>
      </c>
      <c r="U629" s="185"/>
      <c r="V629" s="181"/>
      <c r="W629" s="185"/>
      <c r="X629" s="181"/>
      <c r="Y629" s="185"/>
      <c r="Z629" s="186"/>
      <c r="AA629" s="161"/>
      <c r="AB629" s="161"/>
      <c r="AC629" s="161"/>
    </row>
    <row r="630" spans="1:29" ht="18" customHeight="1" x14ac:dyDescent="0.2">
      <c r="A630" s="166"/>
      <c r="B630" s="192" t="s">
        <v>94</v>
      </c>
      <c r="C630" s="198">
        <f>IF($J$1="January",P628,IF($J$1="February",P629,IF($J$1="March",P630,IF($J$1="April",P631,IF($J$1="May",P632,IF($J$1="June",P633,IF($J$1="July",P634,IF($J$1="August",P635,IF($J$1="August",P635,IF($J$1="September",P636,IF($J$1="October",P637,IF($J$1="November",P638,IF($J$1="December",P639)))))))))))))</f>
        <v>0</v>
      </c>
      <c r="D630" s="152"/>
      <c r="E630" s="152"/>
      <c r="F630" s="192" t="s">
        <v>111</v>
      </c>
      <c r="G630" s="193">
        <f>IF($J$1="January",W628,IF($J$1="February",W629,IF($J$1="March",W630,IF($J$1="April",W631,IF($J$1="May",W632,IF($J$1="June",W633,IF($J$1="July",W634,IF($J$1="August",W635,IF($J$1="August",W635,IF($J$1="September",W636,IF($J$1="October",W637,IF($J$1="November",W638,IF($J$1="December",W639)))))))))))))</f>
        <v>0</v>
      </c>
      <c r="H630" s="190"/>
      <c r="I630" s="446" t="s">
        <v>112</v>
      </c>
      <c r="J630" s="413"/>
      <c r="K630" s="193">
        <f>K628+K629</f>
        <v>12903.225806451614</v>
      </c>
      <c r="L630" s="199"/>
      <c r="M630" s="161"/>
      <c r="N630" s="178"/>
      <c r="O630" s="179" t="s">
        <v>105</v>
      </c>
      <c r="P630" s="179">
        <v>25</v>
      </c>
      <c r="Q630" s="179">
        <v>6</v>
      </c>
      <c r="R630" s="226"/>
      <c r="S630" s="159"/>
      <c r="T630" s="179" t="s">
        <v>105</v>
      </c>
      <c r="U630" s="185"/>
      <c r="V630" s="181"/>
      <c r="W630" s="185"/>
      <c r="X630" s="181"/>
      <c r="Y630" s="185"/>
      <c r="Z630" s="186"/>
      <c r="AA630" s="161"/>
      <c r="AB630" s="161"/>
      <c r="AC630" s="161"/>
    </row>
    <row r="631" spans="1:29" ht="18" customHeight="1" x14ac:dyDescent="0.2">
      <c r="A631" s="166"/>
      <c r="B631" s="192" t="s">
        <v>95</v>
      </c>
      <c r="C631" s="198">
        <f>IF($J$1="January",Q628,IF($J$1="February",Q629,IF($J$1="March",Q630,IF($J$1="April",Q631,IF($J$1="May",Q632,IF($J$1="June",Q633,IF($J$1="July",Q634,IF($J$1="August",Q635,IF($J$1="August",Q635,IF($J$1="September",Q636,IF($J$1="October",Q637,IF($J$1="November",Q638,IF($J$1="December",Q639)))))))))))))</f>
        <v>0</v>
      </c>
      <c r="D631" s="152"/>
      <c r="E631" s="152"/>
      <c r="F631" s="192" t="s">
        <v>11</v>
      </c>
      <c r="G631" s="193">
        <f>IF($J$1="January",X628,IF($J$1="February",X629,IF($J$1="March",X630,IF($J$1="April",X631,IF($J$1="May",X632,IF($J$1="June",X633,IF($J$1="July",X634,IF($J$1="August",X635,IF($J$1="August",X635,IF($J$1="September",X636,IF($J$1="October",X637,IF($J$1="November",X638,IF($J$1="December",X639)))))))))))))</f>
        <v>0</v>
      </c>
      <c r="H631" s="190"/>
      <c r="I631" s="446" t="s">
        <v>114</v>
      </c>
      <c r="J631" s="413"/>
      <c r="K631" s="193">
        <f>G631</f>
        <v>0</v>
      </c>
      <c r="L631" s="199"/>
      <c r="M631" s="161"/>
      <c r="N631" s="178"/>
      <c r="O631" s="179" t="s">
        <v>106</v>
      </c>
      <c r="P631" s="179">
        <v>29</v>
      </c>
      <c r="Q631" s="179">
        <v>1</v>
      </c>
      <c r="R631" s="179">
        <v>0</v>
      </c>
      <c r="S631" s="159"/>
      <c r="T631" s="179" t="s">
        <v>106</v>
      </c>
      <c r="U631" s="185"/>
      <c r="V631" s="181"/>
      <c r="W631" s="185"/>
      <c r="X631" s="181"/>
      <c r="Y631" s="185"/>
      <c r="Z631" s="186"/>
      <c r="AA631" s="161"/>
      <c r="AB631" s="161"/>
      <c r="AC631" s="161"/>
    </row>
    <row r="632" spans="1:29" ht="18" customHeight="1" x14ac:dyDescent="0.2">
      <c r="A632" s="166"/>
      <c r="B632" s="215" t="s">
        <v>116</v>
      </c>
      <c r="C632" s="198">
        <f>IF($J$1="January",R628,IF($J$1="February",R629,IF($J$1="March",R630,IF($J$1="April",R631,IF($J$1="May",R632,IF($J$1="June",R633,IF($J$1="July",R634,IF($J$1="August",R635,IF($J$1="August",R635,IF($J$1="September",R636,IF($J$1="October",R637,IF($J$1="November",R638,IF($J$1="December",R639)))))))))))))</f>
        <v>0</v>
      </c>
      <c r="D632" s="152"/>
      <c r="E632" s="152"/>
      <c r="F632" s="192" t="s">
        <v>169</v>
      </c>
      <c r="G632" s="193">
        <f>IF($J$1="January",Y628,IF($J$1="February",Y629,IF($J$1="March",Y630,IF($J$1="April",Y631,IF($J$1="May",Y632,IF($J$1="June",Y633,IF($J$1="July",Y634,IF($J$1="August",Y635,IF($J$1="August",Y635,IF($J$1="September",Y636,IF($J$1="October",Y637,IF($J$1="November",Y638,IF($J$1="December",Y639)))))))))))))</f>
        <v>0</v>
      </c>
      <c r="H632" s="152"/>
      <c r="I632" s="439" t="s">
        <v>13</v>
      </c>
      <c r="J632" s="413"/>
      <c r="K632" s="37">
        <f>K630-K631</f>
        <v>12903.225806451614</v>
      </c>
      <c r="L632" s="183"/>
      <c r="M632" s="161"/>
      <c r="N632" s="178"/>
      <c r="O632" s="179" t="s">
        <v>109</v>
      </c>
      <c r="P632" s="179">
        <v>26</v>
      </c>
      <c r="Q632" s="179">
        <v>7</v>
      </c>
      <c r="R632" s="179">
        <v>0</v>
      </c>
      <c r="S632" s="159"/>
      <c r="T632" s="179" t="s">
        <v>109</v>
      </c>
      <c r="U632" s="185"/>
      <c r="V632" s="181"/>
      <c r="W632" s="185"/>
      <c r="X632" s="181"/>
      <c r="Y632" s="185"/>
      <c r="Z632" s="186"/>
      <c r="AA632" s="161"/>
      <c r="AB632" s="161"/>
      <c r="AC632" s="161"/>
    </row>
    <row r="633" spans="1:29" ht="18" customHeight="1" x14ac:dyDescent="0.2">
      <c r="A633" s="166"/>
      <c r="B633" s="152"/>
      <c r="C633" s="152"/>
      <c r="D633" s="152"/>
      <c r="E633" s="152"/>
      <c r="F633" s="152"/>
      <c r="G633" s="152"/>
      <c r="H633" s="152"/>
      <c r="I633" s="434"/>
      <c r="J633" s="435"/>
      <c r="K633" s="154"/>
      <c r="L633" s="189"/>
      <c r="M633" s="161"/>
      <c r="N633" s="178"/>
      <c r="O633" s="179" t="s">
        <v>85</v>
      </c>
      <c r="P633" s="179">
        <v>22</v>
      </c>
      <c r="Q633" s="179">
        <v>8</v>
      </c>
      <c r="R633" s="179">
        <v>0</v>
      </c>
      <c r="S633" s="159"/>
      <c r="T633" s="179" t="s">
        <v>85</v>
      </c>
      <c r="U633" s="185"/>
      <c r="V633" s="181"/>
      <c r="W633" s="185"/>
      <c r="X633" s="181"/>
      <c r="Y633" s="185"/>
      <c r="Z633" s="186"/>
      <c r="AA633" s="161"/>
      <c r="AB633" s="161"/>
      <c r="AC633" s="161"/>
    </row>
    <row r="634" spans="1:29" ht="18" customHeight="1" x14ac:dyDescent="0.3">
      <c r="A634" s="166"/>
      <c r="B634" s="150"/>
      <c r="C634" s="150"/>
      <c r="D634" s="150"/>
      <c r="E634" s="150"/>
      <c r="F634" s="150"/>
      <c r="G634" s="150"/>
      <c r="H634" s="150"/>
      <c r="I634" s="434"/>
      <c r="J634" s="435"/>
      <c r="K634" s="154"/>
      <c r="L634" s="189"/>
      <c r="M634" s="161"/>
      <c r="N634" s="178"/>
      <c r="O634" s="179" t="s">
        <v>113</v>
      </c>
      <c r="P634" s="179">
        <v>28</v>
      </c>
      <c r="Q634" s="179">
        <v>3</v>
      </c>
      <c r="R634" s="179">
        <v>0</v>
      </c>
      <c r="S634" s="159"/>
      <c r="T634" s="179" t="s">
        <v>113</v>
      </c>
      <c r="U634" s="185"/>
      <c r="V634" s="181"/>
      <c r="W634" s="185"/>
      <c r="X634" s="181"/>
      <c r="Y634" s="185"/>
      <c r="Z634" s="186"/>
      <c r="AA634" s="161"/>
      <c r="AB634" s="161"/>
      <c r="AC634" s="161"/>
    </row>
    <row r="635" spans="1:29" ht="18" customHeight="1" x14ac:dyDescent="0.3">
      <c r="A635" s="166"/>
      <c r="B635" s="150"/>
      <c r="C635" s="150"/>
      <c r="D635" s="150"/>
      <c r="E635" s="150"/>
      <c r="F635" s="150"/>
      <c r="G635" s="150"/>
      <c r="H635" s="150"/>
      <c r="I635" s="150"/>
      <c r="J635" s="150"/>
      <c r="K635" s="150"/>
      <c r="L635" s="189"/>
      <c r="M635" s="161"/>
      <c r="N635" s="178"/>
      <c r="O635" s="179" t="s">
        <v>115</v>
      </c>
      <c r="P635" s="208"/>
      <c r="Q635" s="208"/>
      <c r="R635" s="179">
        <v>0</v>
      </c>
      <c r="S635" s="159"/>
      <c r="T635" s="179" t="s">
        <v>115</v>
      </c>
      <c r="U635" s="185"/>
      <c r="V635" s="181"/>
      <c r="W635" s="185"/>
      <c r="X635" s="181"/>
      <c r="Y635" s="185"/>
      <c r="Z635" s="186"/>
      <c r="AA635" s="161"/>
      <c r="AB635" s="161"/>
      <c r="AC635" s="161"/>
    </row>
    <row r="636" spans="1:29" ht="18" customHeight="1" thickBot="1" x14ac:dyDescent="0.25">
      <c r="A636" s="200"/>
      <c r="B636" s="216"/>
      <c r="C636" s="216"/>
      <c r="D636" s="216"/>
      <c r="E636" s="216"/>
      <c r="F636" s="216"/>
      <c r="G636" s="216"/>
      <c r="H636" s="216"/>
      <c r="I636" s="216"/>
      <c r="J636" s="216"/>
      <c r="K636" s="216"/>
      <c r="L636" s="202"/>
      <c r="M636" s="161"/>
      <c r="N636" s="178"/>
      <c r="O636" s="179" t="s">
        <v>118</v>
      </c>
      <c r="P636" s="179"/>
      <c r="Q636" s="179"/>
      <c r="R636" s="179">
        <v>0</v>
      </c>
      <c r="S636" s="159"/>
      <c r="T636" s="179" t="s">
        <v>118</v>
      </c>
      <c r="U636" s="185"/>
      <c r="V636" s="181"/>
      <c r="W636" s="185"/>
      <c r="X636" s="181"/>
      <c r="Y636" s="185"/>
      <c r="Z636" s="186"/>
      <c r="AA636" s="161"/>
      <c r="AB636" s="161"/>
      <c r="AC636" s="161"/>
    </row>
    <row r="637" spans="1:29" ht="18" customHeight="1" thickBot="1" x14ac:dyDescent="0.25">
      <c r="A637" s="166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89"/>
      <c r="M637" s="161"/>
      <c r="N637" s="178"/>
      <c r="O637" s="179" t="s">
        <v>119</v>
      </c>
      <c r="P637" s="179"/>
      <c r="Q637" s="179"/>
      <c r="R637" s="179">
        <v>0</v>
      </c>
      <c r="S637" s="159"/>
      <c r="T637" s="179" t="s">
        <v>119</v>
      </c>
      <c r="U637" s="185"/>
      <c r="V637" s="181"/>
      <c r="W637" s="185"/>
      <c r="X637" s="181"/>
      <c r="Y637" s="185"/>
      <c r="Z637" s="186"/>
      <c r="AA637" s="161"/>
      <c r="AB637" s="161"/>
      <c r="AC637" s="161"/>
    </row>
    <row r="638" spans="1:29" ht="18" customHeight="1" thickBot="1" x14ac:dyDescent="0.25">
      <c r="A638" s="447" t="s">
        <v>89</v>
      </c>
      <c r="B638" s="453"/>
      <c r="C638" s="453"/>
      <c r="D638" s="453"/>
      <c r="E638" s="453"/>
      <c r="F638" s="453"/>
      <c r="G638" s="453"/>
      <c r="H638" s="453"/>
      <c r="I638" s="453"/>
      <c r="J638" s="453"/>
      <c r="K638" s="453"/>
      <c r="L638" s="454"/>
      <c r="M638" s="161"/>
      <c r="N638" s="178"/>
      <c r="O638" s="179" t="s">
        <v>120</v>
      </c>
      <c r="P638" s="179"/>
      <c r="Q638" s="179"/>
      <c r="R638" s="179">
        <v>0</v>
      </c>
      <c r="S638" s="159"/>
      <c r="T638" s="179" t="s">
        <v>120</v>
      </c>
      <c r="U638" s="185">
        <f>IF($J$1="October","",Y637)</f>
        <v>0</v>
      </c>
      <c r="V638" s="181"/>
      <c r="W638" s="185">
        <f t="shared" ref="W638:W639" si="177">IF(U638="","",U638+V638)</f>
        <v>0</v>
      </c>
      <c r="X638" s="181"/>
      <c r="Y638" s="185">
        <f t="shared" ref="Y638:Y639" si="178">IF(W638="","",W638-X638)</f>
        <v>0</v>
      </c>
      <c r="Z638" s="186"/>
      <c r="AA638" s="161"/>
      <c r="AB638" s="161"/>
      <c r="AC638" s="161"/>
    </row>
    <row r="639" spans="1:29" ht="18" customHeight="1" x14ac:dyDescent="0.2">
      <c r="A639" s="166"/>
      <c r="B639" s="152"/>
      <c r="C639" s="443" t="s">
        <v>205</v>
      </c>
      <c r="D639" s="435"/>
      <c r="E639" s="435"/>
      <c r="F639" s="435"/>
      <c r="G639" s="167" t="str">
        <f>$J$1</f>
        <v>August</v>
      </c>
      <c r="H639" s="444">
        <f>$K$1</f>
        <v>2024</v>
      </c>
      <c r="I639" s="435"/>
      <c r="J639" s="152"/>
      <c r="K639" s="168"/>
      <c r="L639" s="169"/>
      <c r="M639" s="161"/>
      <c r="N639" s="178"/>
      <c r="O639" s="179" t="s">
        <v>121</v>
      </c>
      <c r="P639" s="179"/>
      <c r="Q639" s="179"/>
      <c r="R639" s="179">
        <v>0</v>
      </c>
      <c r="S639" s="159"/>
      <c r="T639" s="179" t="s">
        <v>121</v>
      </c>
      <c r="U639" s="185">
        <f>IF($J$1="November","",Y638)</f>
        <v>0</v>
      </c>
      <c r="V639" s="181"/>
      <c r="W639" s="185">
        <f t="shared" si="177"/>
        <v>0</v>
      </c>
      <c r="X639" s="181"/>
      <c r="Y639" s="185">
        <f t="shared" si="178"/>
        <v>0</v>
      </c>
      <c r="Z639" s="186"/>
      <c r="AA639" s="161"/>
      <c r="AB639" s="161"/>
      <c r="AC639" s="161"/>
    </row>
    <row r="640" spans="1:29" ht="18" customHeight="1" thickBot="1" x14ac:dyDescent="0.25">
      <c r="A640" s="166"/>
      <c r="B640" s="152"/>
      <c r="C640" s="152"/>
      <c r="D640" s="175"/>
      <c r="E640" s="175"/>
      <c r="F640" s="175"/>
      <c r="G640" s="175"/>
      <c r="H640" s="175"/>
      <c r="I640" s="152"/>
      <c r="J640" s="176" t="s">
        <v>99</v>
      </c>
      <c r="K640" s="154">
        <v>170000</v>
      </c>
      <c r="L640" s="177"/>
      <c r="M640" s="161"/>
      <c r="N640" s="217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21"/>
      <c r="AA640" s="161"/>
      <c r="AB640" s="161"/>
      <c r="AC640" s="161"/>
    </row>
    <row r="641" spans="1:29" ht="18" customHeight="1" thickBot="1" x14ac:dyDescent="0.25">
      <c r="A641" s="166"/>
      <c r="B641" s="152" t="s">
        <v>101</v>
      </c>
      <c r="C641" s="151" t="s">
        <v>206</v>
      </c>
      <c r="D641" s="152"/>
      <c r="E641" s="152"/>
      <c r="F641" s="152"/>
      <c r="G641" s="152"/>
      <c r="H641" s="182"/>
      <c r="I641" s="175"/>
      <c r="J641" s="152"/>
      <c r="K641" s="152"/>
      <c r="L641" s="183"/>
      <c r="M641" s="161"/>
      <c r="N641" s="178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222"/>
      <c r="AA641" s="161"/>
      <c r="AB641" s="161"/>
      <c r="AC641" s="161"/>
    </row>
    <row r="642" spans="1:29" ht="18" customHeight="1" x14ac:dyDescent="0.2">
      <c r="A642" s="166"/>
      <c r="B642" s="187" t="s">
        <v>103</v>
      </c>
      <c r="C642" s="458">
        <v>45208</v>
      </c>
      <c r="D642" s="435"/>
      <c r="E642" s="459"/>
      <c r="F642" s="439" t="s">
        <v>91</v>
      </c>
      <c r="G642" s="413"/>
      <c r="H642" s="152"/>
      <c r="I642" s="439" t="s">
        <v>104</v>
      </c>
      <c r="J642" s="412"/>
      <c r="K642" s="413"/>
      <c r="L642" s="189"/>
      <c r="M642" s="162"/>
      <c r="N642" s="163"/>
      <c r="O642" s="440" t="s">
        <v>90</v>
      </c>
      <c r="P642" s="441"/>
      <c r="Q642" s="441"/>
      <c r="R642" s="442"/>
      <c r="S642" s="164"/>
      <c r="T642" s="440" t="s">
        <v>91</v>
      </c>
      <c r="U642" s="441"/>
      <c r="V642" s="441"/>
      <c r="W642" s="441"/>
      <c r="X642" s="441"/>
      <c r="Y642" s="442"/>
      <c r="Z642" s="165"/>
      <c r="AA642" s="162"/>
      <c r="AB642" s="161"/>
      <c r="AC642" s="161"/>
    </row>
    <row r="643" spans="1:29" ht="18" customHeight="1" x14ac:dyDescent="0.2">
      <c r="A643" s="166"/>
      <c r="B643" s="152"/>
      <c r="C643" s="152"/>
      <c r="D643" s="152"/>
      <c r="E643" s="152"/>
      <c r="F643" s="152"/>
      <c r="G643" s="152"/>
      <c r="H643" s="190"/>
      <c r="I643" s="152"/>
      <c r="J643" s="152"/>
      <c r="K643" s="152"/>
      <c r="L643" s="191"/>
      <c r="M643" s="170"/>
      <c r="N643" s="171"/>
      <c r="O643" s="172" t="s">
        <v>93</v>
      </c>
      <c r="P643" s="172" t="s">
        <v>94</v>
      </c>
      <c r="Q643" s="172" t="s">
        <v>95</v>
      </c>
      <c r="R643" s="172" t="s">
        <v>96</v>
      </c>
      <c r="S643" s="173"/>
      <c r="T643" s="172" t="s">
        <v>93</v>
      </c>
      <c r="U643" s="172" t="s">
        <v>97</v>
      </c>
      <c r="V643" s="172" t="s">
        <v>9</v>
      </c>
      <c r="W643" s="172" t="s">
        <v>10</v>
      </c>
      <c r="X643" s="172" t="s">
        <v>11</v>
      </c>
      <c r="Y643" s="172" t="s">
        <v>98</v>
      </c>
      <c r="Z643" s="174"/>
      <c r="AA643" s="170"/>
      <c r="AB643" s="161"/>
      <c r="AC643" s="161"/>
    </row>
    <row r="644" spans="1:29" ht="18" customHeight="1" x14ac:dyDescent="0.2">
      <c r="A644" s="166"/>
      <c r="B644" s="445" t="s">
        <v>90</v>
      </c>
      <c r="C644" s="413"/>
      <c r="D644" s="152"/>
      <c r="E644" s="152"/>
      <c r="F644" s="192" t="s">
        <v>107</v>
      </c>
      <c r="G644" s="193">
        <f>IF($J$1="January",U644,IF($J$1="February",U645,IF($J$1="March",U646,IF($J$1="April",U647,IF($J$1="May",U648,IF($J$1="June",U649,IF($J$1="July",U650,IF($J$1="August",U651,IF($J$1="August",U651,IF($J$1="September",U652,IF($J$1="October",U653,IF($J$1="November",U654,IF($J$1="December",U655)))))))))))))</f>
        <v>0</v>
      </c>
      <c r="H644" s="190"/>
      <c r="I644" s="194">
        <f>IF(C648&gt;0,$K$2,C646)</f>
        <v>0</v>
      </c>
      <c r="J644" s="195" t="s">
        <v>108</v>
      </c>
      <c r="K644" s="196">
        <f>K640/$K$2*I644</f>
        <v>0</v>
      </c>
      <c r="L644" s="197"/>
      <c r="M644" s="161"/>
      <c r="N644" s="178"/>
      <c r="O644" s="179" t="s">
        <v>100</v>
      </c>
      <c r="P644" s="179">
        <v>31</v>
      </c>
      <c r="Q644" s="179">
        <v>0</v>
      </c>
      <c r="R644" s="179">
        <v>0</v>
      </c>
      <c r="S644" s="180"/>
      <c r="T644" s="179" t="s">
        <v>100</v>
      </c>
      <c r="U644" s="181"/>
      <c r="V644" s="181"/>
      <c r="W644" s="181">
        <f>V644+U644</f>
        <v>0</v>
      </c>
      <c r="X644" s="181"/>
      <c r="Y644" s="181">
        <f>W644-X644</f>
        <v>0</v>
      </c>
      <c r="Z644" s="174"/>
      <c r="AA644" s="161"/>
      <c r="AB644" s="161"/>
      <c r="AC644" s="161"/>
    </row>
    <row r="645" spans="1:29" ht="18" customHeight="1" x14ac:dyDescent="0.2">
      <c r="A645" s="166"/>
      <c r="B645" s="198"/>
      <c r="C645" s="198"/>
      <c r="D645" s="152"/>
      <c r="E645" s="152"/>
      <c r="F645" s="192" t="s">
        <v>9</v>
      </c>
      <c r="G645" s="193">
        <f>IF($J$1="January",V644,IF($J$1="February",V645,IF($J$1="March",V646,IF($J$1="April",V647,IF($J$1="May",V648,IF($J$1="June",V649,IF($J$1="July",V650,IF($J$1="August",V651,IF($J$1="August",V651,IF($J$1="September",V652,IF($J$1="October",V653,IF($J$1="November",V654,IF($J$1="December",V655)))))))))))))</f>
        <v>0</v>
      </c>
      <c r="H645" s="190"/>
      <c r="I645" s="194"/>
      <c r="J645" s="195" t="s">
        <v>110</v>
      </c>
      <c r="K645" s="193">
        <f>K640/$K$2/8*I645</f>
        <v>0</v>
      </c>
      <c r="L645" s="199"/>
      <c r="M645" s="162"/>
      <c r="N645" s="184"/>
      <c r="O645" s="179" t="s">
        <v>102</v>
      </c>
      <c r="P645" s="179">
        <v>29</v>
      </c>
      <c r="Q645" s="179">
        <v>0</v>
      </c>
      <c r="R645" s="179">
        <f>IF(Q645="","",R644-Q645)</f>
        <v>0</v>
      </c>
      <c r="S645" s="159"/>
      <c r="T645" s="179" t="s">
        <v>102</v>
      </c>
      <c r="U645" s="185">
        <f>Y644</f>
        <v>0</v>
      </c>
      <c r="V645" s="181"/>
      <c r="W645" s="185">
        <f t="shared" ref="W645:W655" si="179">IF(U645="","",U645+V645)</f>
        <v>0</v>
      </c>
      <c r="X645" s="181"/>
      <c r="Y645" s="185">
        <f t="shared" ref="Y645:Y655" si="180">IF(W645="","",W645-X645)</f>
        <v>0</v>
      </c>
      <c r="Z645" s="186"/>
      <c r="AA645" s="162"/>
      <c r="AB645" s="161"/>
      <c r="AC645" s="161"/>
    </row>
    <row r="646" spans="1:29" ht="18" customHeight="1" x14ac:dyDescent="0.2">
      <c r="A646" s="166"/>
      <c r="B646" s="192" t="s">
        <v>94</v>
      </c>
      <c r="C646" s="198">
        <f>IF($J$1="January",P644,IF($J$1="February",P645,IF($J$1="March",P646,IF($J$1="April",P647,IF($J$1="May",P648,IF($J$1="June",P649,IF($J$1="July",P650,IF($J$1="August",P651,IF($J$1="August",P651,IF($J$1="September",P652,IF($J$1="October",P653,IF($J$1="November",P654,IF($J$1="December",P655)))))))))))))</f>
        <v>0</v>
      </c>
      <c r="D646" s="152"/>
      <c r="E646" s="152"/>
      <c r="F646" s="192" t="s">
        <v>111</v>
      </c>
      <c r="G646" s="193">
        <f>IF($J$1="January",W644,IF($J$1="February",W645,IF($J$1="March",W646,IF($J$1="April",W647,IF($J$1="May",W648,IF($J$1="June",W649,IF($J$1="July",W650,IF($J$1="August",W651,IF($J$1="August",W651,IF($J$1="September",W652,IF($J$1="October",W653,IF($J$1="November",W654,IF($J$1="December",W655)))))))))))))</f>
        <v>0</v>
      </c>
      <c r="H646" s="190"/>
      <c r="I646" s="446" t="s">
        <v>112</v>
      </c>
      <c r="J646" s="413"/>
      <c r="K646" s="193">
        <f>K644+K645</f>
        <v>0</v>
      </c>
      <c r="L646" s="199"/>
      <c r="M646" s="161"/>
      <c r="N646" s="178"/>
      <c r="O646" s="179" t="s">
        <v>105</v>
      </c>
      <c r="P646" s="179">
        <v>30</v>
      </c>
      <c r="Q646" s="179">
        <v>1</v>
      </c>
      <c r="R646" s="179">
        <v>0</v>
      </c>
      <c r="S646" s="159"/>
      <c r="T646" s="179" t="s">
        <v>105</v>
      </c>
      <c r="U646" s="185">
        <f t="shared" ref="U646:U647" si="181">IF($J$1="April",Y645,Y645)</f>
        <v>0</v>
      </c>
      <c r="V646" s="181"/>
      <c r="W646" s="185">
        <f t="shared" si="179"/>
        <v>0</v>
      </c>
      <c r="X646" s="181"/>
      <c r="Y646" s="185">
        <f t="shared" si="180"/>
        <v>0</v>
      </c>
      <c r="Z646" s="186"/>
      <c r="AA646" s="161"/>
      <c r="AB646" s="161"/>
      <c r="AC646" s="161"/>
    </row>
    <row r="647" spans="1:29" ht="18" customHeight="1" x14ac:dyDescent="0.2">
      <c r="A647" s="166"/>
      <c r="B647" s="192" t="s">
        <v>95</v>
      </c>
      <c r="C647" s="198">
        <f>IF($J$1="January",Q644,IF($J$1="February",Q645,IF($J$1="March",Q646,IF($J$1="April",Q647,IF($J$1="May",Q648,IF($J$1="June",Q649,IF($J$1="July",Q650,IF($J$1="August",Q651,IF($J$1="August",Q651,IF($J$1="September",Q652,IF($J$1="October",Q653,IF($J$1="November",Q654,IF($J$1="December",Q655)))))))))))))</f>
        <v>0</v>
      </c>
      <c r="D647" s="152"/>
      <c r="E647" s="152"/>
      <c r="F647" s="192" t="s">
        <v>11</v>
      </c>
      <c r="G647" s="193">
        <f>IF($J$1="January",X644,IF($J$1="February",X645,IF($J$1="March",X646,IF($J$1="April",X647,IF($J$1="May",X648,IF($J$1="June",X649,IF($J$1="July",X650,IF($J$1="August",X651,IF($J$1="August",X651,IF($J$1="September",X652,IF($J$1="October",X653,IF($J$1="November",X654,IF($J$1="December",X655)))))))))))))</f>
        <v>0</v>
      </c>
      <c r="H647" s="190"/>
      <c r="I647" s="446" t="s">
        <v>114</v>
      </c>
      <c r="J647" s="413"/>
      <c r="K647" s="193">
        <f>G647</f>
        <v>0</v>
      </c>
      <c r="L647" s="199"/>
      <c r="M647" s="161"/>
      <c r="N647" s="178"/>
      <c r="O647" s="179" t="s">
        <v>106</v>
      </c>
      <c r="P647" s="179">
        <v>30</v>
      </c>
      <c r="Q647" s="179">
        <v>0</v>
      </c>
      <c r="R647" s="179">
        <f t="shared" ref="R647:R649" si="182">IF(Q647="","",R646-Q647)</f>
        <v>0</v>
      </c>
      <c r="S647" s="159"/>
      <c r="T647" s="179" t="s">
        <v>106</v>
      </c>
      <c r="U647" s="185">
        <f t="shared" si="181"/>
        <v>0</v>
      </c>
      <c r="V647" s="181"/>
      <c r="W647" s="185">
        <f t="shared" si="179"/>
        <v>0</v>
      </c>
      <c r="X647" s="181"/>
      <c r="Y647" s="185">
        <f t="shared" si="180"/>
        <v>0</v>
      </c>
      <c r="Z647" s="186"/>
      <c r="AA647" s="161"/>
      <c r="AB647" s="161"/>
      <c r="AC647" s="161"/>
    </row>
    <row r="648" spans="1:29" ht="18" customHeight="1" x14ac:dyDescent="0.2">
      <c r="A648" s="166"/>
      <c r="B648" s="207" t="s">
        <v>116</v>
      </c>
      <c r="C648" s="198">
        <f>IF($J$1="January",R644,IF($J$1="February",R645,IF($J$1="March",R646,IF($J$1="April",R647,IF($J$1="May",R648,IF($J$1="June",R649,IF($J$1="July",R650,IF($J$1="August",R651,IF($J$1="August",R651,IF($J$1="September",R652,IF($J$1="October",R653,IF($J$1="November",R654,IF($J$1="December",R655)))))))))))))</f>
        <v>0</v>
      </c>
      <c r="D648" s="152"/>
      <c r="E648" s="152"/>
      <c r="F648" s="207" t="s">
        <v>117</v>
      </c>
      <c r="G648" s="193">
        <f>IF($J$1="January",Y644,IF($J$1="February",Y645,IF($J$1="March",Y646,IF($J$1="April",Y647,IF($J$1="May",Y648,IF($J$1="June",Y649,IF($J$1="July",Y650,IF($J$1="August",Y651,IF($J$1="August",Y651,IF($J$1="September",Y652,IF($J$1="October",Y653,IF($J$1="November",Y654,IF($J$1="December",Y655)))))))))))))</f>
        <v>0</v>
      </c>
      <c r="H648" s="152"/>
      <c r="I648" s="439" t="s">
        <v>13</v>
      </c>
      <c r="J648" s="413"/>
      <c r="K648" s="37">
        <f>K646-K647</f>
        <v>0</v>
      </c>
      <c r="L648" s="183"/>
      <c r="M648" s="161"/>
      <c r="N648" s="178"/>
      <c r="O648" s="179" t="s">
        <v>109</v>
      </c>
      <c r="P648" s="179">
        <v>31</v>
      </c>
      <c r="Q648" s="179">
        <v>0</v>
      </c>
      <c r="R648" s="179">
        <f t="shared" si="182"/>
        <v>0</v>
      </c>
      <c r="S648" s="159"/>
      <c r="T648" s="179" t="s">
        <v>109</v>
      </c>
      <c r="U648" s="185">
        <f t="shared" ref="U648:U649" si="183">IF($J$1="May",Y647,Y647)</f>
        <v>0</v>
      </c>
      <c r="V648" s="181"/>
      <c r="W648" s="185">
        <f t="shared" si="179"/>
        <v>0</v>
      </c>
      <c r="X648" s="181"/>
      <c r="Y648" s="185">
        <f t="shared" si="180"/>
        <v>0</v>
      </c>
      <c r="Z648" s="186"/>
      <c r="AA648" s="161"/>
      <c r="AB648" s="161"/>
      <c r="AC648" s="161"/>
    </row>
    <row r="649" spans="1:29" ht="18" customHeight="1" x14ac:dyDescent="0.2">
      <c r="A649" s="166"/>
      <c r="B649" s="152"/>
      <c r="C649" s="152"/>
      <c r="D649" s="152"/>
      <c r="E649" s="152"/>
      <c r="F649" s="152"/>
      <c r="G649" s="152"/>
      <c r="H649" s="152"/>
      <c r="I649" s="434"/>
      <c r="J649" s="435"/>
      <c r="K649" s="154"/>
      <c r="L649" s="189"/>
      <c r="M649" s="161"/>
      <c r="N649" s="178"/>
      <c r="O649" s="179" t="s">
        <v>85</v>
      </c>
      <c r="P649" s="179">
        <v>30</v>
      </c>
      <c r="Q649" s="179">
        <v>0</v>
      </c>
      <c r="R649" s="179">
        <f t="shared" si="182"/>
        <v>0</v>
      </c>
      <c r="S649" s="159"/>
      <c r="T649" s="179" t="s">
        <v>85</v>
      </c>
      <c r="U649" s="185">
        <f t="shared" si="183"/>
        <v>0</v>
      </c>
      <c r="V649" s="181"/>
      <c r="W649" s="185">
        <f t="shared" si="179"/>
        <v>0</v>
      </c>
      <c r="X649" s="181"/>
      <c r="Y649" s="185">
        <f t="shared" si="180"/>
        <v>0</v>
      </c>
      <c r="Z649" s="186"/>
      <c r="AA649" s="161"/>
      <c r="AB649" s="161"/>
      <c r="AC649" s="161"/>
    </row>
    <row r="650" spans="1:29" ht="18" customHeight="1" x14ac:dyDescent="0.3">
      <c r="A650" s="166"/>
      <c r="B650" s="150"/>
      <c r="C650" s="150"/>
      <c r="D650" s="150"/>
      <c r="E650" s="150"/>
      <c r="F650" s="175"/>
      <c r="G650" s="150"/>
      <c r="H650" s="150"/>
      <c r="I650" s="434"/>
      <c r="J650" s="435"/>
      <c r="K650" s="154"/>
      <c r="L650" s="189"/>
      <c r="M650" s="161"/>
      <c r="N650" s="178"/>
      <c r="O650" s="179" t="s">
        <v>113</v>
      </c>
      <c r="P650" s="179">
        <v>31</v>
      </c>
      <c r="Q650" s="179"/>
      <c r="R650" s="179">
        <v>0</v>
      </c>
      <c r="S650" s="159"/>
      <c r="T650" s="179" t="s">
        <v>113</v>
      </c>
      <c r="U650" s="185">
        <f t="shared" ref="U650:U651" si="184">Y649</f>
        <v>0</v>
      </c>
      <c r="V650" s="181"/>
      <c r="W650" s="185">
        <f t="shared" si="179"/>
        <v>0</v>
      </c>
      <c r="X650" s="181"/>
      <c r="Y650" s="185">
        <f t="shared" si="180"/>
        <v>0</v>
      </c>
      <c r="Z650" s="186"/>
      <c r="AA650" s="161"/>
      <c r="AB650" s="161"/>
      <c r="AC650" s="161"/>
    </row>
    <row r="651" spans="1:29" ht="18" customHeight="1" thickBot="1" x14ac:dyDescent="0.35">
      <c r="A651" s="200"/>
      <c r="B651" s="201"/>
      <c r="C651" s="201"/>
      <c r="D651" s="201"/>
      <c r="E651" s="201"/>
      <c r="F651" s="201"/>
      <c r="G651" s="201"/>
      <c r="H651" s="201"/>
      <c r="I651" s="201"/>
      <c r="J651" s="201"/>
      <c r="K651" s="201"/>
      <c r="L651" s="202"/>
      <c r="M651" s="161"/>
      <c r="N651" s="178"/>
      <c r="O651" s="179" t="s">
        <v>115</v>
      </c>
      <c r="P651" s="179"/>
      <c r="Q651" s="179"/>
      <c r="R651" s="179">
        <v>0</v>
      </c>
      <c r="S651" s="159"/>
      <c r="T651" s="179" t="s">
        <v>115</v>
      </c>
      <c r="U651" s="185">
        <f t="shared" si="184"/>
        <v>0</v>
      </c>
      <c r="V651" s="181"/>
      <c r="W651" s="185">
        <f t="shared" si="179"/>
        <v>0</v>
      </c>
      <c r="X651" s="181"/>
      <c r="Y651" s="185">
        <f t="shared" si="180"/>
        <v>0</v>
      </c>
      <c r="Z651" s="186"/>
      <c r="AA651" s="161"/>
      <c r="AB651" s="161"/>
      <c r="AC651" s="161"/>
    </row>
    <row r="652" spans="1:29" ht="18" customHeight="1" thickBot="1" x14ac:dyDescent="0.25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61"/>
      <c r="N652" s="178"/>
      <c r="O652" s="179" t="s">
        <v>118</v>
      </c>
      <c r="P652" s="179"/>
      <c r="Q652" s="179"/>
      <c r="R652" s="179">
        <v>0</v>
      </c>
      <c r="S652" s="159"/>
      <c r="T652" s="179" t="s">
        <v>118</v>
      </c>
      <c r="U652" s="185" t="str">
        <f>IF($J$1="September",Y651,"")</f>
        <v/>
      </c>
      <c r="V652" s="181"/>
      <c r="W652" s="185" t="str">
        <f t="shared" si="179"/>
        <v/>
      </c>
      <c r="X652" s="181"/>
      <c r="Y652" s="185" t="str">
        <f t="shared" si="180"/>
        <v/>
      </c>
      <c r="Z652" s="186"/>
      <c r="AA652" s="161"/>
      <c r="AB652" s="161"/>
      <c r="AC652" s="161"/>
    </row>
    <row r="653" spans="1:29" ht="18" customHeight="1" thickBot="1" x14ac:dyDescent="0.25">
      <c r="A653" s="447" t="s">
        <v>89</v>
      </c>
      <c r="B653" s="453"/>
      <c r="C653" s="453"/>
      <c r="D653" s="453"/>
      <c r="E653" s="453"/>
      <c r="F653" s="453"/>
      <c r="G653" s="453"/>
      <c r="H653" s="453"/>
      <c r="I653" s="453"/>
      <c r="J653" s="453"/>
      <c r="K653" s="453"/>
      <c r="L653" s="454"/>
      <c r="M653" s="161"/>
      <c r="N653" s="178"/>
      <c r="O653" s="179" t="s">
        <v>119</v>
      </c>
      <c r="P653" s="208"/>
      <c r="Q653" s="208"/>
      <c r="R653" s="179">
        <v>0</v>
      </c>
      <c r="S653" s="159"/>
      <c r="T653" s="179" t="s">
        <v>119</v>
      </c>
      <c r="U653" s="185" t="str">
        <f>IF($J$1="October",Y652,"")</f>
        <v/>
      </c>
      <c r="V653" s="181"/>
      <c r="W653" s="185" t="str">
        <f t="shared" si="179"/>
        <v/>
      </c>
      <c r="X653" s="181"/>
      <c r="Y653" s="185" t="str">
        <f t="shared" si="180"/>
        <v/>
      </c>
      <c r="Z653" s="186"/>
      <c r="AA653" s="161"/>
      <c r="AB653" s="161"/>
      <c r="AC653" s="161"/>
    </row>
    <row r="654" spans="1:29" ht="18" customHeight="1" x14ac:dyDescent="0.2">
      <c r="A654" s="166"/>
      <c r="B654" s="152"/>
      <c r="C654" s="443" t="s">
        <v>207</v>
      </c>
      <c r="D654" s="435"/>
      <c r="E654" s="435"/>
      <c r="F654" s="435"/>
      <c r="G654" s="167" t="str">
        <f>$J$1</f>
        <v>August</v>
      </c>
      <c r="H654" s="444">
        <f>$K$1</f>
        <v>2024</v>
      </c>
      <c r="I654" s="435"/>
      <c r="J654" s="152"/>
      <c r="K654" s="168"/>
      <c r="L654" s="169"/>
      <c r="M654" s="161"/>
      <c r="N654" s="178"/>
      <c r="O654" s="179" t="s">
        <v>120</v>
      </c>
      <c r="P654" s="179"/>
      <c r="Q654" s="179"/>
      <c r="R654" s="179">
        <v>0</v>
      </c>
      <c r="S654" s="159"/>
      <c r="T654" s="179" t="s">
        <v>120</v>
      </c>
      <c r="U654" s="185"/>
      <c r="V654" s="181"/>
      <c r="W654" s="185" t="str">
        <f t="shared" si="179"/>
        <v/>
      </c>
      <c r="X654" s="181"/>
      <c r="Y654" s="185" t="str">
        <f t="shared" si="180"/>
        <v/>
      </c>
      <c r="Z654" s="186"/>
      <c r="AA654" s="161"/>
      <c r="AB654" s="161"/>
      <c r="AC654" s="161"/>
    </row>
    <row r="655" spans="1:29" ht="18" customHeight="1" x14ac:dyDescent="0.2">
      <c r="A655" s="166"/>
      <c r="B655" s="152"/>
      <c r="C655" s="152"/>
      <c r="D655" s="175"/>
      <c r="E655" s="175"/>
      <c r="F655" s="175"/>
      <c r="G655" s="175"/>
      <c r="H655" s="175"/>
      <c r="I655" s="152"/>
      <c r="J655" s="176" t="s">
        <v>99</v>
      </c>
      <c r="K655" s="154">
        <v>60000</v>
      </c>
      <c r="L655" s="177"/>
      <c r="M655" s="161"/>
      <c r="N655" s="178"/>
      <c r="O655" s="179" t="s">
        <v>121</v>
      </c>
      <c r="P655" s="179"/>
      <c r="Q655" s="179"/>
      <c r="R655" s="179">
        <v>0</v>
      </c>
      <c r="S655" s="159"/>
      <c r="T655" s="179" t="s">
        <v>121</v>
      </c>
      <c r="U655" s="185"/>
      <c r="V655" s="181"/>
      <c r="W655" s="185" t="str">
        <f t="shared" si="179"/>
        <v/>
      </c>
      <c r="X655" s="181"/>
      <c r="Y655" s="185" t="str">
        <f t="shared" si="180"/>
        <v/>
      </c>
      <c r="Z655" s="186"/>
      <c r="AA655" s="161"/>
      <c r="AB655" s="161"/>
      <c r="AC655" s="161"/>
    </row>
    <row r="656" spans="1:29" ht="18" customHeight="1" thickBot="1" x14ac:dyDescent="0.25">
      <c r="A656" s="166"/>
      <c r="B656" s="152" t="s">
        <v>101</v>
      </c>
      <c r="C656" s="151" t="s">
        <v>208</v>
      </c>
      <c r="D656" s="152"/>
      <c r="E656" s="152"/>
      <c r="F656" s="152"/>
      <c r="G656" s="152"/>
      <c r="H656" s="182"/>
      <c r="I656" s="175"/>
      <c r="J656" s="152"/>
      <c r="K656" s="152"/>
      <c r="L656" s="183"/>
      <c r="M656" s="161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  <c r="AA656" s="161"/>
      <c r="AB656" s="161"/>
      <c r="AC656" s="161"/>
    </row>
    <row r="657" spans="1:29" ht="18" customHeight="1" x14ac:dyDescent="0.2">
      <c r="A657" s="166"/>
      <c r="B657" s="187" t="s">
        <v>103</v>
      </c>
      <c r="C657" s="213">
        <v>45267</v>
      </c>
      <c r="D657" s="152"/>
      <c r="E657" s="152"/>
      <c r="F657" s="439" t="s">
        <v>91</v>
      </c>
      <c r="G657" s="413"/>
      <c r="H657" s="152"/>
      <c r="I657" s="439" t="s">
        <v>104</v>
      </c>
      <c r="J657" s="412"/>
      <c r="K657" s="413"/>
      <c r="L657" s="189"/>
      <c r="M657" s="162"/>
      <c r="N657" s="163"/>
      <c r="O657" s="440" t="s">
        <v>90</v>
      </c>
      <c r="P657" s="441"/>
      <c r="Q657" s="441"/>
      <c r="R657" s="442"/>
      <c r="S657" s="164"/>
      <c r="T657" s="440" t="s">
        <v>91</v>
      </c>
      <c r="U657" s="441"/>
      <c r="V657" s="441"/>
      <c r="W657" s="441"/>
      <c r="X657" s="441"/>
      <c r="Y657" s="442"/>
      <c r="Z657" s="159"/>
      <c r="AA657" s="161"/>
      <c r="AB657" s="161"/>
      <c r="AC657" s="161"/>
    </row>
    <row r="658" spans="1:29" ht="18" customHeight="1" x14ac:dyDescent="0.2">
      <c r="A658" s="166"/>
      <c r="B658" s="152"/>
      <c r="C658" s="152"/>
      <c r="D658" s="152"/>
      <c r="E658" s="152"/>
      <c r="F658" s="152"/>
      <c r="G658" s="152"/>
      <c r="H658" s="190"/>
      <c r="I658" s="152"/>
      <c r="J658" s="152"/>
      <c r="K658" s="152"/>
      <c r="L658" s="191"/>
      <c r="M658" s="170"/>
      <c r="N658" s="171"/>
      <c r="O658" s="172" t="s">
        <v>93</v>
      </c>
      <c r="P658" s="172" t="s">
        <v>94</v>
      </c>
      <c r="Q658" s="172" t="s">
        <v>95</v>
      </c>
      <c r="R658" s="172" t="s">
        <v>96</v>
      </c>
      <c r="S658" s="173"/>
      <c r="T658" s="172" t="s">
        <v>93</v>
      </c>
      <c r="U658" s="172" t="s">
        <v>97</v>
      </c>
      <c r="V658" s="172" t="s">
        <v>9</v>
      </c>
      <c r="W658" s="172" t="s">
        <v>10</v>
      </c>
      <c r="X658" s="172" t="s">
        <v>11</v>
      </c>
      <c r="Y658" s="172" t="s">
        <v>98</v>
      </c>
      <c r="Z658" s="159"/>
      <c r="AA658" s="161"/>
      <c r="AB658" s="161"/>
      <c r="AC658" s="161"/>
    </row>
    <row r="659" spans="1:29" ht="18" customHeight="1" x14ac:dyDescent="0.2">
      <c r="A659" s="166"/>
      <c r="B659" s="445" t="s">
        <v>90</v>
      </c>
      <c r="C659" s="413"/>
      <c r="D659" s="152"/>
      <c r="E659" s="152"/>
      <c r="F659" s="192" t="s">
        <v>107</v>
      </c>
      <c r="G659" s="193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59" s="190"/>
      <c r="I659" s="227">
        <f>IF(C663&gt;0,$K$2,C661)</f>
        <v>0</v>
      </c>
      <c r="J659" s="195" t="s">
        <v>108</v>
      </c>
      <c r="K659" s="196">
        <f>K655/$K$2*I659</f>
        <v>0</v>
      </c>
      <c r="L659" s="197"/>
      <c r="M659" s="161"/>
      <c r="N659" s="178"/>
      <c r="O659" s="179" t="s">
        <v>100</v>
      </c>
      <c r="P659" s="179">
        <v>31</v>
      </c>
      <c r="Q659" s="179">
        <v>0</v>
      </c>
      <c r="R659" s="179"/>
      <c r="S659" s="180"/>
      <c r="T659" s="179" t="s">
        <v>100</v>
      </c>
      <c r="U659" s="181"/>
      <c r="V659" s="181"/>
      <c r="W659" s="181">
        <f>V659+U659</f>
        <v>0</v>
      </c>
      <c r="X659" s="181"/>
      <c r="Y659" s="181">
        <f>W659-X659</f>
        <v>0</v>
      </c>
      <c r="Z659" s="159"/>
      <c r="AA659" s="161"/>
      <c r="AB659" s="161"/>
      <c r="AC659" s="161"/>
    </row>
    <row r="660" spans="1:29" ht="18" customHeight="1" x14ac:dyDescent="0.2">
      <c r="A660" s="166"/>
      <c r="B660" s="198"/>
      <c r="C660" s="198"/>
      <c r="D660" s="152"/>
      <c r="E660" s="152"/>
      <c r="F660" s="192" t="s">
        <v>9</v>
      </c>
      <c r="G660" s="193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0" s="190"/>
      <c r="I660" s="228"/>
      <c r="J660" s="195" t="s">
        <v>110</v>
      </c>
      <c r="K660" s="193">
        <f>K655/$K$2/8*I660</f>
        <v>0</v>
      </c>
      <c r="L660" s="199"/>
      <c r="M660" s="162"/>
      <c r="N660" s="184"/>
      <c r="O660" s="179" t="s">
        <v>102</v>
      </c>
      <c r="P660" s="179">
        <v>28</v>
      </c>
      <c r="Q660" s="179">
        <v>1</v>
      </c>
      <c r="R660" s="179"/>
      <c r="S660" s="159"/>
      <c r="T660" s="179" t="s">
        <v>102</v>
      </c>
      <c r="U660" s="185">
        <f>IF($J$1="January","",Y659)</f>
        <v>0</v>
      </c>
      <c r="V660" s="181"/>
      <c r="W660" s="185">
        <f t="shared" ref="W660:W670" si="185">IF(U660="","",U660+V660)</f>
        <v>0</v>
      </c>
      <c r="X660" s="181"/>
      <c r="Y660" s="185">
        <f t="shared" ref="Y660:Y670" si="186">IF(W660="","",W660-X660)</f>
        <v>0</v>
      </c>
      <c r="Z660" s="159"/>
      <c r="AA660" s="161"/>
      <c r="AB660" s="161"/>
      <c r="AC660" s="161"/>
    </row>
    <row r="661" spans="1:29" ht="18" customHeight="1" x14ac:dyDescent="0.2">
      <c r="A661" s="166"/>
      <c r="B661" s="192" t="s">
        <v>94</v>
      </c>
      <c r="C661" s="198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0</v>
      </c>
      <c r="D661" s="152"/>
      <c r="E661" s="152"/>
      <c r="F661" s="192" t="s">
        <v>111</v>
      </c>
      <c r="G661" s="193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1" s="190"/>
      <c r="I661" s="446" t="s">
        <v>112</v>
      </c>
      <c r="J661" s="413"/>
      <c r="K661" s="193">
        <f>K659+K660</f>
        <v>0</v>
      </c>
      <c r="L661" s="199"/>
      <c r="M661" s="161"/>
      <c r="N661" s="178"/>
      <c r="O661" s="179" t="s">
        <v>105</v>
      </c>
      <c r="P661" s="179">
        <v>30</v>
      </c>
      <c r="Q661" s="179">
        <v>1</v>
      </c>
      <c r="R661" s="179">
        <v>0</v>
      </c>
      <c r="S661" s="159"/>
      <c r="T661" s="179" t="s">
        <v>105</v>
      </c>
      <c r="U661" s="185">
        <f>IF($J$1="February","",Y660)</f>
        <v>0</v>
      </c>
      <c r="V661" s="181"/>
      <c r="W661" s="185">
        <f t="shared" si="185"/>
        <v>0</v>
      </c>
      <c r="X661" s="181"/>
      <c r="Y661" s="185">
        <f t="shared" si="186"/>
        <v>0</v>
      </c>
      <c r="Z661" s="159"/>
      <c r="AA661" s="161"/>
      <c r="AB661" s="161"/>
      <c r="AC661" s="161"/>
    </row>
    <row r="662" spans="1:29" ht="18" customHeight="1" x14ac:dyDescent="0.2">
      <c r="A662" s="166"/>
      <c r="B662" s="192" t="s">
        <v>95</v>
      </c>
      <c r="C662" s="198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0</v>
      </c>
      <c r="D662" s="152"/>
      <c r="E662" s="152"/>
      <c r="F662" s="192" t="s">
        <v>11</v>
      </c>
      <c r="G662" s="193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2" s="190"/>
      <c r="I662" s="446" t="s">
        <v>114</v>
      </c>
      <c r="J662" s="413"/>
      <c r="K662" s="193">
        <f>G662</f>
        <v>0</v>
      </c>
      <c r="L662" s="199"/>
      <c r="M662" s="161"/>
      <c r="N662" s="178"/>
      <c r="O662" s="179" t="s">
        <v>106</v>
      </c>
      <c r="P662" s="179">
        <v>28</v>
      </c>
      <c r="Q662" s="179">
        <v>2</v>
      </c>
      <c r="R662" s="179">
        <v>0</v>
      </c>
      <c r="S662" s="159"/>
      <c r="T662" s="179" t="s">
        <v>106</v>
      </c>
      <c r="U662" s="185">
        <f>IF($J$1="March","",Y661)</f>
        <v>0</v>
      </c>
      <c r="V662" s="181"/>
      <c r="W662" s="185">
        <f t="shared" si="185"/>
        <v>0</v>
      </c>
      <c r="X662" s="181"/>
      <c r="Y662" s="185">
        <f t="shared" si="186"/>
        <v>0</v>
      </c>
      <c r="Z662" s="159"/>
      <c r="AA662" s="161"/>
      <c r="AB662" s="161"/>
      <c r="AC662" s="161"/>
    </row>
    <row r="663" spans="1:29" ht="18" customHeight="1" x14ac:dyDescent="0.2">
      <c r="A663" s="166"/>
      <c r="B663" s="207" t="s">
        <v>116</v>
      </c>
      <c r="C663" s="198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0</v>
      </c>
      <c r="D663" s="152"/>
      <c r="E663" s="152"/>
      <c r="F663" s="207" t="s">
        <v>117</v>
      </c>
      <c r="G663" s="193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3" s="152"/>
      <c r="I663" s="439" t="s">
        <v>13</v>
      </c>
      <c r="J663" s="413"/>
      <c r="K663" s="37">
        <f>K661-K662</f>
        <v>0</v>
      </c>
      <c r="L663" s="183"/>
      <c r="M663" s="161"/>
      <c r="N663" s="178"/>
      <c r="O663" s="179" t="s">
        <v>109</v>
      </c>
      <c r="P663" s="179">
        <v>30</v>
      </c>
      <c r="Q663" s="179">
        <v>1</v>
      </c>
      <c r="R663" s="179">
        <v>0</v>
      </c>
      <c r="S663" s="159"/>
      <c r="T663" s="179" t="s">
        <v>109</v>
      </c>
      <c r="U663" s="185">
        <f>IF($J$1="April","",Y662)</f>
        <v>0</v>
      </c>
      <c r="V663" s="181"/>
      <c r="W663" s="185">
        <f t="shared" si="185"/>
        <v>0</v>
      </c>
      <c r="X663" s="181"/>
      <c r="Y663" s="185">
        <f t="shared" si="186"/>
        <v>0</v>
      </c>
      <c r="Z663" s="159"/>
      <c r="AA663" s="161"/>
      <c r="AB663" s="161"/>
      <c r="AC663" s="161"/>
    </row>
    <row r="664" spans="1:29" ht="18" customHeight="1" x14ac:dyDescent="0.2">
      <c r="A664" s="166"/>
      <c r="B664" s="152"/>
      <c r="C664" s="152"/>
      <c r="D664" s="152"/>
      <c r="E664" s="152"/>
      <c r="F664" s="152"/>
      <c r="G664" s="152"/>
      <c r="H664" s="152"/>
      <c r="I664" s="434"/>
      <c r="J664" s="435"/>
      <c r="K664" s="154"/>
      <c r="L664" s="189"/>
      <c r="M664" s="161"/>
      <c r="N664" s="178"/>
      <c r="O664" s="179" t="s">
        <v>85</v>
      </c>
      <c r="P664" s="179">
        <v>29</v>
      </c>
      <c r="Q664" s="179">
        <v>1</v>
      </c>
      <c r="R664" s="179">
        <v>0</v>
      </c>
      <c r="S664" s="159"/>
      <c r="T664" s="179" t="s">
        <v>85</v>
      </c>
      <c r="U664" s="185">
        <f>IF($J$1="May","",Y663)</f>
        <v>0</v>
      </c>
      <c r="V664" s="181"/>
      <c r="W664" s="185">
        <f t="shared" si="185"/>
        <v>0</v>
      </c>
      <c r="X664" s="181"/>
      <c r="Y664" s="185">
        <f t="shared" si="186"/>
        <v>0</v>
      </c>
      <c r="Z664" s="159"/>
      <c r="AA664" s="161"/>
      <c r="AB664" s="161"/>
      <c r="AC664" s="161"/>
    </row>
    <row r="665" spans="1:29" ht="18" customHeight="1" x14ac:dyDescent="0.3">
      <c r="A665" s="166"/>
      <c r="B665" s="150"/>
      <c r="C665" s="150"/>
      <c r="D665" s="150"/>
      <c r="E665" s="150"/>
      <c r="F665" s="229"/>
      <c r="G665" s="229"/>
      <c r="H665" s="229"/>
      <c r="I665" s="434"/>
      <c r="J665" s="435"/>
      <c r="K665" s="154"/>
      <c r="L665" s="189"/>
      <c r="M665" s="161"/>
      <c r="N665" s="178"/>
      <c r="O665" s="179" t="s">
        <v>113</v>
      </c>
      <c r="P665" s="179">
        <v>29</v>
      </c>
      <c r="Q665" s="179">
        <v>2</v>
      </c>
      <c r="R665" s="179">
        <v>0</v>
      </c>
      <c r="S665" s="159"/>
      <c r="T665" s="179" t="s">
        <v>113</v>
      </c>
      <c r="U665" s="185">
        <f>IF($J$1="June","",Y664)</f>
        <v>0</v>
      </c>
      <c r="V665" s="181"/>
      <c r="W665" s="185">
        <f t="shared" si="185"/>
        <v>0</v>
      </c>
      <c r="X665" s="181"/>
      <c r="Y665" s="185">
        <f t="shared" si="186"/>
        <v>0</v>
      </c>
      <c r="Z665" s="159"/>
      <c r="AA665" s="161"/>
      <c r="AB665" s="161"/>
      <c r="AC665" s="161"/>
    </row>
    <row r="666" spans="1:29" ht="18" customHeight="1" thickBot="1" x14ac:dyDescent="0.35">
      <c r="A666" s="200"/>
      <c r="B666" s="201"/>
      <c r="C666" s="201"/>
      <c r="D666" s="201"/>
      <c r="E666" s="201"/>
      <c r="F666" s="201"/>
      <c r="G666" s="201"/>
      <c r="H666" s="201"/>
      <c r="I666" s="201"/>
      <c r="J666" s="201"/>
      <c r="K666" s="201"/>
      <c r="L666" s="202"/>
      <c r="M666" s="161"/>
      <c r="N666" s="178"/>
      <c r="O666" s="179" t="s">
        <v>115</v>
      </c>
      <c r="P666" s="179"/>
      <c r="Q666" s="179"/>
      <c r="R666" s="179">
        <v>0</v>
      </c>
      <c r="S666" s="159"/>
      <c r="T666" s="179" t="s">
        <v>115</v>
      </c>
      <c r="U666" s="185">
        <f>Y665</f>
        <v>0</v>
      </c>
      <c r="V666" s="181"/>
      <c r="W666" s="185">
        <f t="shared" si="185"/>
        <v>0</v>
      </c>
      <c r="X666" s="181"/>
      <c r="Y666" s="185">
        <f t="shared" si="186"/>
        <v>0</v>
      </c>
      <c r="Z666" s="159"/>
      <c r="AA666" s="161"/>
      <c r="AB666" s="161"/>
      <c r="AC666" s="161"/>
    </row>
    <row r="667" spans="1:29" ht="18" customHeight="1" thickBot="1" x14ac:dyDescent="0.35">
      <c r="A667" s="166"/>
      <c r="B667" s="150"/>
      <c r="C667" s="150"/>
      <c r="D667" s="150"/>
      <c r="E667" s="150"/>
      <c r="F667" s="150"/>
      <c r="G667" s="150"/>
      <c r="H667" s="150"/>
      <c r="I667" s="150"/>
      <c r="J667" s="150"/>
      <c r="K667" s="150"/>
      <c r="L667" s="189"/>
      <c r="M667" s="161"/>
      <c r="N667" s="178"/>
      <c r="O667" s="179" t="s">
        <v>118</v>
      </c>
      <c r="P667" s="179"/>
      <c r="Q667" s="179"/>
      <c r="R667" s="179">
        <v>0</v>
      </c>
      <c r="S667" s="159"/>
      <c r="T667" s="179" t="s">
        <v>118</v>
      </c>
      <c r="U667" s="185">
        <v>0</v>
      </c>
      <c r="V667" s="181"/>
      <c r="W667" s="185">
        <f t="shared" si="185"/>
        <v>0</v>
      </c>
      <c r="X667" s="181"/>
      <c r="Y667" s="185">
        <f t="shared" si="186"/>
        <v>0</v>
      </c>
      <c r="Z667" s="186"/>
      <c r="AA667" s="161"/>
      <c r="AB667" s="161"/>
      <c r="AC667" s="161"/>
    </row>
    <row r="668" spans="1:29" ht="18" customHeight="1" x14ac:dyDescent="0.2">
      <c r="A668" s="460" t="s">
        <v>89</v>
      </c>
      <c r="B668" s="437"/>
      <c r="C668" s="437"/>
      <c r="D668" s="437"/>
      <c r="E668" s="437"/>
      <c r="F668" s="437"/>
      <c r="G668" s="437"/>
      <c r="H668" s="437"/>
      <c r="I668" s="437"/>
      <c r="J668" s="437"/>
      <c r="K668" s="437"/>
      <c r="L668" s="438"/>
      <c r="M668" s="161"/>
      <c r="N668" s="178"/>
      <c r="O668" s="179" t="s">
        <v>119</v>
      </c>
      <c r="P668" s="179"/>
      <c r="Q668" s="179"/>
      <c r="R668" s="179">
        <v>0</v>
      </c>
      <c r="S668" s="159"/>
      <c r="T668" s="179" t="s">
        <v>119</v>
      </c>
      <c r="U668" s="185" t="str">
        <f>IF($J$1="October",Y667,"")</f>
        <v/>
      </c>
      <c r="V668" s="181"/>
      <c r="W668" s="185" t="str">
        <f t="shared" si="185"/>
        <v/>
      </c>
      <c r="X668" s="181"/>
      <c r="Y668" s="185" t="str">
        <f t="shared" si="186"/>
        <v/>
      </c>
      <c r="Z668" s="186"/>
      <c r="AA668" s="161"/>
      <c r="AB668" s="161"/>
      <c r="AC668" s="161"/>
    </row>
    <row r="669" spans="1:29" ht="18" customHeight="1" x14ac:dyDescent="0.2">
      <c r="A669" s="166"/>
      <c r="B669" s="152"/>
      <c r="C669" s="443" t="s">
        <v>209</v>
      </c>
      <c r="D669" s="435"/>
      <c r="E669" s="435"/>
      <c r="F669" s="435"/>
      <c r="G669" s="167" t="str">
        <f>$J$1</f>
        <v>August</v>
      </c>
      <c r="H669" s="444">
        <f>$K$1</f>
        <v>2024</v>
      </c>
      <c r="I669" s="435"/>
      <c r="J669" s="152"/>
      <c r="K669" s="168"/>
      <c r="L669" s="169"/>
      <c r="M669" s="161"/>
      <c r="N669" s="178"/>
      <c r="O669" s="179" t="s">
        <v>120</v>
      </c>
      <c r="P669" s="179"/>
      <c r="Q669" s="179"/>
      <c r="R669" s="179" t="str">
        <f>IF(Q669="","",R668-Q669)</f>
        <v/>
      </c>
      <c r="S669" s="159"/>
      <c r="T669" s="179" t="s">
        <v>120</v>
      </c>
      <c r="U669" s="185" t="str">
        <f>Y668</f>
        <v/>
      </c>
      <c r="V669" s="181"/>
      <c r="W669" s="185" t="str">
        <f t="shared" si="185"/>
        <v/>
      </c>
      <c r="X669" s="181"/>
      <c r="Y669" s="185" t="str">
        <f t="shared" si="186"/>
        <v/>
      </c>
      <c r="Z669" s="159"/>
      <c r="AA669" s="161"/>
      <c r="AB669" s="161"/>
      <c r="AC669" s="161"/>
    </row>
    <row r="670" spans="1:29" ht="18" customHeight="1" x14ac:dyDescent="0.2">
      <c r="A670" s="166"/>
      <c r="B670" s="152"/>
      <c r="C670" s="152"/>
      <c r="D670" s="175"/>
      <c r="E670" s="175"/>
      <c r="F670" s="175"/>
      <c r="G670" s="175"/>
      <c r="H670" s="175"/>
      <c r="I670" s="152"/>
      <c r="J670" s="176" t="s">
        <v>99</v>
      </c>
      <c r="K670" s="154">
        <v>70000</v>
      </c>
      <c r="L670" s="177"/>
      <c r="M670" s="161"/>
      <c r="N670" s="178"/>
      <c r="O670" s="179" t="s">
        <v>121</v>
      </c>
      <c r="P670" s="208"/>
      <c r="Q670" s="208"/>
      <c r="R670" s="179">
        <v>0</v>
      </c>
      <c r="S670" s="159"/>
      <c r="T670" s="179" t="s">
        <v>121</v>
      </c>
      <c r="U670" s="185">
        <v>0</v>
      </c>
      <c r="V670" s="181"/>
      <c r="W670" s="185">
        <f t="shared" si="185"/>
        <v>0</v>
      </c>
      <c r="X670" s="181"/>
      <c r="Y670" s="185">
        <f t="shared" si="186"/>
        <v>0</v>
      </c>
      <c r="Z670" s="159"/>
      <c r="AA670" s="161"/>
      <c r="AB670" s="161"/>
      <c r="AC670" s="161"/>
    </row>
    <row r="671" spans="1:29" ht="18" customHeight="1" thickBot="1" x14ac:dyDescent="0.25">
      <c r="A671" s="166"/>
      <c r="B671" s="152" t="s">
        <v>101</v>
      </c>
      <c r="C671" s="151" t="s">
        <v>210</v>
      </c>
      <c r="D671" s="152"/>
      <c r="E671" s="152"/>
      <c r="F671" s="152"/>
      <c r="G671" s="152"/>
      <c r="H671" s="182"/>
      <c r="I671" s="175"/>
      <c r="J671" s="152"/>
      <c r="K671" s="152"/>
      <c r="L671" s="183"/>
      <c r="M671" s="161"/>
      <c r="N671" s="178"/>
      <c r="O671" s="230"/>
      <c r="P671" s="205"/>
      <c r="Q671" s="205"/>
      <c r="R671" s="231"/>
      <c r="S671" s="159"/>
      <c r="T671" s="230"/>
      <c r="U671" s="232"/>
      <c r="V671" s="233"/>
      <c r="W671" s="232"/>
      <c r="X671" s="233"/>
      <c r="Y671" s="234"/>
      <c r="Z671" s="159"/>
      <c r="AA671" s="161"/>
      <c r="AB671" s="161"/>
      <c r="AC671" s="161"/>
    </row>
    <row r="672" spans="1:29" ht="18" customHeight="1" x14ac:dyDescent="0.2">
      <c r="A672" s="166"/>
      <c r="B672" s="187" t="s">
        <v>103</v>
      </c>
      <c r="C672" s="188"/>
      <c r="D672" s="152"/>
      <c r="E672" s="152"/>
      <c r="F672" s="439" t="s">
        <v>91</v>
      </c>
      <c r="G672" s="413"/>
      <c r="H672" s="152"/>
      <c r="I672" s="439" t="s">
        <v>104</v>
      </c>
      <c r="J672" s="412"/>
      <c r="K672" s="413"/>
      <c r="L672" s="189"/>
      <c r="M672" s="162"/>
      <c r="N672" s="163"/>
      <c r="O672" s="440" t="s">
        <v>90</v>
      </c>
      <c r="P672" s="441"/>
      <c r="Q672" s="441"/>
      <c r="R672" s="442"/>
      <c r="S672" s="164"/>
      <c r="T672" s="440" t="s">
        <v>91</v>
      </c>
      <c r="U672" s="441"/>
      <c r="V672" s="441"/>
      <c r="W672" s="441"/>
      <c r="X672" s="441"/>
      <c r="Y672" s="442"/>
      <c r="Z672" s="165"/>
      <c r="AA672" s="162"/>
      <c r="AB672" s="161"/>
      <c r="AC672" s="161"/>
    </row>
    <row r="673" spans="1:29" ht="18" customHeight="1" x14ac:dyDescent="0.2">
      <c r="A673" s="166"/>
      <c r="B673" s="152"/>
      <c r="C673" s="152"/>
      <c r="D673" s="152"/>
      <c r="E673" s="152"/>
      <c r="F673" s="152"/>
      <c r="G673" s="152"/>
      <c r="H673" s="190"/>
      <c r="I673" s="152"/>
      <c r="J673" s="152"/>
      <c r="K673" s="152"/>
      <c r="L673" s="191"/>
      <c r="M673" s="170"/>
      <c r="N673" s="171"/>
      <c r="O673" s="172" t="s">
        <v>93</v>
      </c>
      <c r="P673" s="172" t="s">
        <v>94</v>
      </c>
      <c r="Q673" s="172" t="s">
        <v>95</v>
      </c>
      <c r="R673" s="172" t="s">
        <v>96</v>
      </c>
      <c r="S673" s="173"/>
      <c r="T673" s="172" t="s">
        <v>93</v>
      </c>
      <c r="U673" s="172" t="s">
        <v>97</v>
      </c>
      <c r="V673" s="172" t="s">
        <v>9</v>
      </c>
      <c r="W673" s="172" t="s">
        <v>10</v>
      </c>
      <c r="X673" s="172" t="s">
        <v>11</v>
      </c>
      <c r="Y673" s="172" t="s">
        <v>98</v>
      </c>
      <c r="Z673" s="174"/>
      <c r="AA673" s="170"/>
      <c r="AB673" s="161"/>
      <c r="AC673" s="161"/>
    </row>
    <row r="674" spans="1:29" ht="18" customHeight="1" x14ac:dyDescent="0.2">
      <c r="A674" s="166"/>
      <c r="B674" s="445" t="s">
        <v>90</v>
      </c>
      <c r="C674" s="413"/>
      <c r="D674" s="152"/>
      <c r="E674" s="152"/>
      <c r="F674" s="192" t="s">
        <v>107</v>
      </c>
      <c r="G674" s="193">
        <f>IF($J$1="January",U674,IF($J$1="February",U675,IF($J$1="March",U676,IF($J$1="April",U677,IF($J$1="May",U678,IF($J$1="June",U679,IF($J$1="July",U680,IF($J$1="August",U681,IF($J$1="August",U681,IF($J$1="September",U682,IF($J$1="October",U683,IF($J$1="November",U684,IF($J$1="December",U685)))))))))))))</f>
        <v>0</v>
      </c>
      <c r="H674" s="190"/>
      <c r="I674" s="194">
        <f>IF(C678&gt;0,$K$2,C676)</f>
        <v>0</v>
      </c>
      <c r="J674" s="195" t="s">
        <v>108</v>
      </c>
      <c r="K674" s="196">
        <f>K670/$K$2*I674</f>
        <v>0</v>
      </c>
      <c r="L674" s="197"/>
      <c r="M674" s="161"/>
      <c r="N674" s="178"/>
      <c r="O674" s="179" t="s">
        <v>100</v>
      </c>
      <c r="P674" s="179">
        <v>30</v>
      </c>
      <c r="Q674" s="179">
        <v>1</v>
      </c>
      <c r="R674" s="179"/>
      <c r="S674" s="180"/>
      <c r="T674" s="179" t="s">
        <v>100</v>
      </c>
      <c r="U674" s="181">
        <v>80000</v>
      </c>
      <c r="V674" s="181"/>
      <c r="W674" s="181">
        <f>V674+U674</f>
        <v>80000</v>
      </c>
      <c r="X674" s="181">
        <v>5000</v>
      </c>
      <c r="Y674" s="181">
        <f>W674-X674</f>
        <v>75000</v>
      </c>
      <c r="Z674" s="174"/>
      <c r="AA674" s="161"/>
      <c r="AB674" s="161"/>
      <c r="AC674" s="161"/>
    </row>
    <row r="675" spans="1:29" ht="18" customHeight="1" x14ac:dyDescent="0.2">
      <c r="A675" s="166"/>
      <c r="B675" s="198"/>
      <c r="C675" s="198"/>
      <c r="D675" s="152"/>
      <c r="E675" s="152"/>
      <c r="F675" s="192" t="s">
        <v>9</v>
      </c>
      <c r="G675" s="193">
        <f>IF($J$1="January",V674,IF($J$1="February",V675,IF($J$1="March",V676,IF($J$1="April",V677,IF($J$1="May",V678,IF($J$1="June",V679,IF($J$1="July",V680,IF($J$1="August",V681,IF($J$1="August",V681,IF($J$1="September",V682,IF($J$1="October",V683,IF($J$1="November",V684,IF($J$1="December",V685)))))))))))))</f>
        <v>0</v>
      </c>
      <c r="H675" s="190"/>
      <c r="I675" s="214"/>
      <c r="J675" s="195" t="s">
        <v>110</v>
      </c>
      <c r="K675" s="193">
        <f>K670/$K$2/8*I675</f>
        <v>0</v>
      </c>
      <c r="L675" s="199"/>
      <c r="M675" s="162"/>
      <c r="N675" s="184"/>
      <c r="O675" s="179" t="s">
        <v>102</v>
      </c>
      <c r="P675" s="179"/>
      <c r="Q675" s="179"/>
      <c r="R675" s="179" t="str">
        <f>IF(Q675="","",R674-Q675)</f>
        <v/>
      </c>
      <c r="S675" s="159"/>
      <c r="T675" s="179" t="s">
        <v>102</v>
      </c>
      <c r="U675" s="185">
        <f t="shared" ref="U675:U676" si="187">Y674</f>
        <v>75000</v>
      </c>
      <c r="V675" s="181"/>
      <c r="W675" s="185">
        <f t="shared" ref="W675:W685" si="188">IF(U675="","",U675+V675)</f>
        <v>75000</v>
      </c>
      <c r="X675" s="181"/>
      <c r="Y675" s="185">
        <f t="shared" ref="Y675:Y685" si="189">IF(W675="","",W675-X675)</f>
        <v>75000</v>
      </c>
      <c r="Z675" s="186"/>
      <c r="AA675" s="162"/>
      <c r="AB675" s="161"/>
      <c r="AC675" s="161"/>
    </row>
    <row r="676" spans="1:29" ht="18" customHeight="1" x14ac:dyDescent="0.2">
      <c r="A676" s="166"/>
      <c r="B676" s="192" t="s">
        <v>94</v>
      </c>
      <c r="C676" s="198">
        <f>IF($J$1="January",P674,IF($J$1="February",P675,IF($J$1="March",P676,IF($J$1="April",P677,IF($J$1="May",P678,IF($J$1="June",P679,IF($J$1="July",P680,IF($J$1="August",P681,IF($J$1="August",P681,IF($J$1="September",P682,IF($J$1="October",P683,IF($J$1="November",P684,IF($J$1="December",P685)))))))))))))</f>
        <v>0</v>
      </c>
      <c r="D676" s="152"/>
      <c r="E676" s="152"/>
      <c r="F676" s="192" t="s">
        <v>111</v>
      </c>
      <c r="G676" s="193">
        <f>IF($J$1="January",W674,IF($J$1="February",W675,IF($J$1="March",W676,IF($J$1="April",W677,IF($J$1="May",W678,IF($J$1="June",W679,IF($J$1="July",W680,IF($J$1="August",W681,IF($J$1="August",W681,IF($J$1="September",W682,IF($J$1="October",W683,IF($J$1="November",W684,IF($J$1="December",W685)))))))))))))</f>
        <v>0</v>
      </c>
      <c r="H676" s="190"/>
      <c r="I676" s="446" t="s">
        <v>112</v>
      </c>
      <c r="J676" s="413"/>
      <c r="K676" s="193">
        <f>K674+K675</f>
        <v>0</v>
      </c>
      <c r="L676" s="199"/>
      <c r="M676" s="161"/>
      <c r="N676" s="178"/>
      <c r="O676" s="179" t="s">
        <v>105</v>
      </c>
      <c r="P676" s="179">
        <v>31</v>
      </c>
      <c r="Q676" s="179">
        <v>0</v>
      </c>
      <c r="R676" s="179">
        <v>0</v>
      </c>
      <c r="S676" s="159"/>
      <c r="T676" s="179" t="s">
        <v>105</v>
      </c>
      <c r="U676" s="185">
        <f t="shared" si="187"/>
        <v>75000</v>
      </c>
      <c r="V676" s="181"/>
      <c r="W676" s="185">
        <f t="shared" si="188"/>
        <v>75000</v>
      </c>
      <c r="X676" s="181">
        <v>5000</v>
      </c>
      <c r="Y676" s="185">
        <f t="shared" si="189"/>
        <v>70000</v>
      </c>
      <c r="Z676" s="186"/>
      <c r="AA676" s="161"/>
      <c r="AB676" s="161"/>
      <c r="AC676" s="161"/>
    </row>
    <row r="677" spans="1:29" ht="18" customHeight="1" x14ac:dyDescent="0.2">
      <c r="A677" s="166"/>
      <c r="B677" s="192" t="s">
        <v>95</v>
      </c>
      <c r="C677" s="198">
        <f>IF($J$1="January",Q674,IF($J$1="February",Q675,IF($J$1="March",Q676,IF($J$1="April",Q677,IF($J$1="May",Q678,IF($J$1="June",Q679,IF($J$1="July",Q680,IF($J$1="August",Q681,IF($J$1="August",Q681,IF($J$1="September",Q682,IF($J$1="October",Q683,IF($J$1="November",Q684,IF($J$1="December",Q685)))))))))))))</f>
        <v>0</v>
      </c>
      <c r="D677" s="152"/>
      <c r="E677" s="152"/>
      <c r="F677" s="192" t="s">
        <v>11</v>
      </c>
      <c r="G677" s="193">
        <f>IF($J$1="January",X674,IF($J$1="February",X675,IF($J$1="March",X676,IF($J$1="April",X677,IF($J$1="May",X678,IF($J$1="June",X679,IF($J$1="July",X680,IF($J$1="August",X681,IF($J$1="August",X681,IF($J$1="September",X682,IF($J$1="October",X683,IF($J$1="November",X684,IF($J$1="December",X685)))))))))))))</f>
        <v>0</v>
      </c>
      <c r="H677" s="190"/>
      <c r="I677" s="446" t="s">
        <v>114</v>
      </c>
      <c r="J677" s="413"/>
      <c r="K677" s="193">
        <f>G677</f>
        <v>0</v>
      </c>
      <c r="L677" s="199"/>
      <c r="M677" s="161"/>
      <c r="N677" s="178"/>
      <c r="O677" s="179" t="s">
        <v>106</v>
      </c>
      <c r="P677" s="179">
        <v>30</v>
      </c>
      <c r="Q677" s="179">
        <v>0</v>
      </c>
      <c r="R677" s="179">
        <v>0</v>
      </c>
      <c r="S677" s="159"/>
      <c r="T677" s="179" t="s">
        <v>106</v>
      </c>
      <c r="U677" s="185">
        <f>IF($J$1="March","",Y676)</f>
        <v>70000</v>
      </c>
      <c r="V677" s="181"/>
      <c r="W677" s="185">
        <f t="shared" si="188"/>
        <v>70000</v>
      </c>
      <c r="X677" s="181">
        <v>5000</v>
      </c>
      <c r="Y677" s="185">
        <f t="shared" si="189"/>
        <v>65000</v>
      </c>
      <c r="Z677" s="186"/>
      <c r="AA677" s="161"/>
      <c r="AB677" s="161"/>
      <c r="AC677" s="161"/>
    </row>
    <row r="678" spans="1:29" ht="18" customHeight="1" x14ac:dyDescent="0.2">
      <c r="A678" s="166"/>
      <c r="B678" s="215" t="s">
        <v>116</v>
      </c>
      <c r="C678" s="198">
        <f>IF($J$1="January",R674,IF($J$1="February",R675,IF($J$1="March",R676,IF($J$1="April",R677,IF($J$1="May",R678,IF($J$1="June",R679,IF($J$1="July",R680,IF($J$1="August",R681,IF($J$1="August",R681,IF($J$1="September",R682,IF($J$1="October",R683,IF($J$1="November",R684,IF($J$1="December",R685)))))))))))))</f>
        <v>0</v>
      </c>
      <c r="D678" s="152"/>
      <c r="E678" s="152"/>
      <c r="F678" s="192" t="s">
        <v>169</v>
      </c>
      <c r="G678" s="193">
        <f>IF($J$1="January",Y674,IF($J$1="February",Y675,IF($J$1="March",Y676,IF($J$1="April",Y677,IF($J$1="May",Y678,IF($J$1="June",Y679,IF($J$1="July",Y680,IF($J$1="August",Y681,IF($J$1="August",Y681,IF($J$1="September",Y682,IF($J$1="October",Y683,IF($J$1="November",Y684,IF($J$1="December",Y685)))))))))))))</f>
        <v>0</v>
      </c>
      <c r="H678" s="152"/>
      <c r="I678" s="439" t="s">
        <v>13</v>
      </c>
      <c r="J678" s="413"/>
      <c r="K678" s="37">
        <f>K676-K677</f>
        <v>0</v>
      </c>
      <c r="L678" s="183"/>
      <c r="M678" s="161"/>
      <c r="N678" s="178"/>
      <c r="O678" s="179" t="s">
        <v>109</v>
      </c>
      <c r="P678" s="179">
        <v>31</v>
      </c>
      <c r="Q678" s="179">
        <v>0</v>
      </c>
      <c r="R678" s="179">
        <v>0</v>
      </c>
      <c r="S678" s="159"/>
      <c r="T678" s="179" t="s">
        <v>109</v>
      </c>
      <c r="U678" s="185">
        <f>Y677-65000</f>
        <v>0</v>
      </c>
      <c r="V678" s="181"/>
      <c r="W678" s="185">
        <f t="shared" si="188"/>
        <v>0</v>
      </c>
      <c r="X678" s="181"/>
      <c r="Y678" s="185">
        <f t="shared" si="189"/>
        <v>0</v>
      </c>
      <c r="Z678" s="186"/>
      <c r="AA678" s="161" t="s">
        <v>211</v>
      </c>
      <c r="AB678" s="161"/>
      <c r="AC678" s="161"/>
    </row>
    <row r="679" spans="1:29" ht="18" customHeight="1" x14ac:dyDescent="0.2">
      <c r="A679" s="166"/>
      <c r="B679" s="152"/>
      <c r="C679" s="152"/>
      <c r="D679" s="152"/>
      <c r="E679" s="152"/>
      <c r="F679" s="152"/>
      <c r="G679" s="152"/>
      <c r="H679" s="152"/>
      <c r="I679" s="434"/>
      <c r="J679" s="435"/>
      <c r="K679" s="154"/>
      <c r="L679" s="189"/>
      <c r="M679" s="161"/>
      <c r="N679" s="178"/>
      <c r="O679" s="179" t="s">
        <v>85</v>
      </c>
      <c r="P679" s="179">
        <v>30</v>
      </c>
      <c r="Q679" s="179">
        <v>0</v>
      </c>
      <c r="R679" s="179">
        <f>IF(Q679="","",R678-Q679)</f>
        <v>0</v>
      </c>
      <c r="S679" s="159"/>
      <c r="T679" s="179" t="s">
        <v>85</v>
      </c>
      <c r="U679" s="185">
        <v>0</v>
      </c>
      <c r="V679" s="181"/>
      <c r="W679" s="185">
        <f t="shared" si="188"/>
        <v>0</v>
      </c>
      <c r="X679" s="181"/>
      <c r="Y679" s="185">
        <f t="shared" si="189"/>
        <v>0</v>
      </c>
      <c r="Z679" s="186"/>
      <c r="AA679" s="161"/>
      <c r="AB679" s="161"/>
      <c r="AC679" s="161"/>
    </row>
    <row r="680" spans="1:29" ht="18" customHeight="1" x14ac:dyDescent="0.3">
      <c r="A680" s="166"/>
      <c r="B680" s="150"/>
      <c r="C680" s="150"/>
      <c r="D680" s="150"/>
      <c r="E680" s="150"/>
      <c r="F680" s="150"/>
      <c r="G680" s="150"/>
      <c r="H680" s="150"/>
      <c r="I680" s="434"/>
      <c r="J680" s="435"/>
      <c r="K680" s="154"/>
      <c r="L680" s="189"/>
      <c r="M680" s="161"/>
      <c r="N680" s="178"/>
      <c r="O680" s="179" t="s">
        <v>113</v>
      </c>
      <c r="P680" s="179">
        <v>31</v>
      </c>
      <c r="Q680" s="179">
        <v>0</v>
      </c>
      <c r="R680" s="179">
        <v>0</v>
      </c>
      <c r="S680" s="159"/>
      <c r="T680" s="179" t="s">
        <v>113</v>
      </c>
      <c r="U680" s="185">
        <f>IF($J$1="June","",Y679)</f>
        <v>0</v>
      </c>
      <c r="V680" s="181"/>
      <c r="W680" s="185">
        <f t="shared" si="188"/>
        <v>0</v>
      </c>
      <c r="X680" s="181"/>
      <c r="Y680" s="185">
        <f t="shared" si="189"/>
        <v>0</v>
      </c>
      <c r="Z680" s="186"/>
      <c r="AA680" s="161"/>
      <c r="AB680" s="161"/>
      <c r="AC680" s="161"/>
    </row>
    <row r="681" spans="1:29" ht="18" customHeight="1" x14ac:dyDescent="0.3">
      <c r="A681" s="166"/>
      <c r="B681" s="150"/>
      <c r="C681" s="150"/>
      <c r="D681" s="150"/>
      <c r="E681" s="150"/>
      <c r="F681" s="150"/>
      <c r="G681" s="150"/>
      <c r="H681" s="150"/>
      <c r="I681" s="150"/>
      <c r="J681" s="150"/>
      <c r="K681" s="150"/>
      <c r="L681" s="189"/>
      <c r="M681" s="161"/>
      <c r="N681" s="178"/>
      <c r="O681" s="179" t="s">
        <v>115</v>
      </c>
      <c r="P681" s="179"/>
      <c r="Q681" s="179"/>
      <c r="R681" s="179">
        <v>0</v>
      </c>
      <c r="S681" s="159"/>
      <c r="T681" s="179" t="s">
        <v>115</v>
      </c>
      <c r="U681" s="185">
        <f>IF($J$1="July","",Y680)</f>
        <v>0</v>
      </c>
      <c r="V681" s="181"/>
      <c r="W681" s="185">
        <f t="shared" si="188"/>
        <v>0</v>
      </c>
      <c r="X681" s="181"/>
      <c r="Y681" s="185">
        <f t="shared" si="189"/>
        <v>0</v>
      </c>
      <c r="Z681" s="186"/>
      <c r="AA681" s="161"/>
      <c r="AB681" s="161"/>
      <c r="AC681" s="161"/>
    </row>
    <row r="682" spans="1:29" ht="18" customHeight="1" thickBot="1" x14ac:dyDescent="0.25">
      <c r="A682" s="200"/>
      <c r="B682" s="216"/>
      <c r="C682" s="216"/>
      <c r="D682" s="216"/>
      <c r="E682" s="216"/>
      <c r="F682" s="216"/>
      <c r="G682" s="216"/>
      <c r="H682" s="216"/>
      <c r="I682" s="216"/>
      <c r="J682" s="216"/>
      <c r="K682" s="216"/>
      <c r="L682" s="202"/>
      <c r="M682" s="161"/>
      <c r="N682" s="178"/>
      <c r="O682" s="179" t="s">
        <v>118</v>
      </c>
      <c r="P682" s="208"/>
      <c r="Q682" s="208"/>
      <c r="R682" s="179" t="str">
        <f>IF(Q682="","",R681-Q682)</f>
        <v/>
      </c>
      <c r="S682" s="159"/>
      <c r="T682" s="179" t="s">
        <v>118</v>
      </c>
      <c r="U682" s="185">
        <f t="shared" ref="U682:U685" si="190">Y681</f>
        <v>0</v>
      </c>
      <c r="V682" s="181"/>
      <c r="W682" s="185">
        <f t="shared" si="188"/>
        <v>0</v>
      </c>
      <c r="X682" s="181"/>
      <c r="Y682" s="185">
        <f t="shared" si="189"/>
        <v>0</v>
      </c>
      <c r="Z682" s="186"/>
      <c r="AA682" s="161"/>
      <c r="AB682" s="161"/>
      <c r="AC682" s="161"/>
    </row>
    <row r="683" spans="1:29" ht="18" customHeight="1" thickBot="1" x14ac:dyDescent="0.25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61"/>
      <c r="N683" s="178"/>
      <c r="O683" s="179" t="s">
        <v>119</v>
      </c>
      <c r="P683" s="179"/>
      <c r="Q683" s="179"/>
      <c r="R683" s="179">
        <v>0</v>
      </c>
      <c r="S683" s="159"/>
      <c r="T683" s="179" t="s">
        <v>119</v>
      </c>
      <c r="U683" s="185">
        <f t="shared" si="190"/>
        <v>0</v>
      </c>
      <c r="V683" s="181"/>
      <c r="W683" s="185">
        <f t="shared" si="188"/>
        <v>0</v>
      </c>
      <c r="X683" s="181"/>
      <c r="Y683" s="185">
        <f t="shared" si="189"/>
        <v>0</v>
      </c>
      <c r="Z683" s="186"/>
      <c r="AA683" s="161"/>
      <c r="AB683" s="161"/>
      <c r="AC683" s="161"/>
    </row>
    <row r="684" spans="1:29" ht="18" customHeight="1" x14ac:dyDescent="0.2">
      <c r="A684" s="456" t="s">
        <v>89</v>
      </c>
      <c r="B684" s="437"/>
      <c r="C684" s="437"/>
      <c r="D684" s="437"/>
      <c r="E684" s="437"/>
      <c r="F684" s="437"/>
      <c r="G684" s="437"/>
      <c r="H684" s="437"/>
      <c r="I684" s="437"/>
      <c r="J684" s="437"/>
      <c r="K684" s="437"/>
      <c r="L684" s="438"/>
      <c r="M684" s="161"/>
      <c r="N684" s="178"/>
      <c r="O684" s="179" t="s">
        <v>120</v>
      </c>
      <c r="P684" s="179"/>
      <c r="Q684" s="179"/>
      <c r="R684" s="179">
        <v>0</v>
      </c>
      <c r="S684" s="159"/>
      <c r="T684" s="179" t="s">
        <v>120</v>
      </c>
      <c r="U684" s="185">
        <f t="shared" si="190"/>
        <v>0</v>
      </c>
      <c r="V684" s="181"/>
      <c r="W684" s="185">
        <f t="shared" si="188"/>
        <v>0</v>
      </c>
      <c r="X684" s="181"/>
      <c r="Y684" s="185">
        <f t="shared" si="189"/>
        <v>0</v>
      </c>
      <c r="Z684" s="186"/>
      <c r="AA684" s="161"/>
      <c r="AB684" s="161"/>
      <c r="AC684" s="161"/>
    </row>
    <row r="685" spans="1:29" ht="18" customHeight="1" x14ac:dyDescent="0.2">
      <c r="A685" s="166"/>
      <c r="B685" s="152"/>
      <c r="C685" s="443" t="s">
        <v>212</v>
      </c>
      <c r="D685" s="435"/>
      <c r="E685" s="435"/>
      <c r="F685" s="435"/>
      <c r="G685" s="167" t="str">
        <f>$J$1</f>
        <v>August</v>
      </c>
      <c r="H685" s="444">
        <f>$K$1</f>
        <v>2024</v>
      </c>
      <c r="I685" s="435"/>
      <c r="J685" s="152"/>
      <c r="K685" s="168"/>
      <c r="L685" s="169"/>
      <c r="M685" s="161"/>
      <c r="N685" s="178"/>
      <c r="O685" s="179" t="s">
        <v>121</v>
      </c>
      <c r="P685" s="179"/>
      <c r="Q685" s="179"/>
      <c r="R685" s="179">
        <v>0</v>
      </c>
      <c r="S685" s="159"/>
      <c r="T685" s="179" t="s">
        <v>121</v>
      </c>
      <c r="U685" s="185">
        <f t="shared" si="190"/>
        <v>0</v>
      </c>
      <c r="V685" s="181"/>
      <c r="W685" s="185">
        <f t="shared" si="188"/>
        <v>0</v>
      </c>
      <c r="X685" s="181"/>
      <c r="Y685" s="185">
        <f t="shared" si="189"/>
        <v>0</v>
      </c>
      <c r="Z685" s="186"/>
      <c r="AA685" s="161"/>
      <c r="AB685" s="161"/>
      <c r="AC685" s="161"/>
    </row>
    <row r="686" spans="1:29" ht="18" customHeight="1" thickBot="1" x14ac:dyDescent="0.25">
      <c r="A686" s="166"/>
      <c r="B686" s="152"/>
      <c r="C686" s="152"/>
      <c r="D686" s="175"/>
      <c r="E686" s="175"/>
      <c r="F686" s="175"/>
      <c r="G686" s="175"/>
      <c r="H686" s="175"/>
      <c r="I686" s="152"/>
      <c r="J686" s="176" t="s">
        <v>99</v>
      </c>
      <c r="K686" s="154">
        <v>35000</v>
      </c>
      <c r="L686" s="177"/>
      <c r="M686" s="161"/>
      <c r="N686" s="217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21"/>
      <c r="AA686" s="161"/>
      <c r="AB686" s="161"/>
      <c r="AC686" s="161"/>
    </row>
    <row r="687" spans="1:29" ht="18" customHeight="1" thickBot="1" x14ac:dyDescent="0.25">
      <c r="A687" s="166"/>
      <c r="B687" s="152" t="s">
        <v>101</v>
      </c>
      <c r="C687" s="151" t="s">
        <v>213</v>
      </c>
      <c r="D687" s="152"/>
      <c r="E687" s="152"/>
      <c r="F687" s="152"/>
      <c r="G687" s="152"/>
      <c r="H687" s="182"/>
      <c r="I687" s="175"/>
      <c r="J687" s="152"/>
      <c r="K687" s="152"/>
      <c r="L687" s="183"/>
      <c r="M687" s="161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  <c r="AA687" s="161"/>
      <c r="AB687" s="161"/>
      <c r="AC687" s="161"/>
    </row>
    <row r="688" spans="1:29" ht="18" customHeight="1" x14ac:dyDescent="0.2">
      <c r="A688" s="166"/>
      <c r="B688" s="187" t="s">
        <v>103</v>
      </c>
      <c r="C688" s="188"/>
      <c r="D688" s="152"/>
      <c r="E688" s="152"/>
      <c r="F688" s="439" t="s">
        <v>91</v>
      </c>
      <c r="G688" s="413"/>
      <c r="H688" s="152"/>
      <c r="I688" s="439" t="s">
        <v>104</v>
      </c>
      <c r="J688" s="412"/>
      <c r="K688" s="413"/>
      <c r="L688" s="189"/>
      <c r="M688" s="162"/>
      <c r="N688" s="163"/>
      <c r="O688" s="440" t="s">
        <v>90</v>
      </c>
      <c r="P688" s="441"/>
      <c r="Q688" s="441"/>
      <c r="R688" s="442"/>
      <c r="S688" s="164"/>
      <c r="T688" s="440" t="s">
        <v>91</v>
      </c>
      <c r="U688" s="441"/>
      <c r="V688" s="441"/>
      <c r="W688" s="441"/>
      <c r="X688" s="441"/>
      <c r="Y688" s="442"/>
      <c r="Z688" s="165"/>
      <c r="AA688" s="162"/>
      <c r="AB688" s="161"/>
      <c r="AC688" s="161"/>
    </row>
    <row r="689" spans="1:29" ht="18" customHeight="1" x14ac:dyDescent="0.2">
      <c r="A689" s="166"/>
      <c r="B689" s="152"/>
      <c r="C689" s="152"/>
      <c r="D689" s="152"/>
      <c r="E689" s="152"/>
      <c r="F689" s="152"/>
      <c r="G689" s="152"/>
      <c r="H689" s="190"/>
      <c r="I689" s="152"/>
      <c r="J689" s="152"/>
      <c r="K689" s="152"/>
      <c r="L689" s="191"/>
      <c r="M689" s="170"/>
      <c r="N689" s="171"/>
      <c r="O689" s="172" t="s">
        <v>93</v>
      </c>
      <c r="P689" s="172" t="s">
        <v>94</v>
      </c>
      <c r="Q689" s="172" t="s">
        <v>95</v>
      </c>
      <c r="R689" s="172" t="s">
        <v>96</v>
      </c>
      <c r="S689" s="173"/>
      <c r="T689" s="172" t="s">
        <v>93</v>
      </c>
      <c r="U689" s="172" t="s">
        <v>97</v>
      </c>
      <c r="V689" s="172" t="s">
        <v>9</v>
      </c>
      <c r="W689" s="172" t="s">
        <v>10</v>
      </c>
      <c r="X689" s="172" t="s">
        <v>11</v>
      </c>
      <c r="Y689" s="172" t="s">
        <v>98</v>
      </c>
      <c r="Z689" s="174"/>
      <c r="AA689" s="170"/>
      <c r="AB689" s="161"/>
      <c r="AC689" s="161"/>
    </row>
    <row r="690" spans="1:29" ht="18" customHeight="1" x14ac:dyDescent="0.2">
      <c r="A690" s="166"/>
      <c r="B690" s="445" t="s">
        <v>90</v>
      </c>
      <c r="C690" s="413"/>
      <c r="D690" s="152"/>
      <c r="E690" s="152"/>
      <c r="F690" s="192" t="s">
        <v>107</v>
      </c>
      <c r="G690" s="193" t="str">
        <f>IF($J$1="January",U690,IF($J$1="February",U691,IF($J$1="March",U692,IF($J$1="April",U693,IF($J$1="May",U694,IF($J$1="June",U695,IF($J$1="July",U696,IF($J$1="August",U697,IF($J$1="August",U697,IF($J$1="September",U698,IF($J$1="October",U699,IF($J$1="November",U700,IF($J$1="December",U701)))))))))))))</f>
        <v/>
      </c>
      <c r="H690" s="190"/>
      <c r="I690" s="194">
        <f>IF(C694&gt;0,$K$2,C692)</f>
        <v>31</v>
      </c>
      <c r="J690" s="195" t="s">
        <v>108</v>
      </c>
      <c r="K690" s="196">
        <f>K686/$K$2*I690</f>
        <v>35000</v>
      </c>
      <c r="L690" s="197"/>
      <c r="M690" s="161"/>
      <c r="N690" s="178"/>
      <c r="O690" s="179" t="s">
        <v>100</v>
      </c>
      <c r="P690" s="179"/>
      <c r="Q690" s="179"/>
      <c r="R690" s="179"/>
      <c r="S690" s="180"/>
      <c r="T690" s="179" t="s">
        <v>100</v>
      </c>
      <c r="U690" s="181"/>
      <c r="V690" s="181"/>
      <c r="W690" s="181">
        <f>V690+U690</f>
        <v>0</v>
      </c>
      <c r="X690" s="181"/>
      <c r="Y690" s="181">
        <f>W690-X690</f>
        <v>0</v>
      </c>
      <c r="Z690" s="174"/>
      <c r="AA690" s="161"/>
      <c r="AB690" s="161"/>
      <c r="AC690" s="161"/>
    </row>
    <row r="691" spans="1:29" ht="18" customHeight="1" x14ac:dyDescent="0.2">
      <c r="A691" s="166"/>
      <c r="B691" s="198"/>
      <c r="C691" s="198"/>
      <c r="D691" s="152"/>
      <c r="E691" s="152"/>
      <c r="F691" s="192" t="s">
        <v>9</v>
      </c>
      <c r="G691" s="193">
        <f>IF($J$1="January",V690,IF($J$1="February",V691,IF($J$1="March",V692,IF($J$1="April",V693,IF($J$1="May",V694,IF($J$1="June",V695,IF($J$1="July",V696,IF($J$1="August",V697,IF($J$1="August",V697,IF($J$1="September",V698,IF($J$1="October",V699,IF($J$1="November",V700,IF($J$1="December",V701)))))))))))))</f>
        <v>0</v>
      </c>
      <c r="H691" s="190"/>
      <c r="I691" s="214">
        <v>38</v>
      </c>
      <c r="J691" s="195" t="s">
        <v>110</v>
      </c>
      <c r="K691" s="193">
        <f>K686/$K$2/8*I691</f>
        <v>5362.9032258064517</v>
      </c>
      <c r="L691" s="199"/>
      <c r="M691" s="162"/>
      <c r="N691" s="184"/>
      <c r="O691" s="179" t="s">
        <v>102</v>
      </c>
      <c r="P691" s="179"/>
      <c r="Q691" s="179"/>
      <c r="R691" s="179">
        <v>0</v>
      </c>
      <c r="S691" s="159"/>
      <c r="T691" s="179" t="s">
        <v>102</v>
      </c>
      <c r="U691" s="185">
        <f>Y690</f>
        <v>0</v>
      </c>
      <c r="V691" s="181"/>
      <c r="W691" s="185">
        <f t="shared" ref="W691:W701" si="191">IF(U691="","",U691+V691)</f>
        <v>0</v>
      </c>
      <c r="X691" s="181"/>
      <c r="Y691" s="185">
        <f t="shared" ref="Y691:Y701" si="192">IF(W691="","",W691-X691)</f>
        <v>0</v>
      </c>
      <c r="Z691" s="186"/>
      <c r="AA691" s="162"/>
      <c r="AB691" s="161"/>
      <c r="AC691" s="161"/>
    </row>
    <row r="692" spans="1:29" ht="18" customHeight="1" x14ac:dyDescent="0.2">
      <c r="A692" s="166"/>
      <c r="B692" s="192" t="s">
        <v>94</v>
      </c>
      <c r="C692" s="198">
        <f>IF($J$1="January",P690,IF($J$1="February",P691,IF($J$1="March",P692,IF($J$1="April",P693,IF($J$1="May",P694,IF($J$1="June",P695,IF($J$1="July",P696,IF($J$1="August",P697,IF($J$1="August",P697,IF($J$1="September",P698,IF($J$1="October",P699,IF($J$1="November",P700,IF($J$1="December",P701)))))))))))))</f>
        <v>0</v>
      </c>
      <c r="D692" s="152"/>
      <c r="E692" s="152"/>
      <c r="F692" s="192" t="s">
        <v>111</v>
      </c>
      <c r="G692" s="193" t="str">
        <f>IF($J$1="January",W690,IF($J$1="February",W691,IF($J$1="March",W692,IF($J$1="April",W693,IF($J$1="May",W694,IF($J$1="June",W695,IF($J$1="July",W696,IF($J$1="August",W697,IF($J$1="August",W697,IF($J$1="September",W698,IF($J$1="October",W699,IF($J$1="November",W700,IF($J$1="December",W701)))))))))))))</f>
        <v/>
      </c>
      <c r="H692" s="190"/>
      <c r="I692" s="446" t="s">
        <v>112</v>
      </c>
      <c r="J692" s="413"/>
      <c r="K692" s="193">
        <f>K690+K691</f>
        <v>40362.903225806454</v>
      </c>
      <c r="L692" s="199"/>
      <c r="M692" s="161"/>
      <c r="N692" s="178"/>
      <c r="O692" s="179" t="s">
        <v>105</v>
      </c>
      <c r="P692" s="179"/>
      <c r="Q692" s="179"/>
      <c r="R692" s="179">
        <v>0</v>
      </c>
      <c r="S692" s="159"/>
      <c r="T692" s="179" t="s">
        <v>105</v>
      </c>
      <c r="U692" s="185">
        <f t="shared" ref="U692:U693" si="193">IF($J$1="April",Y691,Y691)</f>
        <v>0</v>
      </c>
      <c r="V692" s="181"/>
      <c r="W692" s="185">
        <f t="shared" si="191"/>
        <v>0</v>
      </c>
      <c r="X692" s="181"/>
      <c r="Y692" s="185">
        <f t="shared" si="192"/>
        <v>0</v>
      </c>
      <c r="Z692" s="186"/>
      <c r="AA692" s="161"/>
      <c r="AB692" s="161"/>
      <c r="AC692" s="161"/>
    </row>
    <row r="693" spans="1:29" ht="18" customHeight="1" x14ac:dyDescent="0.2">
      <c r="A693" s="166"/>
      <c r="B693" s="192" t="s">
        <v>95</v>
      </c>
      <c r="C693" s="198">
        <f>IF($J$1="January",Q690,IF($J$1="February",Q691,IF($J$1="March",Q692,IF($J$1="April",Q693,IF($J$1="May",Q694,IF($J$1="June",Q695,IF($J$1="July",Q696,IF($J$1="August",Q697,IF($J$1="August",Q697,IF($J$1="September",Q698,IF($J$1="October",Q699,IF($J$1="November",Q700,IF($J$1="December",Q701)))))))))))))</f>
        <v>0</v>
      </c>
      <c r="D693" s="152"/>
      <c r="E693" s="152"/>
      <c r="F693" s="192" t="s">
        <v>11</v>
      </c>
      <c r="G693" s="193">
        <f>IF($J$1="January",X690,IF($J$1="February",X691,IF($J$1="March",X692,IF($J$1="April",X693,IF($J$1="May",X694,IF($J$1="June",X695,IF($J$1="July",X696,IF($J$1="August",X697,IF($J$1="August",X697,IF($J$1="September",X698,IF($J$1="October",X699,IF($J$1="November",X700,IF($J$1="December",X701)))))))))))))</f>
        <v>0</v>
      </c>
      <c r="H693" s="190"/>
      <c r="I693" s="446" t="s">
        <v>114</v>
      </c>
      <c r="J693" s="413"/>
      <c r="K693" s="193">
        <f>G693</f>
        <v>0</v>
      </c>
      <c r="L693" s="199"/>
      <c r="M693" s="161"/>
      <c r="N693" s="178"/>
      <c r="O693" s="179" t="s">
        <v>106</v>
      </c>
      <c r="P693" s="179"/>
      <c r="Q693" s="179"/>
      <c r="R693" s="179">
        <v>0</v>
      </c>
      <c r="S693" s="159"/>
      <c r="T693" s="179" t="s">
        <v>106</v>
      </c>
      <c r="U693" s="185">
        <f t="shared" si="193"/>
        <v>0</v>
      </c>
      <c r="V693" s="181"/>
      <c r="W693" s="185">
        <f t="shared" si="191"/>
        <v>0</v>
      </c>
      <c r="X693" s="181"/>
      <c r="Y693" s="185">
        <f t="shared" si="192"/>
        <v>0</v>
      </c>
      <c r="Z693" s="186"/>
      <c r="AA693" s="161"/>
      <c r="AB693" s="161"/>
      <c r="AC693" s="161"/>
    </row>
    <row r="694" spans="1:29" ht="18" customHeight="1" x14ac:dyDescent="0.2">
      <c r="A694" s="166"/>
      <c r="B694" s="215" t="s">
        <v>116</v>
      </c>
      <c r="C694" s="198" t="str">
        <f>IF($J$1="January",R690,IF($J$1="February",R691,IF($J$1="March",R692,IF($J$1="April",R693,IF($J$1="May",R694,IF($J$1="June",R695,IF($J$1="July",R696,IF($J$1="August",R697,IF($J$1="August",R697,IF($J$1="September",R698,IF($J$1="October",R699,IF($J$1="November",R700,IF($J$1="December",R701)))))))))))))</f>
        <v/>
      </c>
      <c r="D694" s="152"/>
      <c r="E694" s="152"/>
      <c r="F694" s="192" t="s">
        <v>169</v>
      </c>
      <c r="G694" s="193" t="str">
        <f>IF($J$1="January",Y690,IF($J$1="February",Y691,IF($J$1="March",Y692,IF($J$1="April",Y693,IF($J$1="May",Y694,IF($J$1="June",Y695,IF($J$1="July",Y696,IF($J$1="August",Y697,IF($J$1="August",Y697,IF($J$1="September",Y698,IF($J$1="October",Y699,IF($J$1="November",Y700,IF($J$1="December",Y701)))))))))))))</f>
        <v/>
      </c>
      <c r="H694" s="152"/>
      <c r="I694" s="439" t="s">
        <v>13</v>
      </c>
      <c r="J694" s="413"/>
      <c r="K694" s="37">
        <f>K692-K693</f>
        <v>40362.903225806454</v>
      </c>
      <c r="L694" s="183"/>
      <c r="M694" s="161"/>
      <c r="N694" s="178"/>
      <c r="O694" s="179" t="s">
        <v>109</v>
      </c>
      <c r="P694" s="179">
        <v>29</v>
      </c>
      <c r="Q694" s="179">
        <v>2</v>
      </c>
      <c r="R694" s="179">
        <v>0</v>
      </c>
      <c r="S694" s="159"/>
      <c r="T694" s="179" t="s">
        <v>109</v>
      </c>
      <c r="U694" s="185">
        <f t="shared" ref="U694:U695" si="194">IF($J$1="May",Y693,Y693)</f>
        <v>0</v>
      </c>
      <c r="V694" s="181"/>
      <c r="W694" s="185">
        <f t="shared" si="191"/>
        <v>0</v>
      </c>
      <c r="X694" s="181"/>
      <c r="Y694" s="185">
        <f t="shared" si="192"/>
        <v>0</v>
      </c>
      <c r="Z694" s="186"/>
      <c r="AA694" s="161"/>
      <c r="AB694" s="161"/>
      <c r="AC694" s="161"/>
    </row>
    <row r="695" spans="1:29" ht="18" customHeight="1" x14ac:dyDescent="0.2">
      <c r="A695" s="166"/>
      <c r="B695" s="152"/>
      <c r="C695" s="152"/>
      <c r="D695" s="152"/>
      <c r="E695" s="152"/>
      <c r="F695" s="152"/>
      <c r="G695" s="152"/>
      <c r="H695" s="152"/>
      <c r="I695" s="434"/>
      <c r="J695" s="435"/>
      <c r="K695" s="154"/>
      <c r="L695" s="189"/>
      <c r="M695" s="161"/>
      <c r="N695" s="178"/>
      <c r="O695" s="179" t="s">
        <v>85</v>
      </c>
      <c r="P695" s="179">
        <v>29</v>
      </c>
      <c r="Q695" s="179">
        <v>1</v>
      </c>
      <c r="R695" s="179">
        <v>0</v>
      </c>
      <c r="S695" s="159"/>
      <c r="T695" s="179" t="s">
        <v>85</v>
      </c>
      <c r="U695" s="185">
        <f t="shared" si="194"/>
        <v>0</v>
      </c>
      <c r="V695" s="181"/>
      <c r="W695" s="185">
        <f t="shared" si="191"/>
        <v>0</v>
      </c>
      <c r="X695" s="181"/>
      <c r="Y695" s="185">
        <f t="shared" si="192"/>
        <v>0</v>
      </c>
      <c r="Z695" s="186"/>
      <c r="AA695" s="161"/>
      <c r="AB695" s="161"/>
      <c r="AC695" s="161"/>
    </row>
    <row r="696" spans="1:29" ht="18" customHeight="1" x14ac:dyDescent="0.3">
      <c r="A696" s="166"/>
      <c r="B696" s="150"/>
      <c r="C696" s="150"/>
      <c r="D696" s="150"/>
      <c r="E696" s="150"/>
      <c r="F696" s="150"/>
      <c r="G696" s="150"/>
      <c r="H696" s="150"/>
      <c r="I696" s="434"/>
      <c r="J696" s="435"/>
      <c r="K696" s="154"/>
      <c r="L696" s="189"/>
      <c r="M696" s="161"/>
      <c r="N696" s="178"/>
      <c r="O696" s="179" t="s">
        <v>113</v>
      </c>
      <c r="P696" s="179">
        <v>31</v>
      </c>
      <c r="Q696" s="179">
        <v>0</v>
      </c>
      <c r="R696" s="179">
        <v>0</v>
      </c>
      <c r="S696" s="159"/>
      <c r="T696" s="179" t="s">
        <v>113</v>
      </c>
      <c r="U696" s="185" t="str">
        <f>IF($J$1="July",Y695,"")</f>
        <v/>
      </c>
      <c r="V696" s="181"/>
      <c r="W696" s="185" t="str">
        <f t="shared" si="191"/>
        <v/>
      </c>
      <c r="X696" s="181"/>
      <c r="Y696" s="185" t="str">
        <f t="shared" si="192"/>
        <v/>
      </c>
      <c r="Z696" s="186"/>
      <c r="AA696" s="161"/>
      <c r="AB696" s="161"/>
      <c r="AC696" s="161"/>
    </row>
    <row r="697" spans="1:29" ht="18" customHeight="1" x14ac:dyDescent="0.3">
      <c r="A697" s="166"/>
      <c r="B697" s="150"/>
      <c r="C697" s="150"/>
      <c r="D697" s="150"/>
      <c r="E697" s="150"/>
      <c r="F697" s="150"/>
      <c r="G697" s="150"/>
      <c r="H697" s="150"/>
      <c r="I697" s="150"/>
      <c r="J697" s="150"/>
      <c r="K697" s="150"/>
      <c r="L697" s="189"/>
      <c r="M697" s="161"/>
      <c r="N697" s="178"/>
      <c r="O697" s="179" t="s">
        <v>115</v>
      </c>
      <c r="P697" s="179"/>
      <c r="Q697" s="179"/>
      <c r="R697" s="179" t="str">
        <f t="shared" ref="R697:R701" si="195">IF(Q697="","",R696-Q697)</f>
        <v/>
      </c>
      <c r="S697" s="159"/>
      <c r="T697" s="179" t="s">
        <v>115</v>
      </c>
      <c r="U697" s="185" t="str">
        <f>IF($J$1="August",Y696,"")</f>
        <v/>
      </c>
      <c r="V697" s="181"/>
      <c r="W697" s="185" t="str">
        <f t="shared" si="191"/>
        <v/>
      </c>
      <c r="X697" s="181"/>
      <c r="Y697" s="185" t="str">
        <f t="shared" si="192"/>
        <v/>
      </c>
      <c r="Z697" s="186"/>
      <c r="AA697" s="161"/>
      <c r="AB697" s="161"/>
      <c r="AC697" s="161"/>
    </row>
    <row r="698" spans="1:29" ht="18" customHeight="1" thickBot="1" x14ac:dyDescent="0.25">
      <c r="A698" s="200"/>
      <c r="B698" s="216"/>
      <c r="C698" s="216"/>
      <c r="D698" s="216"/>
      <c r="E698" s="216"/>
      <c r="F698" s="216"/>
      <c r="G698" s="216"/>
      <c r="H698" s="216"/>
      <c r="I698" s="216"/>
      <c r="J698" s="216"/>
      <c r="K698" s="216"/>
      <c r="L698" s="202"/>
      <c r="M698" s="161"/>
      <c r="N698" s="178"/>
      <c r="O698" s="179" t="s">
        <v>118</v>
      </c>
      <c r="P698" s="179"/>
      <c r="Q698" s="179"/>
      <c r="R698" s="179" t="str">
        <f t="shared" si="195"/>
        <v/>
      </c>
      <c r="S698" s="159"/>
      <c r="T698" s="179" t="s">
        <v>118</v>
      </c>
      <c r="U698" s="185" t="str">
        <f>IF($J$1="Sept",Y697,"")</f>
        <v/>
      </c>
      <c r="V698" s="181"/>
      <c r="W698" s="185" t="str">
        <f t="shared" si="191"/>
        <v/>
      </c>
      <c r="X698" s="181"/>
      <c r="Y698" s="185" t="str">
        <f t="shared" si="192"/>
        <v/>
      </c>
      <c r="Z698" s="186"/>
      <c r="AA698" s="161"/>
      <c r="AB698" s="161"/>
      <c r="AC698" s="161"/>
    </row>
    <row r="699" spans="1:29" ht="18" customHeight="1" thickBot="1" x14ac:dyDescent="0.25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61"/>
      <c r="N699" s="178"/>
      <c r="O699" s="179" t="s">
        <v>119</v>
      </c>
      <c r="P699" s="179"/>
      <c r="Q699" s="179"/>
      <c r="R699" s="179" t="str">
        <f t="shared" si="195"/>
        <v/>
      </c>
      <c r="S699" s="159"/>
      <c r="T699" s="179" t="s">
        <v>119</v>
      </c>
      <c r="U699" s="185" t="str">
        <f>IF($J$1="October",Y698,"")</f>
        <v/>
      </c>
      <c r="V699" s="181"/>
      <c r="W699" s="185" t="str">
        <f t="shared" si="191"/>
        <v/>
      </c>
      <c r="X699" s="181"/>
      <c r="Y699" s="185" t="str">
        <f t="shared" si="192"/>
        <v/>
      </c>
      <c r="Z699" s="186"/>
      <c r="AA699" s="161"/>
      <c r="AB699" s="161"/>
      <c r="AC699" s="161"/>
    </row>
    <row r="700" spans="1:29" ht="18" customHeight="1" thickBot="1" x14ac:dyDescent="0.25">
      <c r="A700" s="447" t="s">
        <v>89</v>
      </c>
      <c r="B700" s="453"/>
      <c r="C700" s="453"/>
      <c r="D700" s="453"/>
      <c r="E700" s="453"/>
      <c r="F700" s="453"/>
      <c r="G700" s="453"/>
      <c r="H700" s="453"/>
      <c r="I700" s="453"/>
      <c r="J700" s="453"/>
      <c r="K700" s="453"/>
      <c r="L700" s="454"/>
      <c r="M700" s="161"/>
      <c r="N700" s="178"/>
      <c r="O700" s="179" t="s">
        <v>120</v>
      </c>
      <c r="P700" s="179"/>
      <c r="Q700" s="179"/>
      <c r="R700" s="179" t="str">
        <f t="shared" si="195"/>
        <v/>
      </c>
      <c r="S700" s="159"/>
      <c r="T700" s="179" t="s">
        <v>120</v>
      </c>
      <c r="U700" s="185" t="str">
        <f>IF($J$1="November",Y699,"")</f>
        <v/>
      </c>
      <c r="V700" s="181"/>
      <c r="W700" s="185" t="str">
        <f t="shared" si="191"/>
        <v/>
      </c>
      <c r="X700" s="181"/>
      <c r="Y700" s="185" t="str">
        <f t="shared" si="192"/>
        <v/>
      </c>
      <c r="Z700" s="186"/>
      <c r="AA700" s="161"/>
      <c r="AB700" s="161"/>
      <c r="AC700" s="161"/>
    </row>
    <row r="701" spans="1:29" ht="18" customHeight="1" x14ac:dyDescent="0.2">
      <c r="A701" s="166"/>
      <c r="B701" s="152"/>
      <c r="C701" s="443" t="s">
        <v>214</v>
      </c>
      <c r="D701" s="435"/>
      <c r="E701" s="435"/>
      <c r="F701" s="435"/>
      <c r="G701" s="167" t="str">
        <f>$J$1</f>
        <v>August</v>
      </c>
      <c r="H701" s="444">
        <f>$K$1</f>
        <v>2024</v>
      </c>
      <c r="I701" s="435"/>
      <c r="J701" s="152"/>
      <c r="K701" s="168"/>
      <c r="L701" s="169"/>
      <c r="M701" s="161"/>
      <c r="N701" s="178"/>
      <c r="O701" s="179" t="s">
        <v>121</v>
      </c>
      <c r="P701" s="179"/>
      <c r="Q701" s="179"/>
      <c r="R701" s="179" t="str">
        <f t="shared" si="195"/>
        <v/>
      </c>
      <c r="S701" s="159"/>
      <c r="T701" s="179" t="s">
        <v>121</v>
      </c>
      <c r="U701" s="185" t="str">
        <f>IF($J$1="Dec",Y700,"")</f>
        <v/>
      </c>
      <c r="V701" s="181"/>
      <c r="W701" s="185" t="str">
        <f t="shared" si="191"/>
        <v/>
      </c>
      <c r="X701" s="181"/>
      <c r="Y701" s="185" t="str">
        <f t="shared" si="192"/>
        <v/>
      </c>
      <c r="Z701" s="186"/>
      <c r="AA701" s="161"/>
      <c r="AB701" s="161"/>
      <c r="AC701" s="161"/>
    </row>
    <row r="702" spans="1:29" ht="18" customHeight="1" thickBot="1" x14ac:dyDescent="0.25">
      <c r="A702" s="166"/>
      <c r="B702" s="152"/>
      <c r="C702" s="152"/>
      <c r="D702" s="175"/>
      <c r="E702" s="175"/>
      <c r="F702" s="175"/>
      <c r="G702" s="175"/>
      <c r="H702" s="175"/>
      <c r="I702" s="152"/>
      <c r="J702" s="176" t="s">
        <v>99</v>
      </c>
      <c r="K702" s="154">
        <v>30000</v>
      </c>
      <c r="L702" s="177"/>
      <c r="M702" s="161"/>
      <c r="N702" s="217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21"/>
      <c r="AA702" s="161"/>
      <c r="AB702" s="161"/>
      <c r="AC702" s="161"/>
    </row>
    <row r="703" spans="1:29" ht="18" customHeight="1" thickBot="1" x14ac:dyDescent="0.25">
      <c r="A703" s="166"/>
      <c r="B703" s="152" t="s">
        <v>101</v>
      </c>
      <c r="C703" s="151" t="s">
        <v>215</v>
      </c>
      <c r="D703" s="152"/>
      <c r="E703" s="152"/>
      <c r="F703" s="152"/>
      <c r="G703" s="152"/>
      <c r="H703" s="182"/>
      <c r="I703" s="175"/>
      <c r="J703" s="152"/>
      <c r="K703" s="152"/>
      <c r="L703" s="183"/>
      <c r="M703" s="161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  <c r="AA703" s="161"/>
      <c r="AB703" s="161"/>
      <c r="AC703" s="161"/>
    </row>
    <row r="704" spans="1:29" ht="18" customHeight="1" x14ac:dyDescent="0.2">
      <c r="A704" s="166"/>
      <c r="B704" s="187" t="s">
        <v>103</v>
      </c>
      <c r="C704" s="188"/>
      <c r="D704" s="152"/>
      <c r="E704" s="152"/>
      <c r="F704" s="439" t="s">
        <v>91</v>
      </c>
      <c r="G704" s="413"/>
      <c r="H704" s="152"/>
      <c r="I704" s="439" t="s">
        <v>104</v>
      </c>
      <c r="J704" s="412"/>
      <c r="K704" s="413"/>
      <c r="L704" s="189"/>
      <c r="M704" s="162"/>
      <c r="N704" s="163"/>
      <c r="O704" s="440" t="s">
        <v>90</v>
      </c>
      <c r="P704" s="441"/>
      <c r="Q704" s="441"/>
      <c r="R704" s="442"/>
      <c r="S704" s="164"/>
      <c r="T704" s="440" t="s">
        <v>91</v>
      </c>
      <c r="U704" s="441"/>
      <c r="V704" s="441"/>
      <c r="W704" s="441"/>
      <c r="X704" s="441"/>
      <c r="Y704" s="442"/>
      <c r="Z704" s="165"/>
      <c r="AA704" s="162"/>
      <c r="AB704" s="161"/>
      <c r="AC704" s="161"/>
    </row>
    <row r="705" spans="1:29" ht="18" customHeight="1" x14ac:dyDescent="0.2">
      <c r="A705" s="166"/>
      <c r="B705" s="152"/>
      <c r="C705" s="152"/>
      <c r="D705" s="152"/>
      <c r="E705" s="152"/>
      <c r="F705" s="152"/>
      <c r="G705" s="152"/>
      <c r="H705" s="190"/>
      <c r="I705" s="152"/>
      <c r="J705" s="152"/>
      <c r="K705" s="152"/>
      <c r="L705" s="191"/>
      <c r="M705" s="170"/>
      <c r="N705" s="171"/>
      <c r="O705" s="172" t="s">
        <v>93</v>
      </c>
      <c r="P705" s="172" t="s">
        <v>94</v>
      </c>
      <c r="Q705" s="172" t="s">
        <v>95</v>
      </c>
      <c r="R705" s="172" t="s">
        <v>96</v>
      </c>
      <c r="S705" s="173"/>
      <c r="T705" s="172" t="s">
        <v>93</v>
      </c>
      <c r="U705" s="172" t="s">
        <v>97</v>
      </c>
      <c r="V705" s="172" t="s">
        <v>9</v>
      </c>
      <c r="W705" s="172" t="s">
        <v>10</v>
      </c>
      <c r="X705" s="172" t="s">
        <v>11</v>
      </c>
      <c r="Y705" s="172" t="s">
        <v>98</v>
      </c>
      <c r="Z705" s="174"/>
      <c r="AA705" s="170"/>
      <c r="AB705" s="161"/>
      <c r="AC705" s="161"/>
    </row>
    <row r="706" spans="1:29" ht="18" customHeight="1" x14ac:dyDescent="0.2">
      <c r="A706" s="166"/>
      <c r="B706" s="445" t="s">
        <v>90</v>
      </c>
      <c r="C706" s="413"/>
      <c r="D706" s="152"/>
      <c r="E706" s="152"/>
      <c r="F706" s="192" t="s">
        <v>107</v>
      </c>
      <c r="G706" s="193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>0</v>
      </c>
      <c r="H706" s="190"/>
      <c r="I706" s="194">
        <f>IF(C710&gt;0,$K$2,C708)</f>
        <v>0</v>
      </c>
      <c r="J706" s="195" t="s">
        <v>108</v>
      </c>
      <c r="K706" s="196">
        <f>K702/$K$2*I706</f>
        <v>0</v>
      </c>
      <c r="L706" s="197"/>
      <c r="M706" s="161"/>
      <c r="N706" s="178"/>
      <c r="O706" s="179" t="s">
        <v>100</v>
      </c>
      <c r="P706" s="179"/>
      <c r="Q706" s="179"/>
      <c r="R706" s="179"/>
      <c r="S706" s="180"/>
      <c r="T706" s="179" t="s">
        <v>100</v>
      </c>
      <c r="U706" s="181"/>
      <c r="V706" s="181"/>
      <c r="W706" s="181">
        <f>V706+U706</f>
        <v>0</v>
      </c>
      <c r="X706" s="181"/>
      <c r="Y706" s="181">
        <f>W706-X706</f>
        <v>0</v>
      </c>
      <c r="Z706" s="174"/>
      <c r="AA706" s="161"/>
      <c r="AB706" s="161"/>
      <c r="AC706" s="161"/>
    </row>
    <row r="707" spans="1:29" ht="18" customHeight="1" x14ac:dyDescent="0.2">
      <c r="A707" s="166"/>
      <c r="B707" s="198"/>
      <c r="C707" s="198"/>
      <c r="D707" s="152"/>
      <c r="E707" s="152"/>
      <c r="F707" s="192" t="s">
        <v>9</v>
      </c>
      <c r="G707" s="193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07" s="190"/>
      <c r="I707" s="194">
        <v>81</v>
      </c>
      <c r="J707" s="195" t="s">
        <v>110</v>
      </c>
      <c r="K707" s="193">
        <f>K702/$K$2/8*I707</f>
        <v>9798.3870967741932</v>
      </c>
      <c r="L707" s="199"/>
      <c r="M707" s="162"/>
      <c r="N707" s="184"/>
      <c r="O707" s="179" t="s">
        <v>102</v>
      </c>
      <c r="P707" s="179"/>
      <c r="Q707" s="179"/>
      <c r="R707" s="179"/>
      <c r="S707" s="159"/>
      <c r="T707" s="179" t="s">
        <v>102</v>
      </c>
      <c r="U707" s="185">
        <f t="shared" ref="U707:U708" si="196">Y706</f>
        <v>0</v>
      </c>
      <c r="V707" s="181"/>
      <c r="W707" s="185">
        <f t="shared" ref="W707:W717" si="197">IF(U707="","",U707+V707)</f>
        <v>0</v>
      </c>
      <c r="X707" s="181"/>
      <c r="Y707" s="185">
        <f t="shared" ref="Y707:Y717" si="198">IF(W707="","",W707-X707)</f>
        <v>0</v>
      </c>
      <c r="Z707" s="186"/>
      <c r="AA707" s="162"/>
      <c r="AB707" s="161"/>
      <c r="AC707" s="161"/>
    </row>
    <row r="708" spans="1:29" ht="18" customHeight="1" x14ac:dyDescent="0.2">
      <c r="A708" s="166"/>
      <c r="B708" s="192" t="s">
        <v>94</v>
      </c>
      <c r="C708" s="198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0</v>
      </c>
      <c r="D708" s="152"/>
      <c r="E708" s="152"/>
      <c r="F708" s="192" t="s">
        <v>111</v>
      </c>
      <c r="G708" s="193" t="str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/>
      </c>
      <c r="H708" s="190"/>
      <c r="I708" s="446" t="s">
        <v>112</v>
      </c>
      <c r="J708" s="413"/>
      <c r="K708" s="193">
        <f>K706+K707</f>
        <v>9798.3870967741932</v>
      </c>
      <c r="L708" s="199"/>
      <c r="M708" s="161"/>
      <c r="N708" s="178"/>
      <c r="O708" s="179" t="s">
        <v>105</v>
      </c>
      <c r="P708" s="179">
        <v>14</v>
      </c>
      <c r="Q708" s="179"/>
      <c r="R708" s="179">
        <v>0</v>
      </c>
      <c r="S708" s="159"/>
      <c r="T708" s="179" t="s">
        <v>105</v>
      </c>
      <c r="U708" s="185">
        <f t="shared" si="196"/>
        <v>0</v>
      </c>
      <c r="V708" s="181"/>
      <c r="W708" s="185">
        <f t="shared" si="197"/>
        <v>0</v>
      </c>
      <c r="X708" s="181"/>
      <c r="Y708" s="185">
        <f t="shared" si="198"/>
        <v>0</v>
      </c>
      <c r="Z708" s="186"/>
      <c r="AA708" s="161"/>
      <c r="AB708" s="161"/>
      <c r="AC708" s="161"/>
    </row>
    <row r="709" spans="1:29" ht="18" customHeight="1" x14ac:dyDescent="0.2">
      <c r="A709" s="166"/>
      <c r="B709" s="192" t="s">
        <v>95</v>
      </c>
      <c r="C709" s="198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0</v>
      </c>
      <c r="D709" s="152"/>
      <c r="E709" s="152"/>
      <c r="F709" s="192" t="s">
        <v>11</v>
      </c>
      <c r="G709" s="193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0</v>
      </c>
      <c r="H709" s="190"/>
      <c r="I709" s="446" t="s">
        <v>114</v>
      </c>
      <c r="J709" s="413"/>
      <c r="K709" s="193">
        <f>G709</f>
        <v>0</v>
      </c>
      <c r="L709" s="199"/>
      <c r="M709" s="161"/>
      <c r="N709" s="178"/>
      <c r="O709" s="179" t="s">
        <v>106</v>
      </c>
      <c r="P709" s="179">
        <v>30</v>
      </c>
      <c r="Q709" s="179">
        <v>0</v>
      </c>
      <c r="R709" s="179"/>
      <c r="S709" s="159"/>
      <c r="T709" s="179" t="s">
        <v>106</v>
      </c>
      <c r="U709" s="185">
        <f>IF($J$1="March","",Y708)</f>
        <v>0</v>
      </c>
      <c r="V709" s="181"/>
      <c r="W709" s="185">
        <f t="shared" si="197"/>
        <v>0</v>
      </c>
      <c r="X709" s="181"/>
      <c r="Y709" s="185">
        <f t="shared" si="198"/>
        <v>0</v>
      </c>
      <c r="Z709" s="186"/>
      <c r="AA709" s="161"/>
      <c r="AB709" s="161"/>
      <c r="AC709" s="161"/>
    </row>
    <row r="710" spans="1:29" ht="18" customHeight="1" x14ac:dyDescent="0.2">
      <c r="A710" s="166"/>
      <c r="B710" s="207" t="s">
        <v>116</v>
      </c>
      <c r="C710" s="198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0" s="152"/>
      <c r="E710" s="152"/>
      <c r="F710" s="207" t="s">
        <v>117</v>
      </c>
      <c r="G710" s="193" t="str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/>
      </c>
      <c r="H710" s="152"/>
      <c r="I710" s="439" t="s">
        <v>13</v>
      </c>
      <c r="J710" s="413"/>
      <c r="K710" s="37">
        <f>K708-K709</f>
        <v>9798.3870967741932</v>
      </c>
      <c r="L710" s="183"/>
      <c r="M710" s="161"/>
      <c r="N710" s="178"/>
      <c r="O710" s="179" t="s">
        <v>109</v>
      </c>
      <c r="P710" s="179">
        <v>31</v>
      </c>
      <c r="Q710" s="179">
        <v>0</v>
      </c>
      <c r="R710" s="179"/>
      <c r="S710" s="159"/>
      <c r="T710" s="179" t="s">
        <v>109</v>
      </c>
      <c r="U710" s="185">
        <f t="shared" ref="U710:U711" si="199">IF($J$1="May",Y709,Y709)</f>
        <v>0</v>
      </c>
      <c r="V710" s="181"/>
      <c r="W710" s="185">
        <f t="shared" si="197"/>
        <v>0</v>
      </c>
      <c r="X710" s="181"/>
      <c r="Y710" s="185">
        <f t="shared" si="198"/>
        <v>0</v>
      </c>
      <c r="Z710" s="186"/>
      <c r="AA710" s="161"/>
      <c r="AB710" s="161"/>
      <c r="AC710" s="161"/>
    </row>
    <row r="711" spans="1:29" ht="18" customHeight="1" x14ac:dyDescent="0.2">
      <c r="A711" s="166"/>
      <c r="B711" s="152"/>
      <c r="C711" s="152"/>
      <c r="D711" s="152"/>
      <c r="E711" s="152"/>
      <c r="F711" s="152"/>
      <c r="G711" s="161"/>
      <c r="H711" s="161"/>
      <c r="I711" s="434"/>
      <c r="J711" s="435"/>
      <c r="K711" s="154"/>
      <c r="L711" s="189"/>
      <c r="M711" s="161"/>
      <c r="N711" s="178"/>
      <c r="O711" s="179" t="s">
        <v>85</v>
      </c>
      <c r="P711" s="179">
        <v>30</v>
      </c>
      <c r="Q711" s="179">
        <v>0</v>
      </c>
      <c r="R711" s="179"/>
      <c r="S711" s="159"/>
      <c r="T711" s="179" t="s">
        <v>85</v>
      </c>
      <c r="U711" s="185">
        <f t="shared" si="199"/>
        <v>0</v>
      </c>
      <c r="V711" s="181">
        <v>20000</v>
      </c>
      <c r="W711" s="185">
        <f t="shared" si="197"/>
        <v>20000</v>
      </c>
      <c r="X711" s="181">
        <v>3000</v>
      </c>
      <c r="Y711" s="185">
        <f t="shared" si="198"/>
        <v>17000</v>
      </c>
      <c r="Z711" s="186"/>
      <c r="AA711" s="161"/>
      <c r="AB711" s="161"/>
      <c r="AC711" s="161"/>
    </row>
    <row r="712" spans="1:29" ht="18" customHeight="1" x14ac:dyDescent="0.3">
      <c r="A712" s="166"/>
      <c r="B712" s="150"/>
      <c r="C712" s="150"/>
      <c r="D712" s="150"/>
      <c r="E712" s="150"/>
      <c r="F712" s="150"/>
      <c r="G712" s="150"/>
      <c r="H712" s="150"/>
      <c r="I712" s="434"/>
      <c r="J712" s="435"/>
      <c r="K712" s="154"/>
      <c r="L712" s="189"/>
      <c r="M712" s="161"/>
      <c r="N712" s="178"/>
      <c r="O712" s="179" t="s">
        <v>113</v>
      </c>
      <c r="P712" s="179">
        <v>31</v>
      </c>
      <c r="Q712" s="179">
        <v>0</v>
      </c>
      <c r="R712" s="179">
        <f>IF(Q712="","",R711-Q712)</f>
        <v>0</v>
      </c>
      <c r="S712" s="159"/>
      <c r="T712" s="179" t="s">
        <v>113</v>
      </c>
      <c r="U712" s="185">
        <f>Y711</f>
        <v>17000</v>
      </c>
      <c r="V712" s="181"/>
      <c r="W712" s="185">
        <f t="shared" si="197"/>
        <v>17000</v>
      </c>
      <c r="X712" s="181">
        <v>3000</v>
      </c>
      <c r="Y712" s="185">
        <f t="shared" si="198"/>
        <v>14000</v>
      </c>
      <c r="Z712" s="186"/>
      <c r="AA712" s="161"/>
      <c r="AB712" s="161"/>
      <c r="AC712" s="161"/>
    </row>
    <row r="713" spans="1:29" ht="18" customHeight="1" thickBot="1" x14ac:dyDescent="0.35">
      <c r="A713" s="200"/>
      <c r="B713" s="201"/>
      <c r="C713" s="201"/>
      <c r="D713" s="201"/>
      <c r="E713" s="201"/>
      <c r="F713" s="201"/>
      <c r="G713" s="201"/>
      <c r="H713" s="201"/>
      <c r="I713" s="201"/>
      <c r="J713" s="201"/>
      <c r="K713" s="201"/>
      <c r="L713" s="202"/>
      <c r="M713" s="161"/>
      <c r="N713" s="178"/>
      <c r="O713" s="179" t="s">
        <v>115</v>
      </c>
      <c r="P713" s="179"/>
      <c r="Q713" s="179"/>
      <c r="R713" s="179">
        <v>0</v>
      </c>
      <c r="S713" s="159"/>
      <c r="T713" s="179" t="s">
        <v>115</v>
      </c>
      <c r="U713" s="185"/>
      <c r="V713" s="181"/>
      <c r="W713" s="185" t="str">
        <f t="shared" si="197"/>
        <v/>
      </c>
      <c r="X713" s="181"/>
      <c r="Y713" s="185" t="str">
        <f t="shared" si="198"/>
        <v/>
      </c>
      <c r="Z713" s="186"/>
      <c r="AA713" s="161"/>
      <c r="AB713" s="161"/>
      <c r="AC713" s="161"/>
    </row>
    <row r="714" spans="1:29" ht="18" customHeight="1" thickBot="1" x14ac:dyDescent="0.25">
      <c r="A714" s="203"/>
      <c r="B714" s="203"/>
      <c r="C714" s="203"/>
      <c r="D714" s="203"/>
      <c r="E714" s="203"/>
      <c r="F714" s="203"/>
      <c r="G714" s="203"/>
      <c r="H714" s="203"/>
      <c r="I714" s="203"/>
      <c r="J714" s="203"/>
      <c r="K714" s="203"/>
      <c r="L714" s="203"/>
      <c r="M714" s="161"/>
      <c r="N714" s="178"/>
      <c r="O714" s="179" t="s">
        <v>118</v>
      </c>
      <c r="P714" s="179"/>
      <c r="Q714" s="179"/>
      <c r="R714" s="179">
        <v>0</v>
      </c>
      <c r="S714" s="159"/>
      <c r="T714" s="179" t="s">
        <v>118</v>
      </c>
      <c r="U714" s="185" t="str">
        <f>IF($J$1="September",Y713,"")</f>
        <v/>
      </c>
      <c r="V714" s="181"/>
      <c r="W714" s="185" t="str">
        <f t="shared" si="197"/>
        <v/>
      </c>
      <c r="X714" s="181"/>
      <c r="Y714" s="185" t="str">
        <f t="shared" si="198"/>
        <v/>
      </c>
      <c r="Z714" s="186"/>
      <c r="AA714" s="161"/>
      <c r="AB714" s="161"/>
      <c r="AC714" s="161"/>
    </row>
    <row r="715" spans="1:29" ht="18" customHeight="1" x14ac:dyDescent="0.2">
      <c r="A715" s="469" t="s">
        <v>89</v>
      </c>
      <c r="B715" s="437"/>
      <c r="C715" s="437"/>
      <c r="D715" s="437"/>
      <c r="E715" s="437"/>
      <c r="F715" s="437"/>
      <c r="G715" s="437"/>
      <c r="H715" s="437"/>
      <c r="I715" s="437"/>
      <c r="J715" s="437"/>
      <c r="K715" s="437"/>
      <c r="L715" s="438"/>
      <c r="M715" s="161"/>
      <c r="N715" s="178"/>
      <c r="O715" s="179" t="s">
        <v>119</v>
      </c>
      <c r="P715" s="179"/>
      <c r="Q715" s="179"/>
      <c r="R715" s="179">
        <v>0</v>
      </c>
      <c r="S715" s="159"/>
      <c r="T715" s="179" t="s">
        <v>119</v>
      </c>
      <c r="U715" s="185" t="str">
        <f>IF($J$1="October",Y714,"")</f>
        <v/>
      </c>
      <c r="V715" s="181"/>
      <c r="W715" s="185" t="str">
        <f t="shared" si="197"/>
        <v/>
      </c>
      <c r="X715" s="181"/>
      <c r="Y715" s="185" t="str">
        <f t="shared" si="198"/>
        <v/>
      </c>
      <c r="Z715" s="186"/>
      <c r="AA715" s="161"/>
      <c r="AB715" s="161"/>
      <c r="AC715" s="161"/>
    </row>
    <row r="716" spans="1:29" ht="18" customHeight="1" x14ac:dyDescent="0.2">
      <c r="A716" s="166"/>
      <c r="B716" s="152"/>
      <c r="C716" s="443" t="s">
        <v>216</v>
      </c>
      <c r="D716" s="435"/>
      <c r="E716" s="435"/>
      <c r="F716" s="435"/>
      <c r="G716" s="167" t="str">
        <f>$J$1</f>
        <v>August</v>
      </c>
      <c r="H716" s="444">
        <f>$K$1</f>
        <v>2024</v>
      </c>
      <c r="I716" s="435"/>
      <c r="J716" s="152"/>
      <c r="K716" s="168"/>
      <c r="L716" s="169"/>
      <c r="M716" s="161"/>
      <c r="N716" s="178"/>
      <c r="O716" s="179" t="s">
        <v>120</v>
      </c>
      <c r="P716" s="179"/>
      <c r="Q716" s="179"/>
      <c r="R716" s="179">
        <v>0</v>
      </c>
      <c r="S716" s="159"/>
      <c r="T716" s="179" t="s">
        <v>120</v>
      </c>
      <c r="U716" s="185" t="str">
        <f>IF($J$1="October","",Y715)</f>
        <v/>
      </c>
      <c r="V716" s="181"/>
      <c r="W716" s="185" t="str">
        <f t="shared" si="197"/>
        <v/>
      </c>
      <c r="X716" s="181"/>
      <c r="Y716" s="185" t="str">
        <f t="shared" si="198"/>
        <v/>
      </c>
      <c r="Z716" s="186"/>
      <c r="AA716" s="161"/>
      <c r="AB716" s="161"/>
      <c r="AC716" s="161"/>
    </row>
    <row r="717" spans="1:29" ht="18" customHeight="1" x14ac:dyDescent="0.2">
      <c r="A717" s="166"/>
      <c r="B717" s="152"/>
      <c r="C717" s="152"/>
      <c r="D717" s="175"/>
      <c r="E717" s="175"/>
      <c r="F717" s="175"/>
      <c r="G717" s="175"/>
      <c r="H717" s="175"/>
      <c r="I717" s="152"/>
      <c r="J717" s="176" t="s">
        <v>99</v>
      </c>
      <c r="K717" s="154">
        <v>32000</v>
      </c>
      <c r="L717" s="177"/>
      <c r="M717" s="161"/>
      <c r="N717" s="178"/>
      <c r="O717" s="179" t="s">
        <v>121</v>
      </c>
      <c r="P717" s="179"/>
      <c r="Q717" s="179"/>
      <c r="R717" s="179" t="str">
        <f>IF(Q717="","",R716-Q717)</f>
        <v/>
      </c>
      <c r="S717" s="159"/>
      <c r="T717" s="179" t="s">
        <v>121</v>
      </c>
      <c r="U717" s="185" t="str">
        <f>IF($J$1="November","",Y716)</f>
        <v/>
      </c>
      <c r="V717" s="181"/>
      <c r="W717" s="185" t="str">
        <f t="shared" si="197"/>
        <v/>
      </c>
      <c r="X717" s="181"/>
      <c r="Y717" s="185" t="str">
        <f t="shared" si="198"/>
        <v/>
      </c>
      <c r="Z717" s="186"/>
      <c r="AA717" s="161"/>
      <c r="AB717" s="161"/>
      <c r="AC717" s="161"/>
    </row>
    <row r="718" spans="1:29" ht="18" customHeight="1" thickBot="1" x14ac:dyDescent="0.25">
      <c r="A718" s="166"/>
      <c r="B718" s="152" t="s">
        <v>101</v>
      </c>
      <c r="C718" s="151" t="s">
        <v>217</v>
      </c>
      <c r="D718" s="152"/>
      <c r="E718" s="152"/>
      <c r="F718" s="152"/>
      <c r="G718" s="152"/>
      <c r="H718" s="182"/>
      <c r="I718" s="175"/>
      <c r="J718" s="152"/>
      <c r="K718" s="152"/>
      <c r="L718" s="183"/>
      <c r="M718" s="204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4"/>
      <c r="AB718" s="204"/>
      <c r="AC718" s="204"/>
    </row>
    <row r="719" spans="1:29" ht="18" customHeight="1" x14ac:dyDescent="0.2">
      <c r="A719" s="166"/>
      <c r="B719" s="187" t="s">
        <v>103</v>
      </c>
      <c r="C719" s="188"/>
      <c r="D719" s="152"/>
      <c r="E719" s="152"/>
      <c r="F719" s="439" t="s">
        <v>91</v>
      </c>
      <c r="G719" s="413"/>
      <c r="H719" s="152"/>
      <c r="I719" s="439" t="s">
        <v>104</v>
      </c>
      <c r="J719" s="412"/>
      <c r="K719" s="413"/>
      <c r="L719" s="189"/>
      <c r="M719" s="162"/>
      <c r="N719" s="163"/>
      <c r="O719" s="440" t="s">
        <v>90</v>
      </c>
      <c r="P719" s="441"/>
      <c r="Q719" s="441"/>
      <c r="R719" s="442"/>
      <c r="S719" s="164"/>
      <c r="T719" s="440" t="s">
        <v>91</v>
      </c>
      <c r="U719" s="441"/>
      <c r="V719" s="441"/>
      <c r="W719" s="441"/>
      <c r="X719" s="441"/>
      <c r="Y719" s="442"/>
      <c r="Z719" s="165"/>
      <c r="AA719" s="162"/>
      <c r="AB719" s="161"/>
      <c r="AC719" s="161"/>
    </row>
    <row r="720" spans="1:29" ht="18" customHeight="1" x14ac:dyDescent="0.2">
      <c r="A720" s="166"/>
      <c r="B720" s="152"/>
      <c r="C720" s="152"/>
      <c r="D720" s="152"/>
      <c r="E720" s="152"/>
      <c r="F720" s="152"/>
      <c r="G720" s="152"/>
      <c r="H720" s="190"/>
      <c r="I720" s="152"/>
      <c r="J720" s="152"/>
      <c r="K720" s="152"/>
      <c r="L720" s="191"/>
      <c r="M720" s="170"/>
      <c r="N720" s="171"/>
      <c r="O720" s="172" t="s">
        <v>93</v>
      </c>
      <c r="P720" s="172" t="s">
        <v>94</v>
      </c>
      <c r="Q720" s="172" t="s">
        <v>95</v>
      </c>
      <c r="R720" s="172" t="s">
        <v>96</v>
      </c>
      <c r="S720" s="173"/>
      <c r="T720" s="172" t="s">
        <v>93</v>
      </c>
      <c r="U720" s="172" t="s">
        <v>97</v>
      </c>
      <c r="V720" s="172" t="s">
        <v>9</v>
      </c>
      <c r="W720" s="172" t="s">
        <v>10</v>
      </c>
      <c r="X720" s="172" t="s">
        <v>11</v>
      </c>
      <c r="Y720" s="172" t="s">
        <v>98</v>
      </c>
      <c r="Z720" s="174"/>
      <c r="AA720" s="170"/>
      <c r="AB720" s="161"/>
      <c r="AC720" s="161"/>
    </row>
    <row r="721" spans="1:29" ht="18" customHeight="1" x14ac:dyDescent="0.2">
      <c r="A721" s="166"/>
      <c r="B721" s="445" t="s">
        <v>90</v>
      </c>
      <c r="C721" s="413"/>
      <c r="D721" s="152"/>
      <c r="E721" s="152"/>
      <c r="F721" s="192" t="s">
        <v>107</v>
      </c>
      <c r="G721" s="193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>0</v>
      </c>
      <c r="H721" s="190"/>
      <c r="I721" s="194">
        <f>IF(C725&gt;0,$K$2,C723)</f>
        <v>31</v>
      </c>
      <c r="J721" s="195" t="s">
        <v>108</v>
      </c>
      <c r="K721" s="196">
        <f>K717/$K$2*I721</f>
        <v>32000</v>
      </c>
      <c r="L721" s="197"/>
      <c r="M721" s="161"/>
      <c r="N721" s="178"/>
      <c r="O721" s="179" t="s">
        <v>100</v>
      </c>
      <c r="P721" s="179">
        <v>27</v>
      </c>
      <c r="Q721" s="179">
        <v>4</v>
      </c>
      <c r="R721" s="179">
        <v>0</v>
      </c>
      <c r="S721" s="180"/>
      <c r="T721" s="179" t="s">
        <v>100</v>
      </c>
      <c r="U721" s="181"/>
      <c r="V721" s="181"/>
      <c r="W721" s="181">
        <f>V721+U721</f>
        <v>0</v>
      </c>
      <c r="X721" s="181"/>
      <c r="Y721" s="181">
        <f>W721-X721</f>
        <v>0</v>
      </c>
      <c r="Z721" s="174"/>
      <c r="AA721" s="161"/>
      <c r="AB721" s="161"/>
      <c r="AC721" s="161"/>
    </row>
    <row r="722" spans="1:29" ht="18" customHeight="1" x14ac:dyDescent="0.2">
      <c r="A722" s="166"/>
      <c r="B722" s="198"/>
      <c r="C722" s="198"/>
      <c r="D722" s="152"/>
      <c r="E722" s="152"/>
      <c r="F722" s="192" t="s">
        <v>9</v>
      </c>
      <c r="G722" s="193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0</v>
      </c>
      <c r="H722" s="190"/>
      <c r="I722" s="194">
        <v>39</v>
      </c>
      <c r="J722" s="195" t="s">
        <v>110</v>
      </c>
      <c r="K722" s="193">
        <f>K717/$K$2/8*I722</f>
        <v>5032.2580645161288</v>
      </c>
      <c r="L722" s="199"/>
      <c r="M722" s="162"/>
      <c r="N722" s="184"/>
      <c r="O722" s="179" t="s">
        <v>102</v>
      </c>
      <c r="P722" s="179">
        <v>28</v>
      </c>
      <c r="Q722" s="179">
        <v>1</v>
      </c>
      <c r="R722" s="179">
        <v>0</v>
      </c>
      <c r="S722" s="159"/>
      <c r="T722" s="179" t="s">
        <v>102</v>
      </c>
      <c r="U722" s="185"/>
      <c r="V722" s="181"/>
      <c r="W722" s="185" t="str">
        <f t="shared" ref="W722:W732" si="200">IF(U722="","",U722+V722)</f>
        <v/>
      </c>
      <c r="X722" s="181"/>
      <c r="Y722" s="185" t="str">
        <f t="shared" ref="Y722:Y732" si="201">IF(W722="","",W722-X722)</f>
        <v/>
      </c>
      <c r="Z722" s="186"/>
      <c r="AA722" s="162"/>
      <c r="AB722" s="161"/>
      <c r="AC722" s="161"/>
    </row>
    <row r="723" spans="1:29" ht="18" customHeight="1" x14ac:dyDescent="0.2">
      <c r="A723" s="166"/>
      <c r="B723" s="192" t="s">
        <v>94</v>
      </c>
      <c r="C723" s="198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0</v>
      </c>
      <c r="D723" s="152"/>
      <c r="E723" s="152"/>
      <c r="F723" s="192" t="s">
        <v>111</v>
      </c>
      <c r="G723" s="193" t="str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/>
      </c>
      <c r="H723" s="190"/>
      <c r="I723" s="446" t="s">
        <v>112</v>
      </c>
      <c r="J723" s="413"/>
      <c r="K723" s="193">
        <f>K721+K722</f>
        <v>37032.258064516129</v>
      </c>
      <c r="L723" s="199"/>
      <c r="M723" s="161"/>
      <c r="N723" s="178"/>
      <c r="O723" s="179" t="s">
        <v>105</v>
      </c>
      <c r="P723" s="179">
        <v>31</v>
      </c>
      <c r="Q723" s="179">
        <v>0</v>
      </c>
      <c r="R723" s="179">
        <f t="shared" ref="R723:R732" si="202">IF(Q723="","",R722-Q723)</f>
        <v>0</v>
      </c>
      <c r="S723" s="159"/>
      <c r="T723" s="179" t="s">
        <v>105</v>
      </c>
      <c r="U723" s="185"/>
      <c r="V723" s="181"/>
      <c r="W723" s="185" t="str">
        <f t="shared" si="200"/>
        <v/>
      </c>
      <c r="X723" s="181"/>
      <c r="Y723" s="185" t="str">
        <f t="shared" si="201"/>
        <v/>
      </c>
      <c r="Z723" s="186"/>
      <c r="AA723" s="161"/>
      <c r="AB723" s="161"/>
      <c r="AC723" s="161"/>
    </row>
    <row r="724" spans="1:29" ht="18" customHeight="1" x14ac:dyDescent="0.2">
      <c r="A724" s="166"/>
      <c r="B724" s="192" t="s">
        <v>95</v>
      </c>
      <c r="C724" s="198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0</v>
      </c>
      <c r="D724" s="152"/>
      <c r="E724" s="152"/>
      <c r="F724" s="192" t="s">
        <v>11</v>
      </c>
      <c r="G724" s="193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0</v>
      </c>
      <c r="H724" s="190"/>
      <c r="I724" s="446" t="s">
        <v>114</v>
      </c>
      <c r="J724" s="413"/>
      <c r="K724" s="193">
        <f>G724</f>
        <v>0</v>
      </c>
      <c r="L724" s="199"/>
      <c r="M724" s="161"/>
      <c r="N724" s="178"/>
      <c r="O724" s="179" t="s">
        <v>106</v>
      </c>
      <c r="P724" s="179">
        <v>30</v>
      </c>
      <c r="Q724" s="179">
        <v>0</v>
      </c>
      <c r="R724" s="179">
        <f t="shared" si="202"/>
        <v>0</v>
      </c>
      <c r="S724" s="159"/>
      <c r="T724" s="179" t="s">
        <v>106</v>
      </c>
      <c r="U724" s="185"/>
      <c r="V724" s="181"/>
      <c r="W724" s="185" t="str">
        <f t="shared" si="200"/>
        <v/>
      </c>
      <c r="X724" s="181"/>
      <c r="Y724" s="185" t="str">
        <f t="shared" si="201"/>
        <v/>
      </c>
      <c r="Z724" s="186"/>
      <c r="AA724" s="161"/>
      <c r="AB724" s="161"/>
      <c r="AC724" s="161"/>
    </row>
    <row r="725" spans="1:29" ht="18" customHeight="1" x14ac:dyDescent="0.2">
      <c r="A725" s="166"/>
      <c r="B725" s="215" t="s">
        <v>116</v>
      </c>
      <c r="C725" s="198" t="str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/>
      </c>
      <c r="D725" s="152"/>
      <c r="E725" s="152"/>
      <c r="F725" s="192" t="s">
        <v>169</v>
      </c>
      <c r="G725" s="193" t="str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/>
      </c>
      <c r="H725" s="152"/>
      <c r="I725" s="439" t="s">
        <v>13</v>
      </c>
      <c r="J725" s="413"/>
      <c r="K725" s="37">
        <f>K723-K724</f>
        <v>37032.258064516129</v>
      </c>
      <c r="L725" s="183"/>
      <c r="M725" s="161"/>
      <c r="N725" s="178"/>
      <c r="O725" s="179" t="s">
        <v>109</v>
      </c>
      <c r="P725" s="179">
        <v>31</v>
      </c>
      <c r="Q725" s="179">
        <v>0</v>
      </c>
      <c r="R725" s="179">
        <f t="shared" si="202"/>
        <v>0</v>
      </c>
      <c r="S725" s="159"/>
      <c r="T725" s="179" t="s">
        <v>109</v>
      </c>
      <c r="U725" s="185"/>
      <c r="V725" s="181"/>
      <c r="W725" s="185" t="str">
        <f t="shared" si="200"/>
        <v/>
      </c>
      <c r="X725" s="181"/>
      <c r="Y725" s="185" t="str">
        <f t="shared" si="201"/>
        <v/>
      </c>
      <c r="Z725" s="186"/>
      <c r="AA725" s="161"/>
      <c r="AB725" s="161"/>
      <c r="AC725" s="161"/>
    </row>
    <row r="726" spans="1:29" ht="18" customHeight="1" x14ac:dyDescent="0.2">
      <c r="A726" s="166"/>
      <c r="B726" s="152"/>
      <c r="C726" s="152"/>
      <c r="D726" s="152"/>
      <c r="E726" s="152"/>
      <c r="F726" s="152"/>
      <c r="G726" s="152"/>
      <c r="H726" s="152"/>
      <c r="I726" s="434"/>
      <c r="J726" s="435"/>
      <c r="K726" s="154"/>
      <c r="L726" s="189"/>
      <c r="M726" s="161"/>
      <c r="N726" s="178"/>
      <c r="O726" s="179" t="s">
        <v>85</v>
      </c>
      <c r="P726" s="179">
        <v>28</v>
      </c>
      <c r="Q726" s="179">
        <v>2</v>
      </c>
      <c r="R726" s="179">
        <v>0</v>
      </c>
      <c r="S726" s="159"/>
      <c r="T726" s="179" t="s">
        <v>85</v>
      </c>
      <c r="U726" s="185"/>
      <c r="V726" s="181"/>
      <c r="W726" s="185" t="str">
        <f t="shared" si="200"/>
        <v/>
      </c>
      <c r="X726" s="181"/>
      <c r="Y726" s="185" t="str">
        <f t="shared" si="201"/>
        <v/>
      </c>
      <c r="Z726" s="186"/>
      <c r="AA726" s="161"/>
      <c r="AB726" s="161"/>
      <c r="AC726" s="161"/>
    </row>
    <row r="727" spans="1:29" ht="18" customHeight="1" x14ac:dyDescent="0.3">
      <c r="A727" s="166"/>
      <c r="B727" s="150"/>
      <c r="C727" s="150"/>
      <c r="D727" s="150"/>
      <c r="E727" s="150"/>
      <c r="F727" s="150"/>
      <c r="G727" s="150"/>
      <c r="H727" s="150"/>
      <c r="I727" s="434"/>
      <c r="J727" s="435"/>
      <c r="K727" s="154"/>
      <c r="L727" s="189"/>
      <c r="M727" s="161"/>
      <c r="N727" s="178"/>
      <c r="O727" s="179" t="s">
        <v>113</v>
      </c>
      <c r="P727" s="179">
        <v>29</v>
      </c>
      <c r="Q727" s="179">
        <v>2</v>
      </c>
      <c r="R727" s="179">
        <v>0</v>
      </c>
      <c r="S727" s="159"/>
      <c r="T727" s="179" t="s">
        <v>113</v>
      </c>
      <c r="U727" s="185"/>
      <c r="V727" s="181"/>
      <c r="W727" s="185" t="str">
        <f t="shared" si="200"/>
        <v/>
      </c>
      <c r="X727" s="181"/>
      <c r="Y727" s="185" t="str">
        <f t="shared" si="201"/>
        <v/>
      </c>
      <c r="Z727" s="186"/>
      <c r="AA727" s="161"/>
      <c r="AB727" s="161"/>
      <c r="AC727" s="161"/>
    </row>
    <row r="728" spans="1:29" ht="18" customHeight="1" x14ac:dyDescent="0.3">
      <c r="A728" s="166"/>
      <c r="B728" s="150"/>
      <c r="C728" s="150"/>
      <c r="D728" s="150"/>
      <c r="E728" s="150"/>
      <c r="F728" s="150"/>
      <c r="G728" s="150"/>
      <c r="H728" s="150"/>
      <c r="I728" s="150"/>
      <c r="J728" s="150"/>
      <c r="K728" s="150"/>
      <c r="L728" s="189"/>
      <c r="M728" s="161"/>
      <c r="N728" s="178"/>
      <c r="O728" s="179" t="s">
        <v>115</v>
      </c>
      <c r="P728" s="179"/>
      <c r="Q728" s="179"/>
      <c r="R728" s="179" t="str">
        <f t="shared" si="202"/>
        <v/>
      </c>
      <c r="S728" s="159"/>
      <c r="T728" s="179" t="s">
        <v>115</v>
      </c>
      <c r="U728" s="185"/>
      <c r="V728" s="181"/>
      <c r="W728" s="185" t="str">
        <f t="shared" si="200"/>
        <v/>
      </c>
      <c r="X728" s="181"/>
      <c r="Y728" s="185" t="str">
        <f t="shared" si="201"/>
        <v/>
      </c>
      <c r="Z728" s="186"/>
      <c r="AA728" s="161"/>
      <c r="AB728" s="161"/>
      <c r="AC728" s="161"/>
    </row>
    <row r="729" spans="1:29" ht="18" customHeight="1" thickBot="1" x14ac:dyDescent="0.25">
      <c r="A729" s="200"/>
      <c r="B729" s="216"/>
      <c r="C729" s="216"/>
      <c r="D729" s="216"/>
      <c r="E729" s="216"/>
      <c r="F729" s="216"/>
      <c r="G729" s="216"/>
      <c r="H729" s="216"/>
      <c r="I729" s="216"/>
      <c r="J729" s="216"/>
      <c r="K729" s="216"/>
      <c r="L729" s="202"/>
      <c r="M729" s="161"/>
      <c r="N729" s="178"/>
      <c r="O729" s="179" t="s">
        <v>118</v>
      </c>
      <c r="P729" s="179"/>
      <c r="Q729" s="179"/>
      <c r="R729" s="179" t="str">
        <f t="shared" si="202"/>
        <v/>
      </c>
      <c r="S729" s="159"/>
      <c r="T729" s="179" t="s">
        <v>118</v>
      </c>
      <c r="U729" s="185"/>
      <c r="V729" s="181"/>
      <c r="W729" s="185" t="str">
        <f t="shared" si="200"/>
        <v/>
      </c>
      <c r="X729" s="181"/>
      <c r="Y729" s="185" t="str">
        <f t="shared" si="201"/>
        <v/>
      </c>
      <c r="Z729" s="186"/>
      <c r="AA729" s="161"/>
      <c r="AB729" s="161"/>
      <c r="AC729" s="161"/>
    </row>
    <row r="730" spans="1:29" ht="18" customHeight="1" thickBot="1" x14ac:dyDescent="0.25">
      <c r="A730" s="462" t="s">
        <v>89</v>
      </c>
      <c r="B730" s="463"/>
      <c r="C730" s="463"/>
      <c r="D730" s="463"/>
      <c r="E730" s="463"/>
      <c r="F730" s="463"/>
      <c r="G730" s="463"/>
      <c r="H730" s="463"/>
      <c r="I730" s="463"/>
      <c r="J730" s="463"/>
      <c r="K730" s="463"/>
      <c r="L730" s="464"/>
      <c r="M730" s="161"/>
      <c r="N730" s="178"/>
      <c r="O730" s="179" t="s">
        <v>119</v>
      </c>
      <c r="P730" s="179"/>
      <c r="Q730" s="179"/>
      <c r="R730" s="179" t="str">
        <f t="shared" si="202"/>
        <v/>
      </c>
      <c r="S730" s="159"/>
      <c r="T730" s="179" t="s">
        <v>119</v>
      </c>
      <c r="U730" s="185"/>
      <c r="V730" s="181"/>
      <c r="W730" s="185" t="str">
        <f t="shared" si="200"/>
        <v/>
      </c>
      <c r="X730" s="181"/>
      <c r="Y730" s="185" t="str">
        <f t="shared" si="201"/>
        <v/>
      </c>
      <c r="Z730" s="186"/>
      <c r="AA730" s="161"/>
      <c r="AB730" s="161"/>
      <c r="AC730" s="161"/>
    </row>
    <row r="731" spans="1:29" ht="18" customHeight="1" x14ac:dyDescent="0.2">
      <c r="A731" s="166"/>
      <c r="B731" s="152"/>
      <c r="C731" s="470" t="s">
        <v>218</v>
      </c>
      <c r="D731" s="470"/>
      <c r="E731" s="470"/>
      <c r="F731" s="470"/>
      <c r="G731" s="167" t="str">
        <f>$J$1</f>
        <v>August</v>
      </c>
      <c r="H731" s="471">
        <f>$K$1</f>
        <v>2024</v>
      </c>
      <c r="I731" s="471"/>
      <c r="J731" s="152"/>
      <c r="K731" s="168"/>
      <c r="L731" s="169"/>
      <c r="M731" s="161"/>
      <c r="N731" s="178"/>
      <c r="O731" s="179" t="s">
        <v>120</v>
      </c>
      <c r="P731" s="179"/>
      <c r="Q731" s="179"/>
      <c r="R731" s="179" t="str">
        <f t="shared" si="202"/>
        <v/>
      </c>
      <c r="S731" s="159"/>
      <c r="T731" s="179" t="s">
        <v>120</v>
      </c>
      <c r="U731" s="185"/>
      <c r="V731" s="181"/>
      <c r="W731" s="185" t="str">
        <f t="shared" si="200"/>
        <v/>
      </c>
      <c r="X731" s="181"/>
      <c r="Y731" s="185" t="str">
        <f t="shared" si="201"/>
        <v/>
      </c>
      <c r="Z731" s="186"/>
      <c r="AA731" s="161"/>
      <c r="AB731" s="161"/>
      <c r="AC731" s="161"/>
    </row>
    <row r="732" spans="1:29" ht="18" customHeight="1" x14ac:dyDescent="0.2">
      <c r="A732" s="166"/>
      <c r="B732" s="152"/>
      <c r="C732" s="152"/>
      <c r="D732" s="175"/>
      <c r="E732" s="175"/>
      <c r="F732" s="175"/>
      <c r="G732" s="175"/>
      <c r="H732" s="175"/>
      <c r="I732" s="152"/>
      <c r="J732" s="176" t="s">
        <v>99</v>
      </c>
      <c r="K732" s="154">
        <v>35000</v>
      </c>
      <c r="L732" s="177"/>
      <c r="M732" s="161"/>
      <c r="N732" s="178"/>
      <c r="O732" s="179" t="s">
        <v>121</v>
      </c>
      <c r="P732" s="179"/>
      <c r="Q732" s="179"/>
      <c r="R732" s="179" t="str">
        <f t="shared" si="202"/>
        <v/>
      </c>
      <c r="S732" s="159"/>
      <c r="T732" s="179" t="s">
        <v>121</v>
      </c>
      <c r="U732" s="185"/>
      <c r="V732" s="181"/>
      <c r="W732" s="185" t="str">
        <f t="shared" si="200"/>
        <v/>
      </c>
      <c r="X732" s="181"/>
      <c r="Y732" s="185" t="str">
        <f t="shared" si="201"/>
        <v/>
      </c>
      <c r="Z732" s="186"/>
      <c r="AA732" s="161"/>
      <c r="AB732" s="161"/>
      <c r="AC732" s="161"/>
    </row>
    <row r="733" spans="1:29" ht="18" customHeight="1" thickBot="1" x14ac:dyDescent="0.25">
      <c r="A733" s="297"/>
      <c r="B733" s="298" t="s">
        <v>101</v>
      </c>
      <c r="C733" s="299" t="s">
        <v>311</v>
      </c>
      <c r="D733" s="298"/>
      <c r="E733" s="298"/>
      <c r="F733" s="298"/>
      <c r="G733" s="298"/>
      <c r="H733" s="300"/>
      <c r="I733" s="301"/>
      <c r="J733" s="298"/>
      <c r="K733" s="298"/>
      <c r="L733" s="302"/>
      <c r="M733" s="161"/>
      <c r="N733" s="217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21"/>
      <c r="AA733" s="161"/>
      <c r="AB733" s="161"/>
      <c r="AC733" s="161"/>
    </row>
    <row r="734" spans="1:29" s="265" customFormat="1" ht="18" customHeight="1" x14ac:dyDescent="0.2">
      <c r="A734" s="166"/>
      <c r="B734" s="187" t="s">
        <v>103</v>
      </c>
      <c r="C734" s="213">
        <v>45512</v>
      </c>
      <c r="D734" s="152"/>
      <c r="E734" s="152"/>
      <c r="F734" s="472" t="s">
        <v>91</v>
      </c>
      <c r="G734" s="474"/>
      <c r="H734" s="152"/>
      <c r="I734" s="472" t="s">
        <v>104</v>
      </c>
      <c r="J734" s="473"/>
      <c r="K734" s="474"/>
      <c r="L734" s="189"/>
      <c r="M734" s="268"/>
      <c r="N734" s="269"/>
      <c r="O734" s="465" t="s">
        <v>90</v>
      </c>
      <c r="P734" s="466"/>
      <c r="Q734" s="466"/>
      <c r="R734" s="467"/>
      <c r="S734" s="270"/>
      <c r="T734" s="465" t="s">
        <v>91</v>
      </c>
      <c r="U734" s="466"/>
      <c r="V734" s="466"/>
      <c r="W734" s="466"/>
      <c r="X734" s="466"/>
      <c r="Y734" s="467"/>
      <c r="Z734" s="271"/>
      <c r="AA734" s="268"/>
      <c r="AB734" s="272"/>
      <c r="AC734" s="272"/>
    </row>
    <row r="735" spans="1:29" ht="18" customHeight="1" x14ac:dyDescent="0.2">
      <c r="A735" s="166"/>
      <c r="B735" s="152"/>
      <c r="C735" s="152"/>
      <c r="D735" s="152"/>
      <c r="E735" s="152"/>
      <c r="F735" s="152"/>
      <c r="G735" s="152"/>
      <c r="H735" s="190"/>
      <c r="I735" s="152"/>
      <c r="J735" s="152"/>
      <c r="K735" s="152"/>
      <c r="L735" s="191"/>
      <c r="M735" s="170"/>
      <c r="N735" s="171"/>
      <c r="O735" s="172" t="s">
        <v>93</v>
      </c>
      <c r="P735" s="172" t="s">
        <v>94</v>
      </c>
      <c r="Q735" s="172" t="s">
        <v>95</v>
      </c>
      <c r="R735" s="172" t="s">
        <v>96</v>
      </c>
      <c r="S735" s="173"/>
      <c r="T735" s="172" t="s">
        <v>93</v>
      </c>
      <c r="U735" s="172" t="s">
        <v>97</v>
      </c>
      <c r="V735" s="172" t="s">
        <v>9</v>
      </c>
      <c r="W735" s="172" t="s">
        <v>10</v>
      </c>
      <c r="X735" s="172" t="s">
        <v>11</v>
      </c>
      <c r="Y735" s="172" t="s">
        <v>98</v>
      </c>
      <c r="Z735" s="174"/>
      <c r="AA735" s="170"/>
      <c r="AB735" s="161"/>
      <c r="AC735" s="161"/>
    </row>
    <row r="736" spans="1:29" ht="18" customHeight="1" x14ac:dyDescent="0.2">
      <c r="A736" s="166"/>
      <c r="B736" s="475" t="s">
        <v>90</v>
      </c>
      <c r="C736" s="476"/>
      <c r="D736" s="152"/>
      <c r="E736" s="152"/>
      <c r="F736" s="192" t="s">
        <v>107</v>
      </c>
      <c r="G736" s="193" t="str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/>
      </c>
      <c r="H736" s="190"/>
      <c r="I736" s="194">
        <f>IF(C740&gt;0,$K$2,C738)</f>
        <v>31</v>
      </c>
      <c r="J736" s="195" t="s">
        <v>108</v>
      </c>
      <c r="K736" s="196">
        <f>K732/$K$2*I736</f>
        <v>35000</v>
      </c>
      <c r="L736" s="197"/>
      <c r="M736" s="161"/>
      <c r="N736" s="178"/>
      <c r="O736" s="179" t="s">
        <v>100</v>
      </c>
      <c r="P736" s="179"/>
      <c r="Q736" s="179"/>
      <c r="R736" s="179">
        <v>0</v>
      </c>
      <c r="S736" s="180"/>
      <c r="T736" s="179" t="s">
        <v>100</v>
      </c>
      <c r="U736" s="181"/>
      <c r="V736" s="181"/>
      <c r="W736" s="181"/>
      <c r="X736" s="181"/>
      <c r="Y736" s="181"/>
      <c r="Z736" s="174"/>
      <c r="AA736" s="161"/>
      <c r="AB736" s="161"/>
      <c r="AC736" s="161"/>
    </row>
    <row r="737" spans="1:29" s="285" customFormat="1" ht="18" customHeight="1" x14ac:dyDescent="0.2">
      <c r="A737" s="166"/>
      <c r="B737" s="198"/>
      <c r="C737" s="198"/>
      <c r="D737" s="152"/>
      <c r="E737" s="152"/>
      <c r="F737" s="192" t="s">
        <v>9</v>
      </c>
      <c r="G737" s="193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37" s="190"/>
      <c r="I737" s="194">
        <v>0</v>
      </c>
      <c r="J737" s="195" t="s">
        <v>110</v>
      </c>
      <c r="K737" s="193">
        <f>K732/$K$2/8*I737</f>
        <v>0</v>
      </c>
      <c r="L737" s="199"/>
      <c r="M737" s="292"/>
      <c r="N737" s="303"/>
      <c r="O737" s="304" t="s">
        <v>102</v>
      </c>
      <c r="P737" s="304"/>
      <c r="Q737" s="304"/>
      <c r="R737" s="304">
        <v>0</v>
      </c>
      <c r="S737" s="305"/>
      <c r="T737" s="304" t="s">
        <v>102</v>
      </c>
      <c r="U737" s="306"/>
      <c r="V737" s="307"/>
      <c r="W737" s="306" t="str">
        <f t="shared" ref="W737:W747" si="203">IF(U737="","",U737+V737)</f>
        <v/>
      </c>
      <c r="X737" s="307"/>
      <c r="Y737" s="306" t="str">
        <f t="shared" ref="Y737:Y747" si="204">IF(W737="","",W737-X737)</f>
        <v/>
      </c>
      <c r="Z737" s="308"/>
      <c r="AA737" s="292"/>
      <c r="AB737" s="296"/>
      <c r="AC737" s="296"/>
    </row>
    <row r="738" spans="1:29" ht="18" customHeight="1" x14ac:dyDescent="0.2">
      <c r="A738" s="166"/>
      <c r="B738" s="192" t="s">
        <v>94</v>
      </c>
      <c r="C738" s="198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0</v>
      </c>
      <c r="D738" s="152"/>
      <c r="E738" s="152"/>
      <c r="F738" s="192" t="s">
        <v>111</v>
      </c>
      <c r="G738" s="193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38" s="190"/>
      <c r="I738" s="477" t="s">
        <v>112</v>
      </c>
      <c r="J738" s="478"/>
      <c r="K738" s="193">
        <f>K736+K737</f>
        <v>35000</v>
      </c>
      <c r="L738" s="199"/>
      <c r="M738" s="161"/>
      <c r="N738" s="178"/>
      <c r="O738" s="179" t="s">
        <v>105</v>
      </c>
      <c r="P738" s="179"/>
      <c r="Q738" s="179"/>
      <c r="R738" s="179">
        <v>0</v>
      </c>
      <c r="S738" s="159"/>
      <c r="T738" s="179" t="s">
        <v>105</v>
      </c>
      <c r="U738" s="185"/>
      <c r="V738" s="181"/>
      <c r="W738" s="185" t="str">
        <f t="shared" si="203"/>
        <v/>
      </c>
      <c r="X738" s="181"/>
      <c r="Y738" s="185" t="str">
        <f t="shared" si="204"/>
        <v/>
      </c>
      <c r="Z738" s="186"/>
      <c r="AA738" s="161"/>
      <c r="AB738" s="161"/>
      <c r="AC738" s="161"/>
    </row>
    <row r="739" spans="1:29" ht="18" customHeight="1" x14ac:dyDescent="0.2">
      <c r="A739" s="166"/>
      <c r="B739" s="192" t="s">
        <v>95</v>
      </c>
      <c r="C739" s="198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0</v>
      </c>
      <c r="D739" s="152"/>
      <c r="E739" s="152"/>
      <c r="F739" s="192" t="s">
        <v>11</v>
      </c>
      <c r="G739" s="193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39" s="190"/>
      <c r="I739" s="477" t="s">
        <v>114</v>
      </c>
      <c r="J739" s="478"/>
      <c r="K739" s="193">
        <f>G739</f>
        <v>0</v>
      </c>
      <c r="L739" s="199"/>
      <c r="M739" s="161"/>
      <c r="N739" s="178"/>
      <c r="O739" s="179" t="s">
        <v>106</v>
      </c>
      <c r="P739" s="179"/>
      <c r="Q739" s="179"/>
      <c r="R739" s="179">
        <v>0</v>
      </c>
      <c r="S739" s="159"/>
      <c r="T739" s="179" t="s">
        <v>106</v>
      </c>
      <c r="U739" s="185"/>
      <c r="V739" s="181"/>
      <c r="W739" s="185" t="str">
        <f t="shared" si="203"/>
        <v/>
      </c>
      <c r="X739" s="181"/>
      <c r="Y739" s="185" t="str">
        <f t="shared" si="204"/>
        <v/>
      </c>
      <c r="Z739" s="186"/>
      <c r="AA739" s="161"/>
      <c r="AB739" s="161"/>
      <c r="AC739" s="161"/>
    </row>
    <row r="740" spans="1:29" ht="18" customHeight="1" x14ac:dyDescent="0.2">
      <c r="A740" s="166"/>
      <c r="B740" s="207" t="s">
        <v>116</v>
      </c>
      <c r="C740" s="198" t="str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/>
      </c>
      <c r="D740" s="152"/>
      <c r="E740" s="152"/>
      <c r="F740" s="207" t="s">
        <v>117</v>
      </c>
      <c r="G740" s="193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0" s="152"/>
      <c r="I740" s="472" t="s">
        <v>13</v>
      </c>
      <c r="J740" s="474"/>
      <c r="K740" s="37">
        <f>K738-K739</f>
        <v>35000</v>
      </c>
      <c r="L740" s="183"/>
      <c r="M740" s="161"/>
      <c r="N740" s="178"/>
      <c r="O740" s="179" t="s">
        <v>109</v>
      </c>
      <c r="P740" s="179"/>
      <c r="Q740" s="179"/>
      <c r="R740" s="179">
        <v>0</v>
      </c>
      <c r="S740" s="159"/>
      <c r="T740" s="179" t="s">
        <v>109</v>
      </c>
      <c r="U740" s="185"/>
      <c r="V740" s="181"/>
      <c r="W740" s="185" t="str">
        <f t="shared" si="203"/>
        <v/>
      </c>
      <c r="X740" s="181"/>
      <c r="Y740" s="185" t="str">
        <f t="shared" si="204"/>
        <v/>
      </c>
      <c r="Z740" s="186"/>
      <c r="AA740" s="161"/>
      <c r="AB740" s="161"/>
      <c r="AC740" s="161"/>
    </row>
    <row r="741" spans="1:29" ht="18" customHeight="1" x14ac:dyDescent="0.2">
      <c r="A741" s="166"/>
      <c r="B741" s="152"/>
      <c r="C741" s="152"/>
      <c r="D741" s="152"/>
      <c r="E741" s="152"/>
      <c r="F741" s="152"/>
      <c r="G741" s="152"/>
      <c r="H741" s="152"/>
      <c r="I741" s="468"/>
      <c r="J741" s="468"/>
      <c r="K741" s="154"/>
      <c r="L741" s="189"/>
      <c r="M741" s="161"/>
      <c r="N741" s="178"/>
      <c r="O741" s="179" t="s">
        <v>85</v>
      </c>
      <c r="P741" s="179"/>
      <c r="Q741" s="179"/>
      <c r="R741" s="179">
        <v>0</v>
      </c>
      <c r="S741" s="159"/>
      <c r="T741" s="179" t="s">
        <v>85</v>
      </c>
      <c r="U741" s="185"/>
      <c r="V741" s="181"/>
      <c r="W741" s="185" t="str">
        <f t="shared" si="203"/>
        <v/>
      </c>
      <c r="X741" s="181"/>
      <c r="Y741" s="185" t="str">
        <f t="shared" si="204"/>
        <v/>
      </c>
      <c r="Z741" s="186"/>
      <c r="AA741" s="161"/>
      <c r="AB741" s="161"/>
      <c r="AC741" s="161"/>
    </row>
    <row r="742" spans="1:29" ht="18" customHeight="1" x14ac:dyDescent="0.3">
      <c r="A742" s="166"/>
      <c r="B742" s="150"/>
      <c r="C742" s="150"/>
      <c r="D742" s="150"/>
      <c r="E742" s="150"/>
      <c r="F742" s="150"/>
      <c r="G742" s="150"/>
      <c r="H742" s="150"/>
      <c r="I742" s="434"/>
      <c r="J742" s="434"/>
      <c r="K742" s="154"/>
      <c r="L742" s="189"/>
      <c r="M742" s="161"/>
      <c r="N742" s="178"/>
      <c r="O742" s="179" t="s">
        <v>113</v>
      </c>
      <c r="P742" s="179">
        <v>23</v>
      </c>
      <c r="Q742" s="179">
        <v>8</v>
      </c>
      <c r="R742" s="179">
        <v>0</v>
      </c>
      <c r="S742" s="159"/>
      <c r="T742" s="179" t="s">
        <v>113</v>
      </c>
      <c r="U742" s="185"/>
      <c r="V742" s="181"/>
      <c r="W742" s="185" t="str">
        <f t="shared" si="203"/>
        <v/>
      </c>
      <c r="X742" s="181"/>
      <c r="Y742" s="185" t="str">
        <f t="shared" si="204"/>
        <v/>
      </c>
      <c r="Z742" s="186"/>
      <c r="AA742" s="161"/>
      <c r="AB742" s="161"/>
      <c r="AC742" s="161"/>
    </row>
    <row r="743" spans="1:29" ht="18" customHeight="1" thickBot="1" x14ac:dyDescent="0.35">
      <c r="A743" s="200"/>
      <c r="B743" s="201"/>
      <c r="C743" s="201"/>
      <c r="D743" s="201"/>
      <c r="E743" s="201"/>
      <c r="F743" s="201"/>
      <c r="G743" s="201"/>
      <c r="H743" s="201"/>
      <c r="I743" s="201"/>
      <c r="J743" s="201"/>
      <c r="K743" s="201"/>
      <c r="L743" s="202"/>
      <c r="M743" s="161"/>
      <c r="N743" s="178"/>
      <c r="O743" s="179" t="s">
        <v>115</v>
      </c>
      <c r="P743" s="179"/>
      <c r="Q743" s="179"/>
      <c r="R743" s="179" t="str">
        <f>IF(Q743="","",R742-Q743)</f>
        <v/>
      </c>
      <c r="S743" s="159"/>
      <c r="T743" s="179" t="s">
        <v>115</v>
      </c>
      <c r="U743" s="185" t="str">
        <f>IF($J$1="August",Y742,"")</f>
        <v/>
      </c>
      <c r="V743" s="181"/>
      <c r="W743" s="185" t="str">
        <f t="shared" si="203"/>
        <v/>
      </c>
      <c r="X743" s="181"/>
      <c r="Y743" s="185" t="str">
        <f t="shared" si="204"/>
        <v/>
      </c>
      <c r="Z743" s="186"/>
      <c r="AA743" s="161"/>
      <c r="AB743" s="161"/>
      <c r="AC743" s="161"/>
    </row>
    <row r="744" spans="1:29" ht="18" customHeight="1" thickBot="1" x14ac:dyDescent="0.25">
      <c r="A744" s="200"/>
      <c r="B744" s="216"/>
      <c r="C744" s="216"/>
      <c r="D744" s="216"/>
      <c r="E744" s="216"/>
      <c r="F744" s="216"/>
      <c r="G744" s="216"/>
      <c r="H744" s="216"/>
      <c r="I744" s="216"/>
      <c r="J744" s="216"/>
      <c r="K744" s="216"/>
      <c r="L744" s="202"/>
      <c r="M744" s="161"/>
      <c r="N744" s="178"/>
      <c r="O744" s="179" t="s">
        <v>118</v>
      </c>
      <c r="P744" s="179"/>
      <c r="Q744" s="179"/>
      <c r="R744" s="179">
        <v>0</v>
      </c>
      <c r="S744" s="159"/>
      <c r="T744" s="179" t="s">
        <v>118</v>
      </c>
      <c r="U744" s="185" t="str">
        <f>IF($J$1="September",Y743,"")</f>
        <v/>
      </c>
      <c r="V744" s="181"/>
      <c r="W744" s="185" t="str">
        <f t="shared" si="203"/>
        <v/>
      </c>
      <c r="X744" s="181"/>
      <c r="Y744" s="185" t="str">
        <f t="shared" si="204"/>
        <v/>
      </c>
      <c r="Z744" s="186"/>
      <c r="AA744" s="161"/>
      <c r="AB744" s="161"/>
      <c r="AC744" s="161"/>
    </row>
    <row r="745" spans="1:29" ht="18" customHeight="1" x14ac:dyDescent="0.2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61"/>
      <c r="N745" s="178"/>
      <c r="O745" s="179" t="s">
        <v>119</v>
      </c>
      <c r="P745" s="179"/>
      <c r="Q745" s="179"/>
      <c r="R745" s="179">
        <v>0</v>
      </c>
      <c r="S745" s="159"/>
      <c r="T745" s="179" t="s">
        <v>119</v>
      </c>
      <c r="U745" s="185" t="str">
        <f>IF($J$1="October",Y744,"")</f>
        <v/>
      </c>
      <c r="V745" s="181"/>
      <c r="W745" s="185" t="str">
        <f t="shared" si="203"/>
        <v/>
      </c>
      <c r="X745" s="181"/>
      <c r="Y745" s="185" t="str">
        <f t="shared" si="204"/>
        <v/>
      </c>
      <c r="Z745" s="186"/>
      <c r="AA745" s="161"/>
      <c r="AB745" s="161"/>
      <c r="AC745" s="161"/>
    </row>
    <row r="746" spans="1:29" ht="18" customHeight="1" thickBot="1" x14ac:dyDescent="0.25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61"/>
      <c r="N746" s="178"/>
      <c r="O746" s="179" t="s">
        <v>120</v>
      </c>
      <c r="P746" s="179"/>
      <c r="Q746" s="179"/>
      <c r="R746" s="179" t="str">
        <f>IF(Q746="","",R745-Q746)</f>
        <v/>
      </c>
      <c r="S746" s="159"/>
      <c r="T746" s="179" t="s">
        <v>120</v>
      </c>
      <c r="U746" s="185" t="str">
        <f>IF($J$1="November",Y745,"")</f>
        <v/>
      </c>
      <c r="V746" s="181"/>
      <c r="W746" s="185" t="str">
        <f t="shared" si="203"/>
        <v/>
      </c>
      <c r="X746" s="181"/>
      <c r="Y746" s="185" t="str">
        <f t="shared" si="204"/>
        <v/>
      </c>
      <c r="Z746" s="186"/>
      <c r="AA746" s="161"/>
      <c r="AB746" s="161"/>
      <c r="AC746" s="161"/>
    </row>
    <row r="747" spans="1:29" ht="18" customHeight="1" x14ac:dyDescent="0.2">
      <c r="A747" s="461" t="s">
        <v>89</v>
      </c>
      <c r="B747" s="437"/>
      <c r="C747" s="437"/>
      <c r="D747" s="437"/>
      <c r="E747" s="437"/>
      <c r="F747" s="437"/>
      <c r="G747" s="437"/>
      <c r="H747" s="437"/>
      <c r="I747" s="437"/>
      <c r="J747" s="437"/>
      <c r="K747" s="437"/>
      <c r="L747" s="438"/>
      <c r="M747" s="161"/>
      <c r="N747" s="178"/>
      <c r="O747" s="179" t="s">
        <v>121</v>
      </c>
      <c r="P747" s="179"/>
      <c r="Q747" s="179"/>
      <c r="R747" s="179">
        <v>0</v>
      </c>
      <c r="S747" s="159"/>
      <c r="T747" s="179" t="s">
        <v>121</v>
      </c>
      <c r="U747" s="185" t="str">
        <f>IF($J$1="Dec",Y746,"")</f>
        <v/>
      </c>
      <c r="V747" s="181"/>
      <c r="W747" s="185" t="str">
        <f t="shared" si="203"/>
        <v/>
      </c>
      <c r="X747" s="181"/>
      <c r="Y747" s="185" t="str">
        <f t="shared" si="204"/>
        <v/>
      </c>
      <c r="Z747" s="186"/>
      <c r="AA747" s="161"/>
      <c r="AB747" s="161"/>
      <c r="AC747" s="161"/>
    </row>
    <row r="748" spans="1:29" ht="18" customHeight="1" thickBot="1" x14ac:dyDescent="0.25">
      <c r="A748" s="166"/>
      <c r="B748" s="152"/>
      <c r="C748" s="443" t="s">
        <v>219</v>
      </c>
      <c r="D748" s="435"/>
      <c r="E748" s="435"/>
      <c r="F748" s="435"/>
      <c r="G748" s="167" t="str">
        <f>$J$1</f>
        <v>August</v>
      </c>
      <c r="H748" s="444">
        <f>$K$1</f>
        <v>2024</v>
      </c>
      <c r="I748" s="435"/>
      <c r="J748" s="152"/>
      <c r="K748" s="168"/>
      <c r="L748" s="169"/>
      <c r="M748" s="161"/>
      <c r="N748" s="217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21"/>
      <c r="AA748" s="161"/>
      <c r="AB748" s="161"/>
      <c r="AC748" s="161"/>
    </row>
    <row r="749" spans="1:29" ht="18" customHeight="1" x14ac:dyDescent="0.2">
      <c r="A749" s="166"/>
      <c r="B749" s="152"/>
      <c r="C749" s="152"/>
      <c r="D749" s="175"/>
      <c r="E749" s="175"/>
      <c r="F749" s="175"/>
      <c r="G749" s="175"/>
      <c r="H749" s="175"/>
      <c r="I749" s="152"/>
      <c r="J749" s="176" t="s">
        <v>99</v>
      </c>
      <c r="K749" s="154">
        <f>60000+10000</f>
        <v>70000</v>
      </c>
      <c r="L749" s="177"/>
      <c r="M749" s="161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59"/>
      <c r="Z749" s="159"/>
      <c r="AA749" s="161"/>
      <c r="AB749" s="161"/>
      <c r="AC749" s="161"/>
    </row>
    <row r="750" spans="1:29" ht="18" customHeight="1" thickBot="1" x14ac:dyDescent="0.25">
      <c r="A750" s="166"/>
      <c r="B750" s="152" t="s">
        <v>101</v>
      </c>
      <c r="C750" s="151" t="s">
        <v>220</v>
      </c>
      <c r="D750" s="152"/>
      <c r="E750" s="152"/>
      <c r="F750" s="152"/>
      <c r="G750" s="152"/>
      <c r="H750" s="182"/>
      <c r="I750" s="175"/>
      <c r="J750" s="152"/>
      <c r="K750" s="152"/>
      <c r="L750" s="183"/>
      <c r="M750" s="161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59"/>
      <c r="Z750" s="159"/>
      <c r="AA750" s="161"/>
      <c r="AB750" s="161"/>
      <c r="AC750" s="161"/>
    </row>
    <row r="751" spans="1:29" ht="18" customHeight="1" x14ac:dyDescent="0.2">
      <c r="A751" s="166"/>
      <c r="B751" s="187" t="s">
        <v>103</v>
      </c>
      <c r="C751" s="188"/>
      <c r="D751" s="152"/>
      <c r="E751" s="152"/>
      <c r="F751" s="439" t="s">
        <v>91</v>
      </c>
      <c r="G751" s="413"/>
      <c r="H751" s="152"/>
      <c r="I751" s="439" t="s">
        <v>104</v>
      </c>
      <c r="J751" s="412"/>
      <c r="K751" s="413"/>
      <c r="L751" s="189"/>
      <c r="M751" s="162"/>
      <c r="N751" s="163"/>
      <c r="O751" s="440" t="s">
        <v>90</v>
      </c>
      <c r="P751" s="441"/>
      <c r="Q751" s="441"/>
      <c r="R751" s="442"/>
      <c r="S751" s="164"/>
      <c r="T751" s="440" t="s">
        <v>91</v>
      </c>
      <c r="U751" s="441"/>
      <c r="V751" s="441"/>
      <c r="W751" s="441"/>
      <c r="X751" s="441"/>
      <c r="Y751" s="442"/>
      <c r="Z751" s="165"/>
      <c r="AA751" s="162"/>
      <c r="AB751" s="161"/>
      <c r="AC751" s="161"/>
    </row>
    <row r="752" spans="1:29" ht="18" customHeight="1" x14ac:dyDescent="0.2">
      <c r="A752" s="166"/>
      <c r="B752" s="152"/>
      <c r="C752" s="152"/>
      <c r="D752" s="152"/>
      <c r="E752" s="152"/>
      <c r="F752" s="152"/>
      <c r="G752" s="152"/>
      <c r="H752" s="190"/>
      <c r="I752" s="152"/>
      <c r="J752" s="152"/>
      <c r="K752" s="152"/>
      <c r="L752" s="191"/>
      <c r="M752" s="170"/>
      <c r="N752" s="171"/>
      <c r="O752" s="172" t="s">
        <v>93</v>
      </c>
      <c r="P752" s="172" t="s">
        <v>94</v>
      </c>
      <c r="Q752" s="172" t="s">
        <v>95</v>
      </c>
      <c r="R752" s="172" t="s">
        <v>96</v>
      </c>
      <c r="S752" s="173"/>
      <c r="T752" s="172" t="s">
        <v>93</v>
      </c>
      <c r="U752" s="172" t="s">
        <v>97</v>
      </c>
      <c r="V752" s="172" t="s">
        <v>9</v>
      </c>
      <c r="W752" s="172" t="s">
        <v>10</v>
      </c>
      <c r="X752" s="172" t="s">
        <v>11</v>
      </c>
      <c r="Y752" s="172" t="s">
        <v>98</v>
      </c>
      <c r="Z752" s="174"/>
      <c r="AA752" s="170"/>
      <c r="AB752" s="161"/>
      <c r="AC752" s="161"/>
    </row>
    <row r="753" spans="1:29" ht="18" customHeight="1" x14ac:dyDescent="0.2">
      <c r="A753" s="166"/>
      <c r="B753" s="445" t="s">
        <v>90</v>
      </c>
      <c r="C753" s="413"/>
      <c r="D753" s="152"/>
      <c r="E753" s="152"/>
      <c r="F753" s="192" t="s">
        <v>107</v>
      </c>
      <c r="G753" s="193">
        <f>IF($J$1="January",U753,IF($J$1="February",U754,IF($J$1="March",U755,IF($J$1="April",U756,IF($J$1="May",U757,IF($J$1="June",U758,IF($J$1="July",U759,IF($J$1="August",U760,IF($J$1="August",U760,IF($J$1="September",U761,IF($J$1="October",U762,IF($J$1="November",U763,IF($J$1="December",U764)))))))))))))</f>
        <v>0</v>
      </c>
      <c r="H753" s="190"/>
      <c r="I753" s="194">
        <f>IF(C757&gt;0,$K$2,C755)</f>
        <v>31</v>
      </c>
      <c r="J753" s="195" t="s">
        <v>108</v>
      </c>
      <c r="K753" s="196">
        <f>K749/$K$2*I753</f>
        <v>70000</v>
      </c>
      <c r="L753" s="197"/>
      <c r="M753" s="161"/>
      <c r="N753" s="178"/>
      <c r="O753" s="179" t="s">
        <v>100</v>
      </c>
      <c r="P753" s="179"/>
      <c r="Q753" s="179"/>
      <c r="R753" s="179">
        <v>0</v>
      </c>
      <c r="S753" s="180"/>
      <c r="T753" s="179" t="s">
        <v>100</v>
      </c>
      <c r="U753" s="181"/>
      <c r="V753" s="181"/>
      <c r="W753" s="181">
        <f>V753+U753</f>
        <v>0</v>
      </c>
      <c r="X753" s="181"/>
      <c r="Y753" s="181">
        <f>W753-X753</f>
        <v>0</v>
      </c>
      <c r="Z753" s="174"/>
      <c r="AA753" s="161"/>
      <c r="AB753" s="161"/>
      <c r="AC753" s="161"/>
    </row>
    <row r="754" spans="1:29" ht="18" customHeight="1" x14ac:dyDescent="0.2">
      <c r="A754" s="166"/>
      <c r="B754" s="198"/>
      <c r="C754" s="198"/>
      <c r="D754" s="152"/>
      <c r="E754" s="152"/>
      <c r="F754" s="192" t="s">
        <v>9</v>
      </c>
      <c r="G754" s="193">
        <f>IF($J$1="January",V753,IF($J$1="February",V754,IF($J$1="March",V755,IF($J$1="April",V756,IF($J$1="May",V757,IF($J$1="June",V758,IF($J$1="July",V759,IF($J$1="August",V760,IF($J$1="August",V760,IF($J$1="September",V761,IF($J$1="October",V762,IF($J$1="November",V763,IF($J$1="December",V764)))))))))))))</f>
        <v>0</v>
      </c>
      <c r="H754" s="190"/>
      <c r="I754" s="194">
        <v>40</v>
      </c>
      <c r="J754" s="195" t="s">
        <v>110</v>
      </c>
      <c r="K754" s="193">
        <f>K749/$K$2/8*I754</f>
        <v>11290.322580645161</v>
      </c>
      <c r="L754" s="199"/>
      <c r="M754" s="162"/>
      <c r="N754" s="184"/>
      <c r="O754" s="179" t="s">
        <v>102</v>
      </c>
      <c r="P754" s="179">
        <v>28</v>
      </c>
      <c r="Q754" s="179">
        <v>0</v>
      </c>
      <c r="R754" s="179">
        <f>IF(Q754="","",R753-Q754)</f>
        <v>0</v>
      </c>
      <c r="S754" s="159"/>
      <c r="T754" s="179" t="s">
        <v>102</v>
      </c>
      <c r="U754" s="185">
        <v>0</v>
      </c>
      <c r="V754" s="181"/>
      <c r="W754" s="185">
        <f t="shared" ref="W754:W764" si="205">IF(U754="","",U754+V754)</f>
        <v>0</v>
      </c>
      <c r="X754" s="181"/>
      <c r="Y754" s="185">
        <f t="shared" ref="Y754:Y764" si="206">IF(W754="","",W754-X754)</f>
        <v>0</v>
      </c>
      <c r="Z754" s="186"/>
      <c r="AA754" s="162"/>
      <c r="AB754" s="161"/>
      <c r="AC754" s="161"/>
    </row>
    <row r="755" spans="1:29" ht="18" customHeight="1" x14ac:dyDescent="0.2">
      <c r="A755" s="166"/>
      <c r="B755" s="192" t="s">
        <v>94</v>
      </c>
      <c r="C755" s="198">
        <f>IF($J$1="January",P753,IF($J$1="February",P754,IF($J$1="March",P755,IF($J$1="April",P756,IF($J$1="May",P757,IF($J$1="June",P758,IF($J$1="July",P759,IF($J$1="August",P760,IF($J$1="August",P760,IF($J$1="September",P761,IF($J$1="October",P762,IF($J$1="November",P763,IF($J$1="December",P764)))))))))))))</f>
        <v>0</v>
      </c>
      <c r="D755" s="152"/>
      <c r="E755" s="152"/>
      <c r="F755" s="192" t="s">
        <v>111</v>
      </c>
      <c r="G755" s="193" t="str">
        <f>IF($J$1="January",W753,IF($J$1="February",W754,IF($J$1="March",W755,IF($J$1="April",W756,IF($J$1="May",W757,IF($J$1="June",W758,IF($J$1="July",W759,IF($J$1="August",W760,IF($J$1="August",W760,IF($J$1="September",W761,IF($J$1="October",W762,IF($J$1="November",W763,IF($J$1="December",W764)))))))))))))</f>
        <v/>
      </c>
      <c r="H755" s="190"/>
      <c r="I755" s="446" t="s">
        <v>112</v>
      </c>
      <c r="J755" s="413"/>
      <c r="K755" s="193">
        <f>K753+K754</f>
        <v>81290.322580645166</v>
      </c>
      <c r="L755" s="199"/>
      <c r="M755" s="161"/>
      <c r="N755" s="178"/>
      <c r="O755" s="179" t="s">
        <v>105</v>
      </c>
      <c r="P755" s="179">
        <v>29</v>
      </c>
      <c r="Q755" s="179">
        <v>2</v>
      </c>
      <c r="R755" s="179">
        <v>0</v>
      </c>
      <c r="S755" s="159"/>
      <c r="T755" s="179" t="s">
        <v>105</v>
      </c>
      <c r="U755" s="185">
        <f t="shared" ref="U755:U756" si="207">IF($J$1="April",Y754,Y754)</f>
        <v>0</v>
      </c>
      <c r="V755" s="181"/>
      <c r="W755" s="185">
        <f t="shared" si="205"/>
        <v>0</v>
      </c>
      <c r="X755" s="181"/>
      <c r="Y755" s="185">
        <f t="shared" si="206"/>
        <v>0</v>
      </c>
      <c r="Z755" s="186"/>
      <c r="AA755" s="161"/>
      <c r="AB755" s="161"/>
      <c r="AC755" s="161"/>
    </row>
    <row r="756" spans="1:29" ht="18" customHeight="1" x14ac:dyDescent="0.2">
      <c r="A756" s="166"/>
      <c r="B756" s="192" t="s">
        <v>95</v>
      </c>
      <c r="C756" s="198">
        <f>IF($J$1="January",Q753,IF($J$1="February",Q754,IF($J$1="March",Q755,IF($J$1="April",Q756,IF($J$1="May",Q757,IF($J$1="June",Q758,IF($J$1="July",Q759,IF($J$1="August",Q760,IF($J$1="August",Q760,IF($J$1="September",Q761,IF($J$1="October",Q762,IF($J$1="November",Q763,IF($J$1="December",Q764)))))))))))))</f>
        <v>0</v>
      </c>
      <c r="D756" s="152"/>
      <c r="E756" s="152"/>
      <c r="F756" s="192" t="s">
        <v>11</v>
      </c>
      <c r="G756" s="193">
        <f>IF($J$1="January",X753,IF($J$1="February",X754,IF($J$1="March",X755,IF($J$1="April",X756,IF($J$1="May",X757,IF($J$1="June",X758,IF($J$1="July",X759,IF($J$1="August",X760,IF($J$1="August",X760,IF($J$1="September",X761,IF($J$1="October",X762,IF($J$1="November",X763,IF($J$1="December",X764)))))))))))))</f>
        <v>0</v>
      </c>
      <c r="H756" s="190"/>
      <c r="I756" s="446" t="s">
        <v>114</v>
      </c>
      <c r="J756" s="413"/>
      <c r="K756" s="193">
        <f>G756</f>
        <v>0</v>
      </c>
      <c r="L756" s="199"/>
      <c r="M756" s="161"/>
      <c r="N756" s="178"/>
      <c r="O756" s="179" t="s">
        <v>106</v>
      </c>
      <c r="P756" s="179"/>
      <c r="Q756" s="179"/>
      <c r="R756" s="179" t="str">
        <f>IF(Q756="","",R755-Q756)</f>
        <v/>
      </c>
      <c r="S756" s="159"/>
      <c r="T756" s="179" t="s">
        <v>106</v>
      </c>
      <c r="U756" s="185">
        <f t="shared" si="207"/>
        <v>0</v>
      </c>
      <c r="V756" s="181"/>
      <c r="W756" s="185">
        <f t="shared" si="205"/>
        <v>0</v>
      </c>
      <c r="X756" s="181"/>
      <c r="Y756" s="185">
        <f t="shared" si="206"/>
        <v>0</v>
      </c>
      <c r="Z756" s="186"/>
      <c r="AA756" s="161"/>
      <c r="AB756" s="161"/>
      <c r="AC756" s="161"/>
    </row>
    <row r="757" spans="1:29" ht="18" customHeight="1" x14ac:dyDescent="0.2">
      <c r="A757" s="166"/>
      <c r="B757" s="215" t="s">
        <v>116</v>
      </c>
      <c r="C757" s="198" t="str">
        <f>IF($J$1="January",R753,IF($J$1="February",R754,IF($J$1="March",R755,IF($J$1="April",R756,IF($J$1="May",R757,IF($J$1="June",R758,IF($J$1="July",R759,IF($J$1="August",R760,IF($J$1="August",R760,IF($J$1="September",R761,IF($J$1="October",R762,IF($J$1="November",R763,IF($J$1="December",R764)))))))))))))</f>
        <v/>
      </c>
      <c r="D757" s="152"/>
      <c r="E757" s="152"/>
      <c r="F757" s="192" t="s">
        <v>169</v>
      </c>
      <c r="G757" s="193" t="str">
        <f>IF($J$1="January",Y753,IF($J$1="February",Y754,IF($J$1="March",Y755,IF($J$1="April",Y756,IF($J$1="May",Y757,IF($J$1="June",Y758,IF($J$1="July",Y759,IF($J$1="August",Y760,IF($J$1="August",Y760,IF($J$1="September",Y761,IF($J$1="October",Y762,IF($J$1="November",Y763,IF($J$1="December",Y764)))))))))))))</f>
        <v/>
      </c>
      <c r="H757" s="152"/>
      <c r="I757" s="439" t="s">
        <v>13</v>
      </c>
      <c r="J757" s="413"/>
      <c r="K757" s="37">
        <f>K755-K756</f>
        <v>81290.322580645166</v>
      </c>
      <c r="L757" s="183"/>
      <c r="M757" s="161"/>
      <c r="N757" s="178"/>
      <c r="O757" s="179" t="s">
        <v>109</v>
      </c>
      <c r="P757" s="179">
        <v>30</v>
      </c>
      <c r="Q757" s="179">
        <v>1</v>
      </c>
      <c r="R757" s="179">
        <v>0</v>
      </c>
      <c r="S757" s="159"/>
      <c r="T757" s="179" t="s">
        <v>109</v>
      </c>
      <c r="U757" s="185">
        <f t="shared" ref="U757:U764" si="208">IF($J$1="May",Y756,Y756)</f>
        <v>0</v>
      </c>
      <c r="V757" s="181"/>
      <c r="W757" s="185">
        <f t="shared" si="205"/>
        <v>0</v>
      </c>
      <c r="X757" s="181"/>
      <c r="Y757" s="185">
        <f t="shared" si="206"/>
        <v>0</v>
      </c>
      <c r="Z757" s="186"/>
      <c r="AA757" s="161"/>
      <c r="AB757" s="161"/>
      <c r="AC757" s="161"/>
    </row>
    <row r="758" spans="1:29" ht="18" customHeight="1" x14ac:dyDescent="0.2">
      <c r="A758" s="166"/>
      <c r="B758" s="152"/>
      <c r="C758" s="152"/>
      <c r="D758" s="152"/>
      <c r="E758" s="152"/>
      <c r="F758" s="152"/>
      <c r="G758" s="152"/>
      <c r="H758" s="152"/>
      <c r="I758" s="434"/>
      <c r="J758" s="435"/>
      <c r="K758" s="154"/>
      <c r="L758" s="189"/>
      <c r="M758" s="161"/>
      <c r="N758" s="178"/>
      <c r="O758" s="179" t="s">
        <v>85</v>
      </c>
      <c r="P758" s="179">
        <v>30</v>
      </c>
      <c r="Q758" s="179">
        <v>0</v>
      </c>
      <c r="R758" s="179">
        <f t="shared" ref="R758:R764" si="209">IF(Q758="","",R757-Q758)</f>
        <v>0</v>
      </c>
      <c r="S758" s="159"/>
      <c r="T758" s="179" t="s">
        <v>85</v>
      </c>
      <c r="U758" s="185">
        <f t="shared" si="208"/>
        <v>0</v>
      </c>
      <c r="V758" s="181"/>
      <c r="W758" s="185">
        <f t="shared" si="205"/>
        <v>0</v>
      </c>
      <c r="X758" s="181"/>
      <c r="Y758" s="185">
        <f t="shared" si="206"/>
        <v>0</v>
      </c>
      <c r="Z758" s="186"/>
      <c r="AA758" s="161"/>
      <c r="AB758" s="161"/>
      <c r="AC758" s="161"/>
    </row>
    <row r="759" spans="1:29" ht="18" customHeight="1" x14ac:dyDescent="0.3">
      <c r="A759" s="166"/>
      <c r="B759" s="150"/>
      <c r="C759" s="150"/>
      <c r="D759" s="150"/>
      <c r="E759" s="150"/>
      <c r="F759" s="150"/>
      <c r="G759" s="150"/>
      <c r="H759" s="150"/>
      <c r="I759" s="434"/>
      <c r="J759" s="435"/>
      <c r="K759" s="154"/>
      <c r="L759" s="189"/>
      <c r="M759" s="161"/>
      <c r="N759" s="178"/>
      <c r="O759" s="179" t="s">
        <v>113</v>
      </c>
      <c r="P759" s="179">
        <v>31</v>
      </c>
      <c r="Q759" s="179">
        <v>0</v>
      </c>
      <c r="R759" s="179">
        <f t="shared" si="209"/>
        <v>0</v>
      </c>
      <c r="S759" s="159"/>
      <c r="T759" s="179" t="s">
        <v>113</v>
      </c>
      <c r="U759" s="185">
        <f t="shared" si="208"/>
        <v>0</v>
      </c>
      <c r="V759" s="181">
        <v>50000</v>
      </c>
      <c r="W759" s="185">
        <f t="shared" si="205"/>
        <v>50000</v>
      </c>
      <c r="X759" s="266">
        <v>5000</v>
      </c>
      <c r="Y759" s="185">
        <f t="shared" si="206"/>
        <v>45000</v>
      </c>
      <c r="Z759" s="186"/>
      <c r="AA759" s="161"/>
      <c r="AB759" s="161"/>
      <c r="AC759" s="161"/>
    </row>
    <row r="760" spans="1:29" ht="18" customHeight="1" x14ac:dyDescent="0.3">
      <c r="A760" s="166"/>
      <c r="B760" s="150"/>
      <c r="C760" s="150"/>
      <c r="D760" s="150"/>
      <c r="E760" s="150"/>
      <c r="F760" s="150"/>
      <c r="G760" s="150"/>
      <c r="H760" s="150"/>
      <c r="I760" s="150"/>
      <c r="J760" s="150"/>
      <c r="K760" s="150"/>
      <c r="L760" s="189"/>
      <c r="M760" s="161"/>
      <c r="N760" s="178"/>
      <c r="O760" s="179" t="s">
        <v>115</v>
      </c>
      <c r="P760" s="179"/>
      <c r="Q760" s="179"/>
      <c r="R760" s="179" t="str">
        <f t="shared" si="209"/>
        <v/>
      </c>
      <c r="S760" s="159"/>
      <c r="T760" s="179" t="s">
        <v>115</v>
      </c>
      <c r="U760" s="185"/>
      <c r="V760" s="181"/>
      <c r="W760" s="185" t="str">
        <f t="shared" si="205"/>
        <v/>
      </c>
      <c r="X760" s="181"/>
      <c r="Y760" s="185" t="str">
        <f t="shared" si="206"/>
        <v/>
      </c>
      <c r="Z760" s="186"/>
      <c r="AA760" s="161"/>
      <c r="AB760" s="161"/>
      <c r="AC760" s="161"/>
    </row>
    <row r="761" spans="1:29" ht="18" customHeight="1" thickBot="1" x14ac:dyDescent="0.25">
      <c r="A761" s="200"/>
      <c r="B761" s="216"/>
      <c r="C761" s="216"/>
      <c r="D761" s="216"/>
      <c r="E761" s="216"/>
      <c r="F761" s="216"/>
      <c r="G761" s="216"/>
      <c r="H761" s="216"/>
      <c r="I761" s="216"/>
      <c r="J761" s="216"/>
      <c r="K761" s="216"/>
      <c r="L761" s="202"/>
      <c r="M761" s="161"/>
      <c r="N761" s="178"/>
      <c r="O761" s="179" t="s">
        <v>118</v>
      </c>
      <c r="P761" s="179"/>
      <c r="Q761" s="179"/>
      <c r="R761" s="179" t="str">
        <f t="shared" si="209"/>
        <v/>
      </c>
      <c r="S761" s="159"/>
      <c r="T761" s="179" t="s">
        <v>118</v>
      </c>
      <c r="U761" s="185"/>
      <c r="V761" s="181"/>
      <c r="W761" s="185" t="str">
        <f t="shared" si="205"/>
        <v/>
      </c>
      <c r="X761" s="181"/>
      <c r="Y761" s="185" t="str">
        <f t="shared" si="206"/>
        <v/>
      </c>
      <c r="Z761" s="186"/>
      <c r="AA761" s="161"/>
      <c r="AB761" s="161"/>
      <c r="AC761" s="161"/>
    </row>
    <row r="762" spans="1:29" ht="18" customHeight="1" thickBot="1" x14ac:dyDescent="0.25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61"/>
      <c r="N762" s="178"/>
      <c r="O762" s="179" t="s">
        <v>119</v>
      </c>
      <c r="P762" s="179"/>
      <c r="Q762" s="179"/>
      <c r="R762" s="179" t="str">
        <f t="shared" si="209"/>
        <v/>
      </c>
      <c r="S762" s="159"/>
      <c r="T762" s="179" t="s">
        <v>119</v>
      </c>
      <c r="U762" s="185"/>
      <c r="V762" s="181"/>
      <c r="W762" s="185" t="str">
        <f t="shared" si="205"/>
        <v/>
      </c>
      <c r="X762" s="181"/>
      <c r="Y762" s="185" t="str">
        <f t="shared" si="206"/>
        <v/>
      </c>
      <c r="Z762" s="186"/>
      <c r="AA762" s="161"/>
      <c r="AB762" s="161"/>
      <c r="AC762" s="161"/>
    </row>
    <row r="763" spans="1:29" ht="18" customHeight="1" x14ac:dyDescent="0.2">
      <c r="A763" s="460" t="s">
        <v>89</v>
      </c>
      <c r="B763" s="437"/>
      <c r="C763" s="437"/>
      <c r="D763" s="437"/>
      <c r="E763" s="437"/>
      <c r="F763" s="437"/>
      <c r="G763" s="437"/>
      <c r="H763" s="437"/>
      <c r="I763" s="437"/>
      <c r="J763" s="437"/>
      <c r="K763" s="437"/>
      <c r="L763" s="438"/>
      <c r="M763" s="161"/>
      <c r="N763" s="178"/>
      <c r="O763" s="179" t="s">
        <v>120</v>
      </c>
      <c r="P763" s="179"/>
      <c r="Q763" s="179"/>
      <c r="R763" s="179" t="str">
        <f t="shared" si="209"/>
        <v/>
      </c>
      <c r="S763" s="159"/>
      <c r="T763" s="179" t="s">
        <v>120</v>
      </c>
      <c r="U763" s="185" t="str">
        <f t="shared" si="208"/>
        <v/>
      </c>
      <c r="V763" s="181"/>
      <c r="W763" s="185" t="str">
        <f t="shared" si="205"/>
        <v/>
      </c>
      <c r="X763" s="181"/>
      <c r="Y763" s="185" t="str">
        <f t="shared" si="206"/>
        <v/>
      </c>
      <c r="Z763" s="186"/>
      <c r="AA763" s="161"/>
      <c r="AB763" s="161"/>
      <c r="AC763" s="161"/>
    </row>
    <row r="764" spans="1:29" ht="18" customHeight="1" x14ac:dyDescent="0.2">
      <c r="A764" s="166"/>
      <c r="B764" s="152"/>
      <c r="C764" s="443" t="s">
        <v>221</v>
      </c>
      <c r="D764" s="435"/>
      <c r="E764" s="435"/>
      <c r="F764" s="435"/>
      <c r="G764" s="167" t="str">
        <f>$J$1</f>
        <v>August</v>
      </c>
      <c r="H764" s="444">
        <f>$K$1</f>
        <v>2024</v>
      </c>
      <c r="I764" s="435"/>
      <c r="J764" s="152"/>
      <c r="K764" s="168"/>
      <c r="L764" s="169"/>
      <c r="M764" s="161"/>
      <c r="N764" s="178"/>
      <c r="O764" s="179" t="s">
        <v>121</v>
      </c>
      <c r="P764" s="179"/>
      <c r="Q764" s="179"/>
      <c r="R764" s="179" t="str">
        <f t="shared" si="209"/>
        <v/>
      </c>
      <c r="S764" s="159"/>
      <c r="T764" s="179" t="s">
        <v>121</v>
      </c>
      <c r="U764" s="185" t="str">
        <f t="shared" si="208"/>
        <v/>
      </c>
      <c r="V764" s="181"/>
      <c r="W764" s="185" t="str">
        <f t="shared" si="205"/>
        <v/>
      </c>
      <c r="X764" s="181"/>
      <c r="Y764" s="185" t="str">
        <f t="shared" si="206"/>
        <v/>
      </c>
      <c r="Z764" s="186"/>
      <c r="AA764" s="161"/>
      <c r="AB764" s="161"/>
      <c r="AC764" s="161"/>
    </row>
    <row r="765" spans="1:29" ht="18" customHeight="1" thickBot="1" x14ac:dyDescent="0.25">
      <c r="A765" s="166"/>
      <c r="B765" s="152"/>
      <c r="C765" s="152"/>
      <c r="D765" s="175"/>
      <c r="E765" s="175"/>
      <c r="F765" s="175"/>
      <c r="G765" s="175"/>
      <c r="H765" s="175"/>
      <c r="I765" s="152"/>
      <c r="J765" s="176" t="s">
        <v>99</v>
      </c>
      <c r="K765" s="154">
        <v>35000</v>
      </c>
      <c r="L765" s="177"/>
      <c r="M765" s="161"/>
      <c r="N765" s="217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21"/>
      <c r="AA765" s="161"/>
      <c r="AB765" s="161"/>
      <c r="AC765" s="161"/>
    </row>
    <row r="766" spans="1:29" ht="18" customHeight="1" thickBot="1" x14ac:dyDescent="0.25">
      <c r="A766" s="166"/>
      <c r="B766" s="152" t="s">
        <v>101</v>
      </c>
      <c r="C766" s="151" t="s">
        <v>222</v>
      </c>
      <c r="D766" s="152"/>
      <c r="E766" s="152"/>
      <c r="F766" s="152"/>
      <c r="G766" s="152"/>
      <c r="H766" s="182"/>
      <c r="I766" s="175"/>
      <c r="J766" s="152"/>
      <c r="K766" s="152"/>
      <c r="L766" s="183"/>
      <c r="M766" s="161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  <c r="AA766" s="161"/>
      <c r="AB766" s="161"/>
      <c r="AC766" s="161"/>
    </row>
    <row r="767" spans="1:29" ht="18" customHeight="1" x14ac:dyDescent="0.2">
      <c r="A767" s="166"/>
      <c r="B767" s="187" t="s">
        <v>103</v>
      </c>
      <c r="C767" s="213">
        <v>45363</v>
      </c>
      <c r="D767" s="152"/>
      <c r="E767" s="152"/>
      <c r="F767" s="439" t="s">
        <v>91</v>
      </c>
      <c r="G767" s="413"/>
      <c r="H767" s="152"/>
      <c r="I767" s="439" t="s">
        <v>104</v>
      </c>
      <c r="J767" s="412"/>
      <c r="K767" s="413"/>
      <c r="L767" s="189"/>
      <c r="M767" s="162"/>
      <c r="N767" s="163"/>
      <c r="O767" s="440" t="s">
        <v>90</v>
      </c>
      <c r="P767" s="441"/>
      <c r="Q767" s="441"/>
      <c r="R767" s="442"/>
      <c r="S767" s="164"/>
      <c r="T767" s="440" t="s">
        <v>91</v>
      </c>
      <c r="U767" s="441"/>
      <c r="V767" s="441"/>
      <c r="W767" s="441"/>
      <c r="X767" s="441"/>
      <c r="Y767" s="442"/>
      <c r="Z767" s="165"/>
      <c r="AA767" s="162"/>
      <c r="AB767" s="161"/>
      <c r="AC767" s="161"/>
    </row>
    <row r="768" spans="1:29" ht="18" customHeight="1" x14ac:dyDescent="0.2">
      <c r="A768" s="166"/>
      <c r="B768" s="152"/>
      <c r="C768" s="152"/>
      <c r="D768" s="152"/>
      <c r="E768" s="152"/>
      <c r="F768" s="152"/>
      <c r="G768" s="152"/>
      <c r="H768" s="190"/>
      <c r="I768" s="152"/>
      <c r="J768" s="152"/>
      <c r="K768" s="152"/>
      <c r="L768" s="191"/>
      <c r="M768" s="170"/>
      <c r="N768" s="171"/>
      <c r="O768" s="172" t="s">
        <v>93</v>
      </c>
      <c r="P768" s="172" t="s">
        <v>94</v>
      </c>
      <c r="Q768" s="172" t="s">
        <v>95</v>
      </c>
      <c r="R768" s="172" t="s">
        <v>96</v>
      </c>
      <c r="S768" s="173"/>
      <c r="T768" s="172" t="s">
        <v>93</v>
      </c>
      <c r="U768" s="172" t="s">
        <v>97</v>
      </c>
      <c r="V768" s="172" t="s">
        <v>9</v>
      </c>
      <c r="W768" s="172" t="s">
        <v>10</v>
      </c>
      <c r="X768" s="172" t="s">
        <v>11</v>
      </c>
      <c r="Y768" s="172" t="s">
        <v>98</v>
      </c>
      <c r="Z768" s="174"/>
      <c r="AA768" s="170"/>
      <c r="AB768" s="161"/>
      <c r="AC768" s="161"/>
    </row>
    <row r="769" spans="1:29" ht="18" customHeight="1" x14ac:dyDescent="0.2">
      <c r="A769" s="166"/>
      <c r="B769" s="445" t="s">
        <v>90</v>
      </c>
      <c r="C769" s="413"/>
      <c r="D769" s="152"/>
      <c r="E769" s="152"/>
      <c r="F769" s="192" t="s">
        <v>107</v>
      </c>
      <c r="G769" s="193">
        <f>IF($J$1="January",U769,IF($J$1="February",U770,IF($J$1="March",U771,IF($J$1="April",U772,IF($J$1="May",U773,IF($J$1="June",U774,IF($J$1="July",U775,IF($J$1="August",U776,IF($J$1="August",U776,IF($J$1="September",U777,IF($J$1="October",U778,IF($J$1="November",U779,IF($J$1="December",U780)))))))))))))</f>
        <v>0</v>
      </c>
      <c r="H769" s="190"/>
      <c r="I769" s="194">
        <f>IF(C773&gt;0,$K$2,C771)</f>
        <v>0</v>
      </c>
      <c r="J769" s="195" t="s">
        <v>108</v>
      </c>
      <c r="K769" s="196">
        <f>K765/$K$2*I769</f>
        <v>0</v>
      </c>
      <c r="L769" s="197"/>
      <c r="M769" s="161"/>
      <c r="N769" s="178"/>
      <c r="O769" s="179" t="s">
        <v>100</v>
      </c>
      <c r="P769" s="179"/>
      <c r="Q769" s="179"/>
      <c r="R769" s="179">
        <v>0</v>
      </c>
      <c r="S769" s="180"/>
      <c r="T769" s="179" t="s">
        <v>100</v>
      </c>
      <c r="U769" s="181"/>
      <c r="V769" s="181"/>
      <c r="W769" s="181">
        <f>V769+U769</f>
        <v>0</v>
      </c>
      <c r="X769" s="181"/>
      <c r="Y769" s="181">
        <f>W769-X769</f>
        <v>0</v>
      </c>
      <c r="Z769" s="174"/>
      <c r="AA769" s="161"/>
      <c r="AB769" s="161"/>
      <c r="AC769" s="161"/>
    </row>
    <row r="770" spans="1:29" ht="18" customHeight="1" x14ac:dyDescent="0.2">
      <c r="A770" s="166"/>
      <c r="B770" s="198"/>
      <c r="C770" s="198"/>
      <c r="D770" s="152"/>
      <c r="E770" s="152"/>
      <c r="F770" s="192" t="s">
        <v>9</v>
      </c>
      <c r="G770" s="193">
        <f>IF($J$1="January",V769,IF($J$1="February",V770,IF($J$1="March",V771,IF($J$1="April",V772,IF($J$1="May",V773,IF($J$1="June",V774,IF($J$1="July",V775,IF($J$1="August",V776,IF($J$1="August",V776,IF($J$1="September",V777,IF($J$1="October",V778,IF($J$1="November",V779,IF($J$1="December",V780)))))))))))))</f>
        <v>0</v>
      </c>
      <c r="H770" s="190"/>
      <c r="I770" s="214">
        <v>2</v>
      </c>
      <c r="J770" s="195" t="s">
        <v>110</v>
      </c>
      <c r="K770" s="193">
        <f>K765/$K$2/8*I770</f>
        <v>282.25806451612902</v>
      </c>
      <c r="L770" s="199"/>
      <c r="M770" s="162"/>
      <c r="N770" s="184"/>
      <c r="O770" s="179" t="s">
        <v>102</v>
      </c>
      <c r="P770" s="179"/>
      <c r="Q770" s="179"/>
      <c r="R770" s="179">
        <v>0</v>
      </c>
      <c r="S770" s="159"/>
      <c r="T770" s="179" t="s">
        <v>102</v>
      </c>
      <c r="U770" s="185">
        <f>IF($J$1="January","",Y769)</f>
        <v>0</v>
      </c>
      <c r="V770" s="181"/>
      <c r="W770" s="185">
        <f t="shared" ref="W770:W780" si="210">IF(U770="","",U770+V770)</f>
        <v>0</v>
      </c>
      <c r="X770" s="181"/>
      <c r="Y770" s="185">
        <f t="shared" ref="Y770:Y780" si="211">IF(W770="","",W770-X770)</f>
        <v>0</v>
      </c>
      <c r="Z770" s="186"/>
      <c r="AA770" s="162"/>
      <c r="AB770" s="161"/>
      <c r="AC770" s="161"/>
    </row>
    <row r="771" spans="1:29" ht="18" customHeight="1" x14ac:dyDescent="0.2">
      <c r="A771" s="166"/>
      <c r="B771" s="192" t="s">
        <v>94</v>
      </c>
      <c r="C771" s="198">
        <f>IF($J$1="January",P769,IF($J$1="February",P770,IF($J$1="March",P771,IF($J$1="April",P772,IF($J$1="May",P773,IF($J$1="June",P774,IF($J$1="July",P775,IF($J$1="August",P776,IF($J$1="August",P776,IF($J$1="September",P777,IF($J$1="October",P778,IF($J$1="November",P779,IF($J$1="December",P780)))))))))))))</f>
        <v>0</v>
      </c>
      <c r="D771" s="152"/>
      <c r="E771" s="152"/>
      <c r="F771" s="192" t="s">
        <v>111</v>
      </c>
      <c r="G771" s="193">
        <f>IF($J$1="January",W769,IF($J$1="February",W770,IF($J$1="March",W771,IF($J$1="April",W772,IF($J$1="May",W773,IF($J$1="June",W774,IF($J$1="July",W775,IF($J$1="August",W776,IF($J$1="August",W776,IF($J$1="September",W777,IF($J$1="October",W778,IF($J$1="November",W779,IF($J$1="December",W780)))))))))))))</f>
        <v>0</v>
      </c>
      <c r="H771" s="190"/>
      <c r="I771" s="446" t="s">
        <v>112</v>
      </c>
      <c r="J771" s="413"/>
      <c r="K771" s="193">
        <f>K769+K770</f>
        <v>282.25806451612902</v>
      </c>
      <c r="L771" s="199"/>
      <c r="M771" s="161"/>
      <c r="N771" s="178"/>
      <c r="O771" s="179" t="s">
        <v>105</v>
      </c>
      <c r="P771" s="179">
        <f>31-Q771</f>
        <v>20</v>
      </c>
      <c r="Q771" s="179">
        <v>11</v>
      </c>
      <c r="R771" s="179">
        <v>0</v>
      </c>
      <c r="S771" s="159"/>
      <c r="T771" s="179" t="s">
        <v>105</v>
      </c>
      <c r="U771" s="185">
        <f>IF($J$1="February","",Y770)</f>
        <v>0</v>
      </c>
      <c r="V771" s="181"/>
      <c r="W771" s="185">
        <f t="shared" si="210"/>
        <v>0</v>
      </c>
      <c r="X771" s="181"/>
      <c r="Y771" s="185">
        <f t="shared" si="211"/>
        <v>0</v>
      </c>
      <c r="Z771" s="186"/>
      <c r="AA771" s="161"/>
      <c r="AB771" s="161"/>
      <c r="AC771" s="161"/>
    </row>
    <row r="772" spans="1:29" ht="18" customHeight="1" x14ac:dyDescent="0.2">
      <c r="A772" s="166"/>
      <c r="B772" s="192" t="s">
        <v>95</v>
      </c>
      <c r="C772" s="198">
        <f>IF($J$1="January",Q769,IF($J$1="February",Q770,IF($J$1="March",Q771,IF($J$1="April",Q772,IF($J$1="May",Q773,IF($J$1="June",Q774,IF($J$1="July",Q775,IF($J$1="August",Q776,IF($J$1="August",Q776,IF($J$1="September",Q777,IF($J$1="October",Q778,IF($J$1="November",Q779,IF($J$1="December",Q780)))))))))))))</f>
        <v>0</v>
      </c>
      <c r="D772" s="152"/>
      <c r="E772" s="152"/>
      <c r="F772" s="192" t="s">
        <v>11</v>
      </c>
      <c r="G772" s="193">
        <f>IF($J$1="January",X769,IF($J$1="February",X770,IF($J$1="March",X771,IF($J$1="April",X772,IF($J$1="May",X773,IF($J$1="June",X774,IF($J$1="July",X775,IF($J$1="August",X776,IF($J$1="August",X776,IF($J$1="September",X777,IF($J$1="October",X778,IF($J$1="November",X779,IF($J$1="December",X780)))))))))))))</f>
        <v>0</v>
      </c>
      <c r="H772" s="190"/>
      <c r="I772" s="446" t="s">
        <v>114</v>
      </c>
      <c r="J772" s="413"/>
      <c r="K772" s="193">
        <f>G772</f>
        <v>0</v>
      </c>
      <c r="L772" s="199"/>
      <c r="M772" s="161"/>
      <c r="N772" s="178"/>
      <c r="O772" s="179" t="s">
        <v>106</v>
      </c>
      <c r="P772" s="179">
        <v>28</v>
      </c>
      <c r="Q772" s="179">
        <v>2</v>
      </c>
      <c r="R772" s="179">
        <v>0</v>
      </c>
      <c r="S772" s="159"/>
      <c r="T772" s="179" t="s">
        <v>106</v>
      </c>
      <c r="U772" s="185">
        <f>IF($J$1="March","",Y771)</f>
        <v>0</v>
      </c>
      <c r="V772" s="181"/>
      <c r="W772" s="185">
        <f t="shared" si="210"/>
        <v>0</v>
      </c>
      <c r="X772" s="181"/>
      <c r="Y772" s="185">
        <f t="shared" si="211"/>
        <v>0</v>
      </c>
      <c r="Z772" s="186"/>
      <c r="AA772" s="161"/>
      <c r="AB772" s="161"/>
      <c r="AC772" s="161"/>
    </row>
    <row r="773" spans="1:29" ht="18" customHeight="1" x14ac:dyDescent="0.2">
      <c r="A773" s="166"/>
      <c r="B773" s="215" t="s">
        <v>116</v>
      </c>
      <c r="C773" s="198">
        <f>IF($J$1="January",R769,IF($J$1="February",R770,IF($J$1="March",R771,IF($J$1="April",R772,IF($J$1="May",R773,IF($J$1="June",R774,IF($J$1="July",R775,IF($J$1="August",R776,IF($J$1="August",R776,IF($J$1="September",R777,IF($J$1="October",R778,IF($J$1="November",R779,IF($J$1="December",R780)))))))))))))</f>
        <v>0</v>
      </c>
      <c r="D773" s="152"/>
      <c r="E773" s="152"/>
      <c r="F773" s="192" t="s">
        <v>169</v>
      </c>
      <c r="G773" s="193">
        <f>IF($J$1="January",Y769,IF($J$1="February",Y770,IF($J$1="March",Y771,IF($J$1="April",Y772,IF($J$1="May",Y773,IF($J$1="June",Y774,IF($J$1="July",Y775,IF($J$1="August",Y776,IF($J$1="August",Y776,IF($J$1="September",Y777,IF($J$1="October",Y778,IF($J$1="November",Y779,IF($J$1="December",Y780)))))))))))))</f>
        <v>0</v>
      </c>
      <c r="H773" s="152"/>
      <c r="I773" s="439" t="s">
        <v>13</v>
      </c>
      <c r="J773" s="413"/>
      <c r="K773" s="37">
        <f>K771-K772</f>
        <v>282.25806451612902</v>
      </c>
      <c r="L773" s="183"/>
      <c r="M773" s="161"/>
      <c r="N773" s="178"/>
      <c r="O773" s="179" t="s">
        <v>109</v>
      </c>
      <c r="P773" s="179">
        <v>29</v>
      </c>
      <c r="Q773" s="179">
        <v>2</v>
      </c>
      <c r="R773" s="179">
        <v>0</v>
      </c>
      <c r="S773" s="159"/>
      <c r="T773" s="179" t="s">
        <v>109</v>
      </c>
      <c r="U773" s="185">
        <f>IF($J$1="April","",Y772)</f>
        <v>0</v>
      </c>
      <c r="V773" s="181"/>
      <c r="W773" s="185">
        <f t="shared" si="210"/>
        <v>0</v>
      </c>
      <c r="X773" s="181"/>
      <c r="Y773" s="185">
        <f t="shared" si="211"/>
        <v>0</v>
      </c>
      <c r="Z773" s="186"/>
      <c r="AA773" s="161"/>
      <c r="AB773" s="161"/>
      <c r="AC773" s="161"/>
    </row>
    <row r="774" spans="1:29" ht="18" customHeight="1" x14ac:dyDescent="0.2">
      <c r="A774" s="166"/>
      <c r="B774" s="152"/>
      <c r="C774" s="152"/>
      <c r="D774" s="152"/>
      <c r="E774" s="152"/>
      <c r="F774" s="152"/>
      <c r="G774" s="152"/>
      <c r="H774" s="152"/>
      <c r="I774" s="434"/>
      <c r="J774" s="435"/>
      <c r="K774" s="154"/>
      <c r="L774" s="189"/>
      <c r="M774" s="161"/>
      <c r="N774" s="178"/>
      <c r="O774" s="179" t="s">
        <v>85</v>
      </c>
      <c r="P774" s="179">
        <v>28</v>
      </c>
      <c r="Q774" s="179">
        <v>2</v>
      </c>
      <c r="R774" s="179">
        <v>0</v>
      </c>
      <c r="S774" s="159"/>
      <c r="T774" s="179" t="s">
        <v>85</v>
      </c>
      <c r="U774" s="185">
        <f>IF($J$1="May","",Y773)</f>
        <v>0</v>
      </c>
      <c r="V774" s="181"/>
      <c r="W774" s="185">
        <f t="shared" si="210"/>
        <v>0</v>
      </c>
      <c r="X774" s="181"/>
      <c r="Y774" s="185">
        <f t="shared" si="211"/>
        <v>0</v>
      </c>
      <c r="Z774" s="186"/>
      <c r="AA774" s="161"/>
      <c r="AB774" s="161"/>
      <c r="AC774" s="161"/>
    </row>
    <row r="775" spans="1:29" ht="18" customHeight="1" x14ac:dyDescent="0.3">
      <c r="A775" s="166"/>
      <c r="B775" s="150"/>
      <c r="C775" s="150"/>
      <c r="D775" s="150"/>
      <c r="E775" s="150"/>
      <c r="F775" s="150"/>
      <c r="G775" s="150"/>
      <c r="H775" s="150"/>
      <c r="I775" s="434"/>
      <c r="J775" s="435"/>
      <c r="K775" s="154"/>
      <c r="L775" s="189"/>
      <c r="M775" s="161"/>
      <c r="N775" s="178"/>
      <c r="O775" s="179" t="s">
        <v>113</v>
      </c>
      <c r="P775" s="179">
        <v>26</v>
      </c>
      <c r="Q775" s="179">
        <v>5</v>
      </c>
      <c r="R775" s="179">
        <v>0</v>
      </c>
      <c r="S775" s="159"/>
      <c r="T775" s="179" t="s">
        <v>113</v>
      </c>
      <c r="U775" s="185">
        <f>IF($J$1="June","",Y774)</f>
        <v>0</v>
      </c>
      <c r="V775" s="181"/>
      <c r="W775" s="185">
        <f t="shared" si="210"/>
        <v>0</v>
      </c>
      <c r="X775" s="181"/>
      <c r="Y775" s="185">
        <f t="shared" si="211"/>
        <v>0</v>
      </c>
      <c r="Z775" s="186"/>
      <c r="AA775" s="161"/>
      <c r="AB775" s="161"/>
      <c r="AC775" s="161"/>
    </row>
    <row r="776" spans="1:29" ht="18" customHeight="1" x14ac:dyDescent="0.3">
      <c r="A776" s="166"/>
      <c r="B776" s="150"/>
      <c r="C776" s="150"/>
      <c r="D776" s="150"/>
      <c r="E776" s="150"/>
      <c r="F776" s="150"/>
      <c r="G776" s="150"/>
      <c r="H776" s="150"/>
      <c r="I776" s="150"/>
      <c r="J776" s="150"/>
      <c r="K776" s="150"/>
      <c r="L776" s="189"/>
      <c r="M776" s="161"/>
      <c r="N776" s="178"/>
      <c r="O776" s="179" t="s">
        <v>115</v>
      </c>
      <c r="P776" s="179"/>
      <c r="Q776" s="179"/>
      <c r="R776" s="179">
        <v>0</v>
      </c>
      <c r="S776" s="159"/>
      <c r="T776" s="179" t="s">
        <v>115</v>
      </c>
      <c r="U776" s="185">
        <f>IF($J$1="July","",Y775)</f>
        <v>0</v>
      </c>
      <c r="V776" s="181"/>
      <c r="W776" s="185">
        <f t="shared" si="210"/>
        <v>0</v>
      </c>
      <c r="X776" s="181"/>
      <c r="Y776" s="185">
        <f t="shared" si="211"/>
        <v>0</v>
      </c>
      <c r="Z776" s="186"/>
      <c r="AA776" s="161"/>
      <c r="AB776" s="161"/>
      <c r="AC776" s="161"/>
    </row>
    <row r="777" spans="1:29" ht="18" customHeight="1" thickBot="1" x14ac:dyDescent="0.25">
      <c r="A777" s="200"/>
      <c r="B777" s="216"/>
      <c r="C777" s="216"/>
      <c r="D777" s="216"/>
      <c r="E777" s="216"/>
      <c r="F777" s="216"/>
      <c r="G777" s="216"/>
      <c r="H777" s="216"/>
      <c r="I777" s="216"/>
      <c r="J777" s="216"/>
      <c r="K777" s="216"/>
      <c r="L777" s="202"/>
      <c r="M777" s="161"/>
      <c r="N777" s="178"/>
      <c r="O777" s="179" t="s">
        <v>118</v>
      </c>
      <c r="P777" s="179"/>
      <c r="Q777" s="179"/>
      <c r="R777" s="179">
        <v>0</v>
      </c>
      <c r="S777" s="159"/>
      <c r="T777" s="179" t="s">
        <v>118</v>
      </c>
      <c r="U777" s="185" t="str">
        <f>IF($J$1="August","",Y776)</f>
        <v/>
      </c>
      <c r="V777" s="181"/>
      <c r="W777" s="185" t="str">
        <f t="shared" si="210"/>
        <v/>
      </c>
      <c r="X777" s="181"/>
      <c r="Y777" s="185" t="str">
        <f t="shared" si="211"/>
        <v/>
      </c>
      <c r="Z777" s="186"/>
      <c r="AA777" s="161"/>
      <c r="AB777" s="161"/>
      <c r="AC777" s="161"/>
    </row>
    <row r="778" spans="1:29" ht="18" customHeight="1" thickBot="1" x14ac:dyDescent="0.25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61"/>
      <c r="N778" s="178"/>
      <c r="O778" s="179" t="s">
        <v>119</v>
      </c>
      <c r="P778" s="179"/>
      <c r="Q778" s="179"/>
      <c r="R778" s="179">
        <v>0</v>
      </c>
      <c r="S778" s="159"/>
      <c r="T778" s="179" t="s">
        <v>119</v>
      </c>
      <c r="U778" s="185" t="str">
        <f>IF($J$1="September","",Y777)</f>
        <v/>
      </c>
      <c r="V778" s="181"/>
      <c r="W778" s="185" t="str">
        <f t="shared" si="210"/>
        <v/>
      </c>
      <c r="X778" s="181"/>
      <c r="Y778" s="185" t="str">
        <f t="shared" si="211"/>
        <v/>
      </c>
      <c r="Z778" s="186"/>
      <c r="AA778" s="161"/>
      <c r="AB778" s="161"/>
      <c r="AC778" s="161"/>
    </row>
    <row r="779" spans="1:29" ht="18" customHeight="1" x14ac:dyDescent="0.2">
      <c r="A779" s="436" t="s">
        <v>89</v>
      </c>
      <c r="B779" s="437"/>
      <c r="C779" s="437"/>
      <c r="D779" s="437"/>
      <c r="E779" s="437"/>
      <c r="F779" s="437"/>
      <c r="G779" s="437"/>
      <c r="H779" s="437"/>
      <c r="I779" s="437"/>
      <c r="J779" s="437"/>
      <c r="K779" s="437"/>
      <c r="L779" s="438"/>
      <c r="M779" s="161"/>
      <c r="N779" s="178"/>
      <c r="O779" s="179" t="s">
        <v>120</v>
      </c>
      <c r="P779" s="179"/>
      <c r="Q779" s="179"/>
      <c r="R779" s="179">
        <v>0</v>
      </c>
      <c r="S779" s="159"/>
      <c r="T779" s="179" t="s">
        <v>120</v>
      </c>
      <c r="U779" s="185" t="str">
        <f>IF($J$1="October","",Y778)</f>
        <v/>
      </c>
      <c r="V779" s="181"/>
      <c r="W779" s="185" t="str">
        <f t="shared" si="210"/>
        <v/>
      </c>
      <c r="X779" s="181"/>
      <c r="Y779" s="185" t="str">
        <f t="shared" si="211"/>
        <v/>
      </c>
      <c r="Z779" s="186"/>
      <c r="AA779" s="161"/>
      <c r="AB779" s="161"/>
      <c r="AC779" s="161"/>
    </row>
    <row r="780" spans="1:29" ht="18" customHeight="1" x14ac:dyDescent="0.2">
      <c r="A780" s="166"/>
      <c r="B780" s="152"/>
      <c r="C780" s="443" t="s">
        <v>223</v>
      </c>
      <c r="D780" s="435"/>
      <c r="E780" s="435"/>
      <c r="F780" s="435"/>
      <c r="G780" s="167" t="str">
        <f>$J$1</f>
        <v>August</v>
      </c>
      <c r="H780" s="444">
        <f>$K$1</f>
        <v>2024</v>
      </c>
      <c r="I780" s="435"/>
      <c r="J780" s="152"/>
      <c r="K780" s="168"/>
      <c r="L780" s="169"/>
      <c r="M780" s="161"/>
      <c r="N780" s="178"/>
      <c r="O780" s="179" t="s">
        <v>121</v>
      </c>
      <c r="P780" s="179"/>
      <c r="Q780" s="179"/>
      <c r="R780" s="179">
        <v>0</v>
      </c>
      <c r="S780" s="159"/>
      <c r="T780" s="179" t="s">
        <v>121</v>
      </c>
      <c r="U780" s="185" t="str">
        <f>IF($J$1="November","",Y779)</f>
        <v/>
      </c>
      <c r="V780" s="181"/>
      <c r="W780" s="185" t="str">
        <f t="shared" si="210"/>
        <v/>
      </c>
      <c r="X780" s="181"/>
      <c r="Y780" s="185" t="str">
        <f t="shared" si="211"/>
        <v/>
      </c>
      <c r="Z780" s="186"/>
      <c r="AA780" s="161"/>
      <c r="AB780" s="161"/>
      <c r="AC780" s="161"/>
    </row>
    <row r="781" spans="1:29" ht="18" customHeight="1" thickBot="1" x14ac:dyDescent="0.25">
      <c r="A781" s="166"/>
      <c r="B781" s="152"/>
      <c r="C781" s="152"/>
      <c r="D781" s="175"/>
      <c r="E781" s="175"/>
      <c r="F781" s="175"/>
      <c r="G781" s="175"/>
      <c r="H781" s="175"/>
      <c r="I781" s="152"/>
      <c r="J781" s="176" t="s">
        <v>99</v>
      </c>
      <c r="K781" s="154">
        <v>45000</v>
      </c>
      <c r="L781" s="177"/>
      <c r="M781" s="161"/>
      <c r="N781" s="217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21"/>
      <c r="AA781" s="161"/>
      <c r="AB781" s="161"/>
      <c r="AC781" s="161"/>
    </row>
    <row r="782" spans="1:29" ht="18" customHeight="1" thickBot="1" x14ac:dyDescent="0.25">
      <c r="A782" s="166"/>
      <c r="B782" s="152" t="s">
        <v>101</v>
      </c>
      <c r="C782" s="151" t="s">
        <v>224</v>
      </c>
      <c r="D782" s="152"/>
      <c r="E782" s="152"/>
      <c r="F782" s="152"/>
      <c r="G782" s="152"/>
      <c r="H782" s="182"/>
      <c r="I782" s="175"/>
      <c r="J782" s="152"/>
      <c r="K782" s="152"/>
      <c r="L782" s="183"/>
      <c r="M782" s="161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59"/>
      <c r="Z782" s="159"/>
      <c r="AA782" s="161"/>
      <c r="AB782" s="161"/>
      <c r="AC782" s="161"/>
    </row>
    <row r="783" spans="1:29" ht="18" customHeight="1" x14ac:dyDescent="0.2">
      <c r="A783" s="166"/>
      <c r="B783" s="187" t="s">
        <v>103</v>
      </c>
      <c r="C783" s="235"/>
      <c r="D783" s="152"/>
      <c r="E783" s="152"/>
      <c r="F783" s="439" t="s">
        <v>91</v>
      </c>
      <c r="G783" s="413"/>
      <c r="H783" s="152"/>
      <c r="I783" s="439" t="s">
        <v>104</v>
      </c>
      <c r="J783" s="412"/>
      <c r="K783" s="413"/>
      <c r="L783" s="189"/>
      <c r="M783" s="162"/>
      <c r="N783" s="163"/>
      <c r="O783" s="440" t="s">
        <v>90</v>
      </c>
      <c r="P783" s="441"/>
      <c r="Q783" s="441"/>
      <c r="R783" s="442"/>
      <c r="S783" s="164"/>
      <c r="T783" s="440" t="s">
        <v>91</v>
      </c>
      <c r="U783" s="441"/>
      <c r="V783" s="441"/>
      <c r="W783" s="441"/>
      <c r="X783" s="441"/>
      <c r="Y783" s="442"/>
      <c r="Z783" s="165"/>
      <c r="AA783" s="162"/>
      <c r="AB783" s="161"/>
      <c r="AC783" s="161"/>
    </row>
    <row r="784" spans="1:29" ht="18" customHeight="1" x14ac:dyDescent="0.2">
      <c r="A784" s="166"/>
      <c r="B784" s="152"/>
      <c r="C784" s="152"/>
      <c r="D784" s="152"/>
      <c r="E784" s="152"/>
      <c r="F784" s="152"/>
      <c r="G784" s="152"/>
      <c r="H784" s="190"/>
      <c r="I784" s="152"/>
      <c r="J784" s="152"/>
      <c r="K784" s="152"/>
      <c r="L784" s="191"/>
      <c r="M784" s="170"/>
      <c r="N784" s="171"/>
      <c r="O784" s="172" t="s">
        <v>93</v>
      </c>
      <c r="P784" s="172" t="s">
        <v>94</v>
      </c>
      <c r="Q784" s="172" t="s">
        <v>95</v>
      </c>
      <c r="R784" s="172" t="s">
        <v>96</v>
      </c>
      <c r="S784" s="173"/>
      <c r="T784" s="172" t="s">
        <v>93</v>
      </c>
      <c r="U784" s="172" t="s">
        <v>97</v>
      </c>
      <c r="V784" s="172" t="s">
        <v>9</v>
      </c>
      <c r="W784" s="172" t="s">
        <v>10</v>
      </c>
      <c r="X784" s="172" t="s">
        <v>11</v>
      </c>
      <c r="Y784" s="172" t="s">
        <v>98</v>
      </c>
      <c r="Z784" s="174"/>
      <c r="AA784" s="170"/>
      <c r="AB784" s="161"/>
      <c r="AC784" s="161"/>
    </row>
    <row r="785" spans="1:29" ht="18" customHeight="1" x14ac:dyDescent="0.2">
      <c r="A785" s="166"/>
      <c r="B785" s="445" t="s">
        <v>90</v>
      </c>
      <c r="C785" s="413"/>
      <c r="D785" s="152"/>
      <c r="E785" s="152"/>
      <c r="F785" s="192" t="s">
        <v>107</v>
      </c>
      <c r="G785" s="193" t="str">
        <f>IF($J$1="January",U785,IF($J$1="February",U786,IF($J$1="March",U787,IF($J$1="April",U788,IF($J$1="May",U789,IF($J$1="June",U790,IF($J$1="July",U791,IF($J$1="August",U792,IF($J$1="August",U792,IF($J$1="September",U793,IF($J$1="October",U794,IF($J$1="November",U795,IF($J$1="December",U796)))))))))))))</f>
        <v/>
      </c>
      <c r="H785" s="190"/>
      <c r="I785" s="194">
        <f>IF(C789&gt;0,$K$2,C787)</f>
        <v>31</v>
      </c>
      <c r="J785" s="195" t="s">
        <v>108</v>
      </c>
      <c r="K785" s="196">
        <f>K781/$K$2*I785</f>
        <v>45000</v>
      </c>
      <c r="L785" s="197"/>
      <c r="M785" s="161"/>
      <c r="N785" s="178"/>
      <c r="O785" s="179" t="s">
        <v>100</v>
      </c>
      <c r="P785" s="179"/>
      <c r="Q785" s="179"/>
      <c r="R785" s="179">
        <v>0</v>
      </c>
      <c r="S785" s="180"/>
      <c r="T785" s="179" t="s">
        <v>100</v>
      </c>
      <c r="U785" s="181"/>
      <c r="V785" s="181"/>
      <c r="W785" s="181">
        <f>V785+U785</f>
        <v>0</v>
      </c>
      <c r="X785" s="181"/>
      <c r="Y785" s="181">
        <f>W785-X785</f>
        <v>0</v>
      </c>
      <c r="Z785" s="174"/>
      <c r="AA785" s="161"/>
      <c r="AB785" s="161"/>
      <c r="AC785" s="161"/>
    </row>
    <row r="786" spans="1:29" ht="18" customHeight="1" x14ac:dyDescent="0.2">
      <c r="A786" s="166"/>
      <c r="B786" s="198"/>
      <c r="C786" s="198"/>
      <c r="D786" s="152"/>
      <c r="E786" s="152"/>
      <c r="F786" s="192" t="s">
        <v>9</v>
      </c>
      <c r="G786" s="193">
        <f>IF($J$1="January",V785,IF($J$1="February",V786,IF($J$1="March",V787,IF($J$1="April",V788,IF($J$1="May",V789,IF($J$1="June",V790,IF($J$1="July",V791,IF($J$1="August",V792,IF($J$1="August",V792,IF($J$1="September",V793,IF($J$1="October",V794,IF($J$1="November",V795,IF($J$1="December",V796)))))))))))))</f>
        <v>0</v>
      </c>
      <c r="H786" s="190"/>
      <c r="I786" s="214">
        <v>66</v>
      </c>
      <c r="J786" s="195" t="s">
        <v>110</v>
      </c>
      <c r="K786" s="193">
        <f>K781/$K$2/8*I786</f>
        <v>11975.806451612902</v>
      </c>
      <c r="L786" s="199"/>
      <c r="M786" s="162"/>
      <c r="N786" s="184"/>
      <c r="O786" s="179" t="s">
        <v>102</v>
      </c>
      <c r="P786" s="179"/>
      <c r="Q786" s="179"/>
      <c r="R786" s="179">
        <v>0</v>
      </c>
      <c r="S786" s="159"/>
      <c r="T786" s="179" t="s">
        <v>102</v>
      </c>
      <c r="U786" s="185">
        <f>Y785</f>
        <v>0</v>
      </c>
      <c r="V786" s="181"/>
      <c r="W786" s="185">
        <f t="shared" ref="W786:W796" si="212">IF(U786="","",U786+V786)</f>
        <v>0</v>
      </c>
      <c r="X786" s="181"/>
      <c r="Y786" s="185">
        <f t="shared" ref="Y786:Y796" si="213">IF(W786="","",W786-X786)</f>
        <v>0</v>
      </c>
      <c r="Z786" s="186"/>
      <c r="AA786" s="162"/>
      <c r="AB786" s="161"/>
      <c r="AC786" s="161"/>
    </row>
    <row r="787" spans="1:29" ht="18" customHeight="1" x14ac:dyDescent="0.2">
      <c r="A787" s="166"/>
      <c r="B787" s="192" t="s">
        <v>94</v>
      </c>
      <c r="C787" s="198">
        <f>IF($J$1="January",P785,IF($J$1="February",P786,IF($J$1="March",P787,IF($J$1="April",P788,IF($J$1="May",P789,IF($J$1="June",P790,IF($J$1="July",P791,IF($J$1="August",P792,IF($J$1="August",P792,IF($J$1="September",P793,IF($J$1="October",P794,IF($J$1="November",P795,IF($J$1="December",P796)))))))))))))</f>
        <v>0</v>
      </c>
      <c r="D787" s="152"/>
      <c r="E787" s="152"/>
      <c r="F787" s="192" t="s">
        <v>111</v>
      </c>
      <c r="G787" s="193" t="str">
        <f>IF($J$1="January",W785,IF($J$1="February",W786,IF($J$1="March",W787,IF($J$1="April",W788,IF($J$1="May",W789,IF($J$1="June",W790,IF($J$1="July",W791,IF($J$1="August",W792,IF($J$1="August",W792,IF($J$1="September",W793,IF($J$1="October",W794,IF($J$1="November",W795,IF($J$1="December",W796)))))))))))))</f>
        <v/>
      </c>
      <c r="H787" s="190"/>
      <c r="I787" s="446" t="s">
        <v>112</v>
      </c>
      <c r="J787" s="413"/>
      <c r="K787" s="193">
        <f>K785+K786</f>
        <v>56975.806451612902</v>
      </c>
      <c r="L787" s="199"/>
      <c r="M787" s="161"/>
      <c r="N787" s="178"/>
      <c r="O787" s="179" t="s">
        <v>105</v>
      </c>
      <c r="P787" s="179"/>
      <c r="Q787" s="179"/>
      <c r="R787" s="179">
        <v>0</v>
      </c>
      <c r="S787" s="159"/>
      <c r="T787" s="179" t="s">
        <v>105</v>
      </c>
      <c r="U787" s="185">
        <f t="shared" ref="U787:U788" si="214">IF($J$1="April",Y786,Y786)</f>
        <v>0</v>
      </c>
      <c r="V787" s="181"/>
      <c r="W787" s="185">
        <f t="shared" si="212"/>
        <v>0</v>
      </c>
      <c r="X787" s="181"/>
      <c r="Y787" s="185">
        <f t="shared" si="213"/>
        <v>0</v>
      </c>
      <c r="Z787" s="186"/>
      <c r="AA787" s="161"/>
      <c r="AB787" s="161"/>
      <c r="AC787" s="161"/>
    </row>
    <row r="788" spans="1:29" ht="18" customHeight="1" x14ac:dyDescent="0.2">
      <c r="A788" s="166"/>
      <c r="B788" s="192" t="s">
        <v>95</v>
      </c>
      <c r="C788" s="198">
        <f>IF($J$1="January",Q785,IF($J$1="February",Q786,IF($J$1="March",Q787,IF($J$1="April",Q788,IF($J$1="May",Q789,IF($J$1="June",Q790,IF($J$1="July",Q791,IF($J$1="August",Q792,IF($J$1="August",Q792,IF($J$1="September",Q793,IF($J$1="October",Q794,IF($J$1="November",Q795,IF($J$1="December",Q796)))))))))))))</f>
        <v>0</v>
      </c>
      <c r="D788" s="152"/>
      <c r="E788" s="152"/>
      <c r="F788" s="192" t="s">
        <v>11</v>
      </c>
      <c r="G788" s="193">
        <f>IF($J$1="January",X785,IF($J$1="February",X786,IF($J$1="March",X787,IF($J$1="April",X788,IF($J$1="May",X789,IF($J$1="June",X790,IF($J$1="July",X791,IF($J$1="August",X792,IF($J$1="August",X792,IF($J$1="September",X793,IF($J$1="October",X794,IF($J$1="November",X795,IF($J$1="December",X796)))))))))))))</f>
        <v>0</v>
      </c>
      <c r="H788" s="190"/>
      <c r="I788" s="446" t="s">
        <v>114</v>
      </c>
      <c r="J788" s="413"/>
      <c r="K788" s="193">
        <f>G788</f>
        <v>0</v>
      </c>
      <c r="L788" s="199"/>
      <c r="M788" s="161"/>
      <c r="N788" s="178"/>
      <c r="O788" s="179" t="s">
        <v>106</v>
      </c>
      <c r="P788" s="179"/>
      <c r="Q788" s="179"/>
      <c r="R788" s="179">
        <v>0</v>
      </c>
      <c r="S788" s="159"/>
      <c r="T788" s="179" t="s">
        <v>106</v>
      </c>
      <c r="U788" s="185">
        <f t="shared" si="214"/>
        <v>0</v>
      </c>
      <c r="V788" s="181"/>
      <c r="W788" s="185">
        <f t="shared" si="212"/>
        <v>0</v>
      </c>
      <c r="X788" s="181"/>
      <c r="Y788" s="185">
        <f t="shared" si="213"/>
        <v>0</v>
      </c>
      <c r="Z788" s="186"/>
      <c r="AA788" s="161"/>
      <c r="AB788" s="161"/>
      <c r="AC788" s="161"/>
    </row>
    <row r="789" spans="1:29" ht="18" customHeight="1" x14ac:dyDescent="0.2">
      <c r="A789" s="166"/>
      <c r="B789" s="215" t="s">
        <v>116</v>
      </c>
      <c r="C789" s="198" t="str">
        <f>IF($J$1="January",R785,IF($J$1="February",R786,IF($J$1="March",R787,IF($J$1="April",R788,IF($J$1="May",R789,IF($J$1="June",R790,IF($J$1="July",R791,IF($J$1="August",R792,IF($J$1="August",R792,IF($J$1="September",R793,IF($J$1="October",R794,IF($J$1="November",R795,IF($J$1="December",R796)))))))))))))</f>
        <v/>
      </c>
      <c r="D789" s="152"/>
      <c r="E789" s="152"/>
      <c r="F789" s="192" t="s">
        <v>169</v>
      </c>
      <c r="G789" s="193" t="str">
        <f>IF($J$1="January",Y785,IF($J$1="February",Y786,IF($J$1="March",Y787,IF($J$1="April",Y788,IF($J$1="May",Y789,IF($J$1="June",Y790,IF($J$1="July",Y791,IF($J$1="August",Y792,IF($J$1="August",Y792,IF($J$1="September",Y793,IF($J$1="October",Y794,IF($J$1="November",Y795,IF($J$1="December",Y796)))))))))))))</f>
        <v/>
      </c>
      <c r="H789" s="152"/>
      <c r="I789" s="439" t="s">
        <v>13</v>
      </c>
      <c r="J789" s="413"/>
      <c r="K789" s="37">
        <f>K787-K788</f>
        <v>56975.806451612902</v>
      </c>
      <c r="L789" s="183"/>
      <c r="M789" s="161"/>
      <c r="N789" s="178"/>
      <c r="O789" s="179" t="s">
        <v>109</v>
      </c>
      <c r="P789" s="179">
        <v>30</v>
      </c>
      <c r="Q789" s="179">
        <v>1</v>
      </c>
      <c r="R789" s="179">
        <v>0</v>
      </c>
      <c r="S789" s="159"/>
      <c r="T789" s="179" t="s">
        <v>109</v>
      </c>
      <c r="U789" s="185">
        <f t="shared" ref="U789:U791" si="215">IF($J$1="May",Y788,Y788)</f>
        <v>0</v>
      </c>
      <c r="V789" s="181"/>
      <c r="W789" s="185">
        <f t="shared" si="212"/>
        <v>0</v>
      </c>
      <c r="X789" s="181"/>
      <c r="Y789" s="185">
        <f t="shared" si="213"/>
        <v>0</v>
      </c>
      <c r="Z789" s="186"/>
      <c r="AA789" s="161"/>
      <c r="AB789" s="161"/>
      <c r="AC789" s="161"/>
    </row>
    <row r="790" spans="1:29" ht="18" customHeight="1" x14ac:dyDescent="0.2">
      <c r="A790" s="166"/>
      <c r="B790" s="152"/>
      <c r="C790" s="152"/>
      <c r="D790" s="152"/>
      <c r="E790" s="152"/>
      <c r="F790" s="152"/>
      <c r="G790" s="152"/>
      <c r="H790" s="152"/>
      <c r="I790" s="434"/>
      <c r="J790" s="435"/>
      <c r="K790" s="154"/>
      <c r="L790" s="189"/>
      <c r="M790" s="161"/>
      <c r="N790" s="178"/>
      <c r="O790" s="179" t="s">
        <v>85</v>
      </c>
      <c r="P790" s="179">
        <v>30</v>
      </c>
      <c r="Q790" s="179">
        <v>0</v>
      </c>
      <c r="R790" s="179">
        <f t="shared" ref="R790:R796" si="216">IF(Q790="","",R789-Q790)</f>
        <v>0</v>
      </c>
      <c r="S790" s="159"/>
      <c r="T790" s="179" t="s">
        <v>85</v>
      </c>
      <c r="U790" s="185">
        <f t="shared" si="215"/>
        <v>0</v>
      </c>
      <c r="V790" s="181"/>
      <c r="W790" s="185">
        <f t="shared" si="212"/>
        <v>0</v>
      </c>
      <c r="X790" s="181"/>
      <c r="Y790" s="185">
        <f t="shared" si="213"/>
        <v>0</v>
      </c>
      <c r="Z790" s="186"/>
      <c r="AA790" s="161"/>
      <c r="AB790" s="161"/>
      <c r="AC790" s="161"/>
    </row>
    <row r="791" spans="1:29" ht="18" customHeight="1" x14ac:dyDescent="0.3">
      <c r="A791" s="166"/>
      <c r="B791" s="150"/>
      <c r="C791" s="150"/>
      <c r="D791" s="150"/>
      <c r="E791" s="150"/>
      <c r="F791" s="150"/>
      <c r="G791" s="150"/>
      <c r="H791" s="150"/>
      <c r="I791" s="434"/>
      <c r="J791" s="435"/>
      <c r="K791" s="154"/>
      <c r="L791" s="189"/>
      <c r="M791" s="161"/>
      <c r="N791" s="178"/>
      <c r="O791" s="179" t="s">
        <v>113</v>
      </c>
      <c r="P791" s="179">
        <v>31</v>
      </c>
      <c r="Q791" s="179">
        <v>0</v>
      </c>
      <c r="R791" s="179">
        <f t="shared" si="216"/>
        <v>0</v>
      </c>
      <c r="S791" s="159"/>
      <c r="T791" s="179" t="s">
        <v>113</v>
      </c>
      <c r="U791" s="185">
        <f t="shared" si="215"/>
        <v>0</v>
      </c>
      <c r="V791" s="181"/>
      <c r="W791" s="185">
        <f t="shared" si="212"/>
        <v>0</v>
      </c>
      <c r="X791" s="181"/>
      <c r="Y791" s="185">
        <f t="shared" si="213"/>
        <v>0</v>
      </c>
      <c r="Z791" s="186"/>
      <c r="AA791" s="161"/>
      <c r="AB791" s="161"/>
      <c r="AC791" s="161"/>
    </row>
    <row r="792" spans="1:29" ht="18" customHeight="1" x14ac:dyDescent="0.3">
      <c r="A792" s="166"/>
      <c r="B792" s="150"/>
      <c r="C792" s="150"/>
      <c r="D792" s="150"/>
      <c r="E792" s="150"/>
      <c r="F792" s="150"/>
      <c r="G792" s="150"/>
      <c r="H792" s="150"/>
      <c r="I792" s="150"/>
      <c r="J792" s="150"/>
      <c r="K792" s="150"/>
      <c r="L792" s="189"/>
      <c r="M792" s="161"/>
      <c r="N792" s="178"/>
      <c r="O792" s="179" t="s">
        <v>115</v>
      </c>
      <c r="P792" s="179"/>
      <c r="Q792" s="179"/>
      <c r="R792" s="179" t="str">
        <f t="shared" si="216"/>
        <v/>
      </c>
      <c r="S792" s="159"/>
      <c r="T792" s="179" t="s">
        <v>115</v>
      </c>
      <c r="U792" s="185" t="str">
        <f t="shared" ref="U792:U793" si="217">IF($J$1="September",Y791,"")</f>
        <v/>
      </c>
      <c r="V792" s="181"/>
      <c r="W792" s="185" t="str">
        <f t="shared" si="212"/>
        <v/>
      </c>
      <c r="X792" s="181"/>
      <c r="Y792" s="185" t="str">
        <f t="shared" si="213"/>
        <v/>
      </c>
      <c r="Z792" s="186"/>
      <c r="AA792" s="161"/>
      <c r="AB792" s="161"/>
      <c r="AC792" s="161"/>
    </row>
    <row r="793" spans="1:29" ht="18" customHeight="1" thickBot="1" x14ac:dyDescent="0.25">
      <c r="A793" s="200"/>
      <c r="B793" s="216"/>
      <c r="C793" s="216"/>
      <c r="D793" s="216"/>
      <c r="E793" s="216"/>
      <c r="F793" s="216"/>
      <c r="G793" s="216"/>
      <c r="H793" s="216"/>
      <c r="I793" s="216"/>
      <c r="J793" s="216"/>
      <c r="K793" s="216"/>
      <c r="L793" s="202"/>
      <c r="M793" s="161"/>
      <c r="N793" s="178"/>
      <c r="O793" s="179" t="s">
        <v>118</v>
      </c>
      <c r="P793" s="179"/>
      <c r="Q793" s="179"/>
      <c r="R793" s="179" t="str">
        <f t="shared" si="216"/>
        <v/>
      </c>
      <c r="S793" s="159"/>
      <c r="T793" s="179" t="s">
        <v>118</v>
      </c>
      <c r="U793" s="185" t="str">
        <f t="shared" si="217"/>
        <v/>
      </c>
      <c r="V793" s="181"/>
      <c r="W793" s="185" t="str">
        <f t="shared" si="212"/>
        <v/>
      </c>
      <c r="X793" s="181"/>
      <c r="Y793" s="185" t="str">
        <f t="shared" si="213"/>
        <v/>
      </c>
      <c r="Z793" s="186"/>
      <c r="AA793" s="161"/>
      <c r="AB793" s="161"/>
      <c r="AC793" s="161"/>
    </row>
    <row r="794" spans="1:29" ht="18" customHeight="1" thickBot="1" x14ac:dyDescent="0.25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61"/>
      <c r="N794" s="178"/>
      <c r="O794" s="179" t="s">
        <v>119</v>
      </c>
      <c r="P794" s="179"/>
      <c r="Q794" s="179"/>
      <c r="R794" s="179" t="str">
        <f t="shared" si="216"/>
        <v/>
      </c>
      <c r="S794" s="159"/>
      <c r="T794" s="179" t="s">
        <v>119</v>
      </c>
      <c r="U794" s="185" t="str">
        <f>IF($J$1="October",Y793,"")</f>
        <v/>
      </c>
      <c r="V794" s="181"/>
      <c r="W794" s="185" t="str">
        <f t="shared" si="212"/>
        <v/>
      </c>
      <c r="X794" s="181"/>
      <c r="Y794" s="185" t="str">
        <f t="shared" si="213"/>
        <v/>
      </c>
      <c r="Z794" s="186"/>
      <c r="AA794" s="161"/>
      <c r="AB794" s="161"/>
      <c r="AC794" s="161"/>
    </row>
    <row r="795" spans="1:29" ht="18" customHeight="1" x14ac:dyDescent="0.2">
      <c r="A795" s="436" t="s">
        <v>89</v>
      </c>
      <c r="B795" s="437"/>
      <c r="C795" s="437"/>
      <c r="D795" s="437"/>
      <c r="E795" s="437"/>
      <c r="F795" s="437"/>
      <c r="G795" s="437"/>
      <c r="H795" s="437"/>
      <c r="I795" s="437"/>
      <c r="J795" s="437"/>
      <c r="K795" s="437"/>
      <c r="L795" s="438"/>
      <c r="M795" s="161"/>
      <c r="N795" s="178"/>
      <c r="O795" s="179" t="s">
        <v>120</v>
      </c>
      <c r="P795" s="179"/>
      <c r="Q795" s="179"/>
      <c r="R795" s="179" t="str">
        <f t="shared" si="216"/>
        <v/>
      </c>
      <c r="S795" s="159"/>
      <c r="T795" s="179" t="s">
        <v>120</v>
      </c>
      <c r="U795" s="185" t="str">
        <f>IF($J$1="November",Y794,"")</f>
        <v/>
      </c>
      <c r="V795" s="181"/>
      <c r="W795" s="185" t="str">
        <f t="shared" si="212"/>
        <v/>
      </c>
      <c r="X795" s="181"/>
      <c r="Y795" s="185" t="str">
        <f t="shared" si="213"/>
        <v/>
      </c>
      <c r="Z795" s="186"/>
      <c r="AA795" s="161"/>
      <c r="AB795" s="161"/>
      <c r="AC795" s="161"/>
    </row>
    <row r="796" spans="1:29" ht="18" customHeight="1" x14ac:dyDescent="0.2">
      <c r="A796" s="166"/>
      <c r="B796" s="152"/>
      <c r="C796" s="443" t="s">
        <v>225</v>
      </c>
      <c r="D796" s="435"/>
      <c r="E796" s="435"/>
      <c r="F796" s="435"/>
      <c r="G796" s="167" t="str">
        <f>$J$1</f>
        <v>August</v>
      </c>
      <c r="H796" s="444">
        <f>$K$1</f>
        <v>2024</v>
      </c>
      <c r="I796" s="435"/>
      <c r="J796" s="152"/>
      <c r="K796" s="168"/>
      <c r="L796" s="169"/>
      <c r="M796" s="161"/>
      <c r="N796" s="178"/>
      <c r="O796" s="179" t="s">
        <v>121</v>
      </c>
      <c r="P796" s="179"/>
      <c r="Q796" s="179"/>
      <c r="R796" s="179" t="str">
        <f t="shared" si="216"/>
        <v/>
      </c>
      <c r="S796" s="159"/>
      <c r="T796" s="179" t="s">
        <v>121</v>
      </c>
      <c r="U796" s="185" t="str">
        <f>IF($J$1="Dec",Y795,"")</f>
        <v/>
      </c>
      <c r="V796" s="181"/>
      <c r="W796" s="185" t="str">
        <f t="shared" si="212"/>
        <v/>
      </c>
      <c r="X796" s="181"/>
      <c r="Y796" s="185" t="str">
        <f t="shared" si="213"/>
        <v/>
      </c>
      <c r="Z796" s="186"/>
      <c r="AA796" s="161"/>
      <c r="AB796" s="161"/>
      <c r="AC796" s="161"/>
    </row>
    <row r="797" spans="1:29" ht="18" customHeight="1" thickBot="1" x14ac:dyDescent="0.25">
      <c r="A797" s="166"/>
      <c r="B797" s="152"/>
      <c r="C797" s="152"/>
      <c r="D797" s="175"/>
      <c r="E797" s="175"/>
      <c r="F797" s="175"/>
      <c r="G797" s="175"/>
      <c r="H797" s="175"/>
      <c r="I797" s="152"/>
      <c r="J797" s="176" t="s">
        <v>99</v>
      </c>
      <c r="K797" s="154">
        <v>35000</v>
      </c>
      <c r="L797" s="177"/>
      <c r="M797" s="161"/>
      <c r="N797" s="217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21"/>
      <c r="AA797" s="161"/>
      <c r="AB797" s="161"/>
      <c r="AC797" s="161"/>
    </row>
    <row r="798" spans="1:29" ht="18" customHeight="1" thickBot="1" x14ac:dyDescent="0.25">
      <c r="A798" s="166"/>
      <c r="B798" s="152" t="s">
        <v>101</v>
      </c>
      <c r="C798" s="151" t="s">
        <v>226</v>
      </c>
      <c r="D798" s="152"/>
      <c r="E798" s="152"/>
      <c r="F798" s="152"/>
      <c r="G798" s="152"/>
      <c r="H798" s="182"/>
      <c r="I798" s="175"/>
      <c r="J798" s="152"/>
      <c r="K798" s="152"/>
      <c r="L798" s="183"/>
      <c r="M798" s="161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59"/>
      <c r="Z798" s="159"/>
      <c r="AA798" s="161"/>
      <c r="AB798" s="161"/>
      <c r="AC798" s="161"/>
    </row>
    <row r="799" spans="1:29" ht="18" customHeight="1" x14ac:dyDescent="0.2">
      <c r="A799" s="166"/>
      <c r="B799" s="187" t="s">
        <v>103</v>
      </c>
      <c r="C799" s="235"/>
      <c r="D799" s="152"/>
      <c r="E799" s="152"/>
      <c r="F799" s="439" t="s">
        <v>91</v>
      </c>
      <c r="G799" s="413"/>
      <c r="H799" s="152"/>
      <c r="I799" s="439" t="s">
        <v>104</v>
      </c>
      <c r="J799" s="412"/>
      <c r="K799" s="413"/>
      <c r="L799" s="189"/>
      <c r="M799" s="162"/>
      <c r="N799" s="163"/>
      <c r="O799" s="440" t="s">
        <v>90</v>
      </c>
      <c r="P799" s="441"/>
      <c r="Q799" s="441"/>
      <c r="R799" s="442"/>
      <c r="S799" s="164"/>
      <c r="T799" s="440" t="s">
        <v>91</v>
      </c>
      <c r="U799" s="441"/>
      <c r="V799" s="441"/>
      <c r="W799" s="441"/>
      <c r="X799" s="441"/>
      <c r="Y799" s="442"/>
      <c r="Z799" s="165"/>
      <c r="AA799" s="162"/>
      <c r="AB799" s="161"/>
      <c r="AC799" s="161"/>
    </row>
    <row r="800" spans="1:29" ht="18" customHeight="1" x14ac:dyDescent="0.2">
      <c r="A800" s="166"/>
      <c r="B800" s="152"/>
      <c r="C800" s="152"/>
      <c r="D800" s="152"/>
      <c r="E800" s="152"/>
      <c r="F800" s="152"/>
      <c r="G800" s="152"/>
      <c r="H800" s="190"/>
      <c r="I800" s="152"/>
      <c r="J800" s="152"/>
      <c r="K800" s="152"/>
      <c r="L800" s="191"/>
      <c r="M800" s="170"/>
      <c r="N800" s="171"/>
      <c r="O800" s="172" t="s">
        <v>93</v>
      </c>
      <c r="P800" s="172" t="s">
        <v>94</v>
      </c>
      <c r="Q800" s="172" t="s">
        <v>95</v>
      </c>
      <c r="R800" s="172" t="s">
        <v>96</v>
      </c>
      <c r="S800" s="173"/>
      <c r="T800" s="172" t="s">
        <v>93</v>
      </c>
      <c r="U800" s="172" t="s">
        <v>97</v>
      </c>
      <c r="V800" s="172" t="s">
        <v>9</v>
      </c>
      <c r="W800" s="172" t="s">
        <v>10</v>
      </c>
      <c r="X800" s="172" t="s">
        <v>11</v>
      </c>
      <c r="Y800" s="172" t="s">
        <v>98</v>
      </c>
      <c r="Z800" s="174"/>
      <c r="AA800" s="170"/>
      <c r="AB800" s="161"/>
      <c r="AC800" s="161"/>
    </row>
    <row r="801" spans="1:29" ht="18" customHeight="1" x14ac:dyDescent="0.2">
      <c r="A801" s="166"/>
      <c r="B801" s="445" t="s">
        <v>90</v>
      </c>
      <c r="C801" s="413"/>
      <c r="D801" s="152"/>
      <c r="E801" s="152"/>
      <c r="F801" s="192" t="s">
        <v>107</v>
      </c>
      <c r="G801" s="193" t="str">
        <f>IF($J$1="January",U801,IF($J$1="February",U802,IF($J$1="March",U803,IF($J$1="April",U804,IF($J$1="May",U805,IF($J$1="June",U806,IF($J$1="July",U807,IF($J$1="August",U808,IF($J$1="August",U808,IF($J$1="September",U809,IF($J$1="October",U810,IF($J$1="November",U811,IF($J$1="December",U812)))))))))))))</f>
        <v/>
      </c>
      <c r="H801" s="190"/>
      <c r="I801" s="194">
        <f>IF(C805&gt;0,$K$2,C803)</f>
        <v>31</v>
      </c>
      <c r="J801" s="195" t="s">
        <v>108</v>
      </c>
      <c r="K801" s="196">
        <f>K797/$K$2*I801</f>
        <v>35000</v>
      </c>
      <c r="L801" s="197"/>
      <c r="M801" s="161"/>
      <c r="N801" s="178"/>
      <c r="O801" s="179" t="s">
        <v>100</v>
      </c>
      <c r="P801" s="179"/>
      <c r="Q801" s="179"/>
      <c r="R801" s="179"/>
      <c r="S801" s="180"/>
      <c r="T801" s="179" t="s">
        <v>100</v>
      </c>
      <c r="U801" s="181"/>
      <c r="V801" s="181"/>
      <c r="W801" s="181">
        <f>V801+U801</f>
        <v>0</v>
      </c>
      <c r="X801" s="181"/>
      <c r="Y801" s="181">
        <f>W801-X801</f>
        <v>0</v>
      </c>
      <c r="Z801" s="174"/>
      <c r="AA801" s="161"/>
      <c r="AB801" s="161"/>
      <c r="AC801" s="161"/>
    </row>
    <row r="802" spans="1:29" ht="18" customHeight="1" x14ac:dyDescent="0.2">
      <c r="A802" s="166"/>
      <c r="B802" s="198"/>
      <c r="C802" s="198"/>
      <c r="D802" s="152"/>
      <c r="E802" s="152"/>
      <c r="F802" s="192" t="s">
        <v>9</v>
      </c>
      <c r="G802" s="193">
        <f>IF($J$1="January",V801,IF($J$1="February",V802,IF($J$1="March",V803,IF($J$1="April",V804,IF($J$1="May",V805,IF($J$1="June",V806,IF($J$1="July",V807,IF($J$1="August",V808,IF($J$1="August",V808,IF($J$1="September",V809,IF($J$1="October",V810,IF($J$1="November",V811,IF($J$1="December",V812)))))))))))))</f>
        <v>0</v>
      </c>
      <c r="H802" s="190"/>
      <c r="I802" s="214">
        <v>67</v>
      </c>
      <c r="J802" s="195" t="s">
        <v>110</v>
      </c>
      <c r="K802" s="193">
        <f>K797/$K$2/8*I802</f>
        <v>9455.645161290322</v>
      </c>
      <c r="L802" s="199"/>
      <c r="M802" s="162"/>
      <c r="N802" s="184"/>
      <c r="O802" s="179" t="s">
        <v>102</v>
      </c>
      <c r="P802" s="179"/>
      <c r="Q802" s="179"/>
      <c r="R802" s="179" t="str">
        <f t="shared" ref="R802:R803" si="218">IF(Q802="","",R801-Q802)</f>
        <v/>
      </c>
      <c r="S802" s="159"/>
      <c r="T802" s="179" t="s">
        <v>102</v>
      </c>
      <c r="U802" s="185">
        <f>Y801</f>
        <v>0</v>
      </c>
      <c r="V802" s="181"/>
      <c r="W802" s="185">
        <f t="shared" ref="W802:W812" si="219">IF(U802="","",U802+V802)</f>
        <v>0</v>
      </c>
      <c r="X802" s="181"/>
      <c r="Y802" s="185">
        <f t="shared" ref="Y802:Y812" si="220">IF(W802="","",W802-X802)</f>
        <v>0</v>
      </c>
      <c r="Z802" s="186"/>
      <c r="AA802" s="162"/>
      <c r="AB802" s="161"/>
      <c r="AC802" s="161"/>
    </row>
    <row r="803" spans="1:29" ht="18" customHeight="1" x14ac:dyDescent="0.2">
      <c r="A803" s="166"/>
      <c r="B803" s="192" t="s">
        <v>94</v>
      </c>
      <c r="C803" s="198">
        <f>IF($J$1="January",P801,IF($J$1="February",P802,IF($J$1="March",P803,IF($J$1="April",P804,IF($J$1="May",P805,IF($J$1="June",P806,IF($J$1="July",P807,IF($J$1="August",P808,IF($J$1="August",P808,IF($J$1="September",P809,IF($J$1="October",P810,IF($J$1="November",P811,IF($J$1="December",P812)))))))))))))</f>
        <v>0</v>
      </c>
      <c r="D803" s="152"/>
      <c r="E803" s="152"/>
      <c r="F803" s="192" t="s">
        <v>111</v>
      </c>
      <c r="G803" s="193" t="str">
        <f>IF($J$1="January",W801,IF($J$1="February",W802,IF($J$1="March",W803,IF($J$1="April",W804,IF($J$1="May",W805,IF($J$1="June",W806,IF($J$1="July",W807,IF($J$1="August",W808,IF($J$1="August",W808,IF($J$1="September",W809,IF($J$1="October",W810,IF($J$1="November",W811,IF($J$1="December",W812)))))))))))))</f>
        <v/>
      </c>
      <c r="H803" s="190"/>
      <c r="I803" s="446" t="s">
        <v>112</v>
      </c>
      <c r="J803" s="413"/>
      <c r="K803" s="193">
        <f>K801+K802</f>
        <v>44455.645161290318</v>
      </c>
      <c r="L803" s="199"/>
      <c r="M803" s="161"/>
      <c r="N803" s="178"/>
      <c r="O803" s="179" t="s">
        <v>105</v>
      </c>
      <c r="P803" s="179"/>
      <c r="Q803" s="179"/>
      <c r="R803" s="179" t="str">
        <f t="shared" si="218"/>
        <v/>
      </c>
      <c r="S803" s="159"/>
      <c r="T803" s="179" t="s">
        <v>105</v>
      </c>
      <c r="U803" s="185">
        <f t="shared" ref="U803:U804" si="221">IF($J$1="April",Y802,Y802)</f>
        <v>0</v>
      </c>
      <c r="V803" s="181"/>
      <c r="W803" s="185">
        <f t="shared" si="219"/>
        <v>0</v>
      </c>
      <c r="X803" s="181"/>
      <c r="Y803" s="185">
        <f t="shared" si="220"/>
        <v>0</v>
      </c>
      <c r="Z803" s="186"/>
      <c r="AA803" s="161"/>
      <c r="AB803" s="161"/>
      <c r="AC803" s="161"/>
    </row>
    <row r="804" spans="1:29" ht="18" customHeight="1" x14ac:dyDescent="0.2">
      <c r="A804" s="166"/>
      <c r="B804" s="192" t="s">
        <v>95</v>
      </c>
      <c r="C804" s="198">
        <f>IF($J$1="January",Q801,IF($J$1="February",Q802,IF($J$1="March",Q803,IF($J$1="April",Q804,IF($J$1="May",Q805,IF($J$1="June",Q806,IF($J$1="July",Q807,IF($J$1="August",Q808,IF($J$1="August",Q808,IF($J$1="September",Q809,IF($J$1="October",Q810,IF($J$1="November",Q811,IF($J$1="December",Q812)))))))))))))</f>
        <v>0</v>
      </c>
      <c r="D804" s="152"/>
      <c r="E804" s="152"/>
      <c r="F804" s="192" t="s">
        <v>11</v>
      </c>
      <c r="G804" s="193">
        <f>IF($J$1="January",X801,IF($J$1="February",X802,IF($J$1="March",X803,IF($J$1="April",X804,IF($J$1="May",X805,IF($J$1="June",X806,IF($J$1="July",X807,IF($J$1="August",X808,IF($J$1="August",X808,IF($J$1="September",X809,IF($J$1="October",X810,IF($J$1="November",X811,IF($J$1="December",X812)))))))))))))</f>
        <v>0</v>
      </c>
      <c r="H804" s="190"/>
      <c r="I804" s="446" t="s">
        <v>114</v>
      </c>
      <c r="J804" s="413"/>
      <c r="K804" s="193">
        <f>G804</f>
        <v>0</v>
      </c>
      <c r="L804" s="199"/>
      <c r="M804" s="161"/>
      <c r="N804" s="178"/>
      <c r="O804" s="179" t="s">
        <v>106</v>
      </c>
      <c r="P804" s="179"/>
      <c r="Q804" s="179"/>
      <c r="R804" s="179">
        <v>0</v>
      </c>
      <c r="S804" s="159"/>
      <c r="T804" s="179" t="s">
        <v>106</v>
      </c>
      <c r="U804" s="185">
        <f t="shared" si="221"/>
        <v>0</v>
      </c>
      <c r="V804" s="181"/>
      <c r="W804" s="185">
        <f t="shared" si="219"/>
        <v>0</v>
      </c>
      <c r="X804" s="181"/>
      <c r="Y804" s="185">
        <f t="shared" si="220"/>
        <v>0</v>
      </c>
      <c r="Z804" s="186"/>
      <c r="AA804" s="161"/>
      <c r="AB804" s="161"/>
      <c r="AC804" s="161"/>
    </row>
    <row r="805" spans="1:29" ht="18" customHeight="1" x14ac:dyDescent="0.2">
      <c r="A805" s="166"/>
      <c r="B805" s="215" t="s">
        <v>116</v>
      </c>
      <c r="C805" s="198" t="str">
        <f>IF($J$1="January",R801,IF($J$1="February",R802,IF($J$1="March",R803,IF($J$1="April",R804,IF($J$1="May",R805,IF($J$1="June",R806,IF($J$1="July",R807,IF($J$1="August",R808,IF($J$1="August",R808,IF($J$1="September",R809,IF($J$1="October",R810,IF($J$1="November",R811,IF($J$1="December",R812)))))))))))))</f>
        <v/>
      </c>
      <c r="D805" s="152"/>
      <c r="E805" s="152"/>
      <c r="F805" s="192" t="s">
        <v>169</v>
      </c>
      <c r="G805" s="193" t="str">
        <f>IF($J$1="January",Y801,IF($J$1="February",Y802,IF($J$1="March",Y803,IF($J$1="April",Y804,IF($J$1="May",Y805,IF($J$1="June",Y806,IF($J$1="July",Y807,IF($J$1="August",Y808,IF($J$1="August",Y808,IF($J$1="September",Y809,IF($J$1="October",Y810,IF($J$1="November",Y811,IF($J$1="December",Y812)))))))))))))</f>
        <v/>
      </c>
      <c r="H805" s="152"/>
      <c r="I805" s="439" t="s">
        <v>13</v>
      </c>
      <c r="J805" s="413"/>
      <c r="K805" s="37">
        <f>K803-K804</f>
        <v>44455.645161290318</v>
      </c>
      <c r="L805" s="183"/>
      <c r="M805" s="161"/>
      <c r="N805" s="178"/>
      <c r="O805" s="179" t="s">
        <v>109</v>
      </c>
      <c r="P805" s="179">
        <v>30</v>
      </c>
      <c r="Q805" s="179">
        <v>1</v>
      </c>
      <c r="R805" s="179">
        <v>0</v>
      </c>
      <c r="S805" s="159"/>
      <c r="T805" s="179" t="s">
        <v>109</v>
      </c>
      <c r="U805" s="185">
        <f t="shared" ref="U805:U807" si="222">IF($J$1="May",Y804,Y804)</f>
        <v>0</v>
      </c>
      <c r="V805" s="181"/>
      <c r="W805" s="185">
        <f t="shared" si="219"/>
        <v>0</v>
      </c>
      <c r="X805" s="181"/>
      <c r="Y805" s="185">
        <f t="shared" si="220"/>
        <v>0</v>
      </c>
      <c r="Z805" s="186"/>
      <c r="AA805" s="161"/>
      <c r="AB805" s="161"/>
      <c r="AC805" s="161"/>
    </row>
    <row r="806" spans="1:29" ht="18" customHeight="1" x14ac:dyDescent="0.2">
      <c r="A806" s="166"/>
      <c r="B806" s="152"/>
      <c r="C806" s="152"/>
      <c r="D806" s="152"/>
      <c r="E806" s="152"/>
      <c r="F806" s="152"/>
      <c r="G806" s="152"/>
      <c r="H806" s="152"/>
      <c r="I806" s="434"/>
      <c r="J806" s="435"/>
      <c r="K806" s="154"/>
      <c r="L806" s="189"/>
      <c r="M806" s="161"/>
      <c r="N806" s="178"/>
      <c r="O806" s="179" t="s">
        <v>85</v>
      </c>
      <c r="P806" s="179">
        <v>29</v>
      </c>
      <c r="Q806" s="179">
        <v>1</v>
      </c>
      <c r="R806" s="179">
        <v>0</v>
      </c>
      <c r="S806" s="159"/>
      <c r="T806" s="179" t="s">
        <v>85</v>
      </c>
      <c r="U806" s="185">
        <f t="shared" si="222"/>
        <v>0</v>
      </c>
      <c r="V806" s="181"/>
      <c r="W806" s="185">
        <f t="shared" si="219"/>
        <v>0</v>
      </c>
      <c r="X806" s="181"/>
      <c r="Y806" s="185">
        <f t="shared" si="220"/>
        <v>0</v>
      </c>
      <c r="Z806" s="186"/>
      <c r="AA806" s="161"/>
      <c r="AB806" s="161"/>
      <c r="AC806" s="161"/>
    </row>
    <row r="807" spans="1:29" ht="18" customHeight="1" x14ac:dyDescent="0.3">
      <c r="A807" s="166"/>
      <c r="B807" s="150"/>
      <c r="C807" s="150"/>
      <c r="D807" s="150"/>
      <c r="E807" s="150"/>
      <c r="F807" s="150"/>
      <c r="G807" s="150"/>
      <c r="H807" s="150"/>
      <c r="I807" s="434"/>
      <c r="J807" s="435"/>
      <c r="K807" s="154"/>
      <c r="L807" s="189"/>
      <c r="M807" s="161"/>
      <c r="N807" s="178"/>
      <c r="O807" s="179" t="s">
        <v>113</v>
      </c>
      <c r="P807" s="179">
        <v>31</v>
      </c>
      <c r="Q807" s="179">
        <v>0</v>
      </c>
      <c r="R807" s="179">
        <v>0</v>
      </c>
      <c r="S807" s="159"/>
      <c r="T807" s="179" t="s">
        <v>113</v>
      </c>
      <c r="U807" s="185">
        <f t="shared" si="222"/>
        <v>0</v>
      </c>
      <c r="V807" s="181"/>
      <c r="W807" s="185">
        <f t="shared" si="219"/>
        <v>0</v>
      </c>
      <c r="X807" s="181"/>
      <c r="Y807" s="185">
        <f t="shared" si="220"/>
        <v>0</v>
      </c>
      <c r="Z807" s="186"/>
      <c r="AA807" s="161"/>
      <c r="AB807" s="161"/>
      <c r="AC807" s="161"/>
    </row>
    <row r="808" spans="1:29" ht="18" customHeight="1" x14ac:dyDescent="0.3">
      <c r="A808" s="166"/>
      <c r="B808" s="150"/>
      <c r="C808" s="150"/>
      <c r="D808" s="150"/>
      <c r="E808" s="150"/>
      <c r="F808" s="150"/>
      <c r="G808" s="150"/>
      <c r="H808" s="150"/>
      <c r="I808" s="150"/>
      <c r="J808" s="150"/>
      <c r="K808" s="150"/>
      <c r="L808" s="189"/>
      <c r="M808" s="161"/>
      <c r="N808" s="178"/>
      <c r="O808" s="179" t="s">
        <v>115</v>
      </c>
      <c r="P808" s="179"/>
      <c r="Q808" s="179"/>
      <c r="R808" s="179" t="str">
        <f t="shared" ref="R808:R812" si="223">IF(Q808="","",R807-Q808)</f>
        <v/>
      </c>
      <c r="S808" s="159"/>
      <c r="T808" s="179" t="s">
        <v>115</v>
      </c>
      <c r="U808" s="185" t="str">
        <f t="shared" ref="U808:U809" si="224">IF($J$1="September",Y807,"")</f>
        <v/>
      </c>
      <c r="V808" s="181"/>
      <c r="W808" s="185" t="str">
        <f t="shared" si="219"/>
        <v/>
      </c>
      <c r="X808" s="181"/>
      <c r="Y808" s="185" t="str">
        <f t="shared" si="220"/>
        <v/>
      </c>
      <c r="Z808" s="186"/>
      <c r="AA808" s="161"/>
      <c r="AB808" s="161"/>
      <c r="AC808" s="161"/>
    </row>
    <row r="809" spans="1:29" ht="18" customHeight="1" thickBot="1" x14ac:dyDescent="0.25">
      <c r="A809" s="200"/>
      <c r="B809" s="216"/>
      <c r="C809" s="216"/>
      <c r="D809" s="216"/>
      <c r="E809" s="216"/>
      <c r="F809" s="216"/>
      <c r="G809" s="216"/>
      <c r="H809" s="216"/>
      <c r="I809" s="216"/>
      <c r="J809" s="216"/>
      <c r="K809" s="216"/>
      <c r="L809" s="202"/>
      <c r="M809" s="161"/>
      <c r="N809" s="178"/>
      <c r="O809" s="179" t="s">
        <v>118</v>
      </c>
      <c r="P809" s="179"/>
      <c r="Q809" s="179"/>
      <c r="R809" s="179" t="str">
        <f t="shared" si="223"/>
        <v/>
      </c>
      <c r="S809" s="159"/>
      <c r="T809" s="179" t="s">
        <v>118</v>
      </c>
      <c r="U809" s="185" t="str">
        <f t="shared" si="224"/>
        <v/>
      </c>
      <c r="V809" s="181"/>
      <c r="W809" s="185" t="str">
        <f t="shared" si="219"/>
        <v/>
      </c>
      <c r="X809" s="181"/>
      <c r="Y809" s="185" t="str">
        <f t="shared" si="220"/>
        <v/>
      </c>
      <c r="Z809" s="186"/>
      <c r="AA809" s="161"/>
      <c r="AB809" s="161"/>
      <c r="AC809" s="161"/>
    </row>
    <row r="810" spans="1:29" ht="18" customHeight="1" thickBot="1" x14ac:dyDescent="0.35">
      <c r="A810" s="150"/>
      <c r="B810" s="150"/>
      <c r="C810" s="150"/>
      <c r="D810" s="150"/>
      <c r="E810" s="150"/>
      <c r="F810" s="150"/>
      <c r="G810" s="150"/>
      <c r="H810" s="150"/>
      <c r="I810" s="150"/>
      <c r="J810" s="150"/>
      <c r="K810" s="150"/>
      <c r="L810" s="150"/>
      <c r="M810" s="161"/>
      <c r="N810" s="178"/>
      <c r="O810" s="179" t="s">
        <v>119</v>
      </c>
      <c r="P810" s="179"/>
      <c r="Q810" s="179"/>
      <c r="R810" s="179" t="str">
        <f t="shared" si="223"/>
        <v/>
      </c>
      <c r="S810" s="159"/>
      <c r="T810" s="179" t="s">
        <v>119</v>
      </c>
      <c r="U810" s="185" t="str">
        <f>IF($J$1="October",Y809,"")</f>
        <v/>
      </c>
      <c r="V810" s="181"/>
      <c r="W810" s="185" t="str">
        <f t="shared" si="219"/>
        <v/>
      </c>
      <c r="X810" s="181"/>
      <c r="Y810" s="185" t="str">
        <f t="shared" si="220"/>
        <v/>
      </c>
      <c r="Z810" s="186"/>
      <c r="AA810" s="161"/>
      <c r="AB810" s="161"/>
      <c r="AC810" s="161"/>
    </row>
    <row r="811" spans="1:29" ht="18" customHeight="1" x14ac:dyDescent="0.2">
      <c r="A811" s="436" t="s">
        <v>89</v>
      </c>
      <c r="B811" s="437"/>
      <c r="C811" s="437"/>
      <c r="D811" s="437"/>
      <c r="E811" s="437"/>
      <c r="F811" s="437"/>
      <c r="G811" s="437"/>
      <c r="H811" s="437"/>
      <c r="I811" s="437"/>
      <c r="J811" s="437"/>
      <c r="K811" s="437"/>
      <c r="L811" s="438"/>
      <c r="M811" s="161"/>
      <c r="N811" s="178"/>
      <c r="O811" s="179" t="s">
        <v>120</v>
      </c>
      <c r="P811" s="179"/>
      <c r="Q811" s="179"/>
      <c r="R811" s="179" t="str">
        <f t="shared" si="223"/>
        <v/>
      </c>
      <c r="S811" s="159"/>
      <c r="T811" s="179" t="s">
        <v>120</v>
      </c>
      <c r="U811" s="185" t="str">
        <f>IF($J$1="November",Y810,"")</f>
        <v/>
      </c>
      <c r="V811" s="181"/>
      <c r="W811" s="185" t="str">
        <f t="shared" si="219"/>
        <v/>
      </c>
      <c r="X811" s="181"/>
      <c r="Y811" s="185" t="str">
        <f t="shared" si="220"/>
        <v/>
      </c>
      <c r="Z811" s="186"/>
      <c r="AA811" s="161"/>
      <c r="AB811" s="161"/>
      <c r="AC811" s="161"/>
    </row>
    <row r="812" spans="1:29" ht="18" customHeight="1" x14ac:dyDescent="0.2">
      <c r="A812" s="166"/>
      <c r="B812" s="152"/>
      <c r="C812" s="443" t="s">
        <v>227</v>
      </c>
      <c r="D812" s="435"/>
      <c r="E812" s="435"/>
      <c r="F812" s="435"/>
      <c r="G812" s="167" t="str">
        <f>$J$1</f>
        <v>August</v>
      </c>
      <c r="H812" s="444">
        <f>$K$1</f>
        <v>2024</v>
      </c>
      <c r="I812" s="435"/>
      <c r="J812" s="152"/>
      <c r="K812" s="168"/>
      <c r="L812" s="169"/>
      <c r="M812" s="161"/>
      <c r="N812" s="178"/>
      <c r="O812" s="179" t="s">
        <v>121</v>
      </c>
      <c r="P812" s="179"/>
      <c r="Q812" s="179"/>
      <c r="R812" s="179" t="str">
        <f t="shared" si="223"/>
        <v/>
      </c>
      <c r="S812" s="159"/>
      <c r="T812" s="179" t="s">
        <v>121</v>
      </c>
      <c r="U812" s="185" t="str">
        <f>IF($J$1="Dec",Y811,"")</f>
        <v/>
      </c>
      <c r="V812" s="181"/>
      <c r="W812" s="185" t="str">
        <f t="shared" si="219"/>
        <v/>
      </c>
      <c r="X812" s="181"/>
      <c r="Y812" s="185" t="str">
        <f t="shared" si="220"/>
        <v/>
      </c>
      <c r="Z812" s="186"/>
      <c r="AA812" s="161"/>
      <c r="AB812" s="161"/>
      <c r="AC812" s="161"/>
    </row>
    <row r="813" spans="1:29" ht="18" customHeight="1" thickBot="1" x14ac:dyDescent="0.25">
      <c r="A813" s="166"/>
      <c r="B813" s="152"/>
      <c r="C813" s="152"/>
      <c r="D813" s="175"/>
      <c r="E813" s="175"/>
      <c r="F813" s="175"/>
      <c r="G813" s="175"/>
      <c r="H813" s="175"/>
      <c r="I813" s="152"/>
      <c r="J813" s="176" t="s">
        <v>99</v>
      </c>
      <c r="K813" s="154">
        <v>60000</v>
      </c>
      <c r="L813" s="177"/>
      <c r="M813" s="161"/>
      <c r="N813" s="217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21"/>
      <c r="AA813" s="161"/>
      <c r="AB813" s="161"/>
      <c r="AC813" s="161"/>
    </row>
    <row r="814" spans="1:29" ht="27.75" customHeight="1" thickBot="1" x14ac:dyDescent="0.3">
      <c r="A814" s="166"/>
      <c r="B814" s="152" t="s">
        <v>101</v>
      </c>
      <c r="C814" s="151" t="s">
        <v>228</v>
      </c>
      <c r="D814" s="152"/>
      <c r="E814" s="152"/>
      <c r="F814" s="152"/>
      <c r="G814" s="152"/>
      <c r="H814" s="182"/>
      <c r="I814" s="175"/>
      <c r="J814" s="152"/>
      <c r="K814" s="152"/>
      <c r="L814" s="18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</row>
    <row r="815" spans="1:29" ht="18" customHeight="1" x14ac:dyDescent="0.2">
      <c r="A815" s="166"/>
      <c r="B815" s="187" t="s">
        <v>103</v>
      </c>
      <c r="C815" s="213">
        <v>45413</v>
      </c>
      <c r="D815" s="152"/>
      <c r="E815" s="152"/>
      <c r="F815" s="439" t="s">
        <v>91</v>
      </c>
      <c r="G815" s="413"/>
      <c r="H815" s="152"/>
      <c r="I815" s="439" t="s">
        <v>104</v>
      </c>
      <c r="J815" s="412"/>
      <c r="K815" s="413"/>
      <c r="L815" s="189"/>
      <c r="M815" s="162"/>
      <c r="N815" s="163"/>
      <c r="O815" s="440" t="s">
        <v>90</v>
      </c>
      <c r="P815" s="441"/>
      <c r="Q815" s="441"/>
      <c r="R815" s="442"/>
      <c r="S815" s="164"/>
      <c r="T815" s="440" t="s">
        <v>91</v>
      </c>
      <c r="U815" s="441"/>
      <c r="V815" s="441"/>
      <c r="W815" s="441"/>
      <c r="X815" s="441"/>
      <c r="Y815" s="442"/>
      <c r="Z815" s="165"/>
      <c r="AA815" s="162"/>
      <c r="AB815" s="161"/>
      <c r="AC815" s="161"/>
    </row>
    <row r="816" spans="1:29" ht="18" customHeight="1" x14ac:dyDescent="0.2">
      <c r="A816" s="166"/>
      <c r="B816" s="152"/>
      <c r="C816" s="152"/>
      <c r="D816" s="152"/>
      <c r="E816" s="152"/>
      <c r="F816" s="152"/>
      <c r="G816" s="152"/>
      <c r="H816" s="190"/>
      <c r="I816" s="152"/>
      <c r="J816" s="152"/>
      <c r="K816" s="152"/>
      <c r="L816" s="191"/>
      <c r="M816" s="170"/>
      <c r="N816" s="171"/>
      <c r="O816" s="172" t="s">
        <v>93</v>
      </c>
      <c r="P816" s="172" t="s">
        <v>94</v>
      </c>
      <c r="Q816" s="172" t="s">
        <v>95</v>
      </c>
      <c r="R816" s="172" t="s">
        <v>96</v>
      </c>
      <c r="S816" s="173"/>
      <c r="T816" s="172" t="s">
        <v>93</v>
      </c>
      <c r="U816" s="172" t="s">
        <v>97</v>
      </c>
      <c r="V816" s="172" t="s">
        <v>9</v>
      </c>
      <c r="W816" s="172" t="s">
        <v>10</v>
      </c>
      <c r="X816" s="172" t="s">
        <v>11</v>
      </c>
      <c r="Y816" s="172" t="s">
        <v>98</v>
      </c>
      <c r="Z816" s="174"/>
      <c r="AA816" s="170"/>
      <c r="AB816" s="161"/>
      <c r="AC816" s="161"/>
    </row>
    <row r="817" spans="1:29" ht="18" customHeight="1" x14ac:dyDescent="0.2">
      <c r="A817" s="166"/>
      <c r="B817" s="445" t="s">
        <v>90</v>
      </c>
      <c r="C817" s="413"/>
      <c r="D817" s="152"/>
      <c r="E817" s="152"/>
      <c r="F817" s="192" t="s">
        <v>107</v>
      </c>
      <c r="G817" s="193" t="str">
        <f>IF($J$1="January",U817,IF($J$1="February",U818,IF($J$1="March",U819,IF($J$1="April",U820,IF($J$1="May",U821,IF($J$1="June",U822,IF($J$1="July",U823,IF($J$1="August",U824,IF($J$1="August",U824,IF($J$1="September",U825,IF($J$1="October",U826,IF($J$1="November",U827,IF($J$1="December",U828)))))))))))))</f>
        <v/>
      </c>
      <c r="H817" s="190"/>
      <c r="I817" s="194">
        <f>IF(C821&gt;0,$K$2,C819)</f>
        <v>31</v>
      </c>
      <c r="J817" s="195" t="s">
        <v>108</v>
      </c>
      <c r="K817" s="196">
        <f>K813/$K$2*I817</f>
        <v>60000</v>
      </c>
      <c r="L817" s="197"/>
      <c r="M817" s="161"/>
      <c r="N817" s="178"/>
      <c r="O817" s="179" t="s">
        <v>100</v>
      </c>
      <c r="P817" s="179"/>
      <c r="Q817" s="179"/>
      <c r="R817" s="179"/>
      <c r="S817" s="180"/>
      <c r="T817" s="179" t="s">
        <v>100</v>
      </c>
      <c r="U817" s="181"/>
      <c r="V817" s="181"/>
      <c r="W817" s="181">
        <f>V817+U817</f>
        <v>0</v>
      </c>
      <c r="X817" s="181"/>
      <c r="Y817" s="181">
        <f>W817-X817</f>
        <v>0</v>
      </c>
      <c r="Z817" s="174"/>
      <c r="AA817" s="161"/>
      <c r="AB817" s="161"/>
      <c r="AC817" s="161"/>
    </row>
    <row r="818" spans="1:29" ht="18" customHeight="1" x14ac:dyDescent="0.2">
      <c r="A818" s="166"/>
      <c r="B818" s="198"/>
      <c r="C818" s="198"/>
      <c r="D818" s="152"/>
      <c r="E818" s="152"/>
      <c r="F818" s="192" t="s">
        <v>9</v>
      </c>
      <c r="G818" s="193">
        <f>IF($J$1="January",V817,IF($J$1="February",V818,IF($J$1="March",V819,IF($J$1="April",V820,IF($J$1="May",V821,IF($J$1="June",V822,IF($J$1="July",V823,IF($J$1="August",V824,IF($J$1="August",V824,IF($J$1="September",V825,IF($J$1="October",V826,IF($J$1="November",V827,IF($J$1="December",V828)))))))))))))</f>
        <v>0</v>
      </c>
      <c r="H818" s="190"/>
      <c r="I818" s="214"/>
      <c r="J818" s="195" t="s">
        <v>110</v>
      </c>
      <c r="K818" s="193">
        <f>K813/$K$2/8*I818</f>
        <v>0</v>
      </c>
      <c r="L818" s="199"/>
      <c r="M818" s="162"/>
      <c r="N818" s="184"/>
      <c r="O818" s="179" t="s">
        <v>102</v>
      </c>
      <c r="P818" s="179"/>
      <c r="Q818" s="179"/>
      <c r="R818" s="179" t="str">
        <f t="shared" ref="R818:R819" si="225">IF(Q818="","",R817-Q818)</f>
        <v/>
      </c>
      <c r="S818" s="159"/>
      <c r="T818" s="179" t="s">
        <v>102</v>
      </c>
      <c r="U818" s="185">
        <f>Y817</f>
        <v>0</v>
      </c>
      <c r="V818" s="181"/>
      <c r="W818" s="185">
        <f t="shared" ref="W818:W828" si="226">IF(U818="","",U818+V818)</f>
        <v>0</v>
      </c>
      <c r="X818" s="181"/>
      <c r="Y818" s="185">
        <f t="shared" ref="Y818:Y828" si="227">IF(W818="","",W818-X818)</f>
        <v>0</v>
      </c>
      <c r="Z818" s="186"/>
      <c r="AA818" s="162"/>
      <c r="AB818" s="161"/>
      <c r="AC818" s="161"/>
    </row>
    <row r="819" spans="1:29" ht="18" customHeight="1" x14ac:dyDescent="0.2">
      <c r="A819" s="166"/>
      <c r="B819" s="192" t="s">
        <v>94</v>
      </c>
      <c r="C819" s="198">
        <f>IF($J$1="January",P817,IF($J$1="February",P818,IF($J$1="March",P819,IF($J$1="April",P820,IF($J$1="May",P821,IF($J$1="June",P822,IF($J$1="July",P823,IF($J$1="August",P824,IF($J$1="August",P824,IF($J$1="September",P825,IF($J$1="October",P826,IF($J$1="November",P827,IF($J$1="December",P828)))))))))))))</f>
        <v>0</v>
      </c>
      <c r="D819" s="152"/>
      <c r="E819" s="152">
        <v>0</v>
      </c>
      <c r="F819" s="192" t="s">
        <v>111</v>
      </c>
      <c r="G819" s="193" t="str">
        <f>IF($J$1="January",W817,IF($J$1="February",W818,IF($J$1="March",W819,IF($J$1="April",W820,IF($J$1="May",W821,IF($J$1="June",W822,IF($J$1="July",W823,IF($J$1="August",W824,IF($J$1="August",W824,IF($J$1="September",W825,IF($J$1="October",W826,IF($J$1="November",W827,IF($J$1="December",W828)))))))))))))</f>
        <v/>
      </c>
      <c r="H819" s="190"/>
      <c r="I819" s="446" t="s">
        <v>112</v>
      </c>
      <c r="J819" s="413"/>
      <c r="K819" s="193">
        <f>K817+K818</f>
        <v>60000</v>
      </c>
      <c r="L819" s="199"/>
      <c r="M819" s="161"/>
      <c r="N819" s="178"/>
      <c r="O819" s="179" t="s">
        <v>105</v>
      </c>
      <c r="P819" s="179"/>
      <c r="Q819" s="179"/>
      <c r="R819" s="179" t="str">
        <f t="shared" si="225"/>
        <v/>
      </c>
      <c r="S819" s="159"/>
      <c r="T819" s="179" t="s">
        <v>105</v>
      </c>
      <c r="U819" s="185">
        <f t="shared" ref="U819:U820" si="228">IF($J$1="April",Y818,Y818)</f>
        <v>0</v>
      </c>
      <c r="V819" s="181"/>
      <c r="W819" s="185">
        <f t="shared" si="226"/>
        <v>0</v>
      </c>
      <c r="X819" s="181"/>
      <c r="Y819" s="185">
        <f t="shared" si="227"/>
        <v>0</v>
      </c>
      <c r="Z819" s="186"/>
      <c r="AA819" s="161"/>
      <c r="AB819" s="161"/>
      <c r="AC819" s="161"/>
    </row>
    <row r="820" spans="1:29" ht="18" customHeight="1" x14ac:dyDescent="0.2">
      <c r="A820" s="166"/>
      <c r="B820" s="192" t="s">
        <v>95</v>
      </c>
      <c r="C820" s="198">
        <f>IF($J$1="January",Q817,IF($J$1="February",Q818,IF($J$1="March",Q819,IF($J$1="April",Q820,IF($J$1="May",Q821,IF($J$1="June",Q822,IF($J$1="July",Q823,IF($J$1="August",Q824,IF($J$1="August",Q824,IF($J$1="September",Q825,IF($J$1="October",Q826,IF($J$1="November",Q827,IF($J$1="December",Q828)))))))))))))</f>
        <v>0</v>
      </c>
      <c r="D820" s="152"/>
      <c r="E820" s="152"/>
      <c r="F820" s="192" t="s">
        <v>11</v>
      </c>
      <c r="G820" s="193">
        <f>IF($J$1="January",X817,IF($J$1="February",X818,IF($J$1="March",X819,IF($J$1="April",X820,IF($J$1="May",X821,IF($J$1="June",X822,IF($J$1="July",X823,IF($J$1="August",X824,IF($J$1="August",X824,IF($J$1="September",X825,IF($J$1="October",X826,IF($J$1="November",X827,IF($J$1="December",X828)))))))))))))</f>
        <v>0</v>
      </c>
      <c r="H820" s="190"/>
      <c r="I820" s="446" t="s">
        <v>114</v>
      </c>
      <c r="J820" s="413"/>
      <c r="K820" s="193">
        <f>G820</f>
        <v>0</v>
      </c>
      <c r="L820" s="199"/>
      <c r="M820" s="161"/>
      <c r="N820" s="178"/>
      <c r="O820" s="179" t="s">
        <v>106</v>
      </c>
      <c r="P820" s="179"/>
      <c r="Q820" s="179"/>
      <c r="R820" s="179">
        <v>0</v>
      </c>
      <c r="S820" s="159"/>
      <c r="T820" s="179" t="s">
        <v>106</v>
      </c>
      <c r="U820" s="185">
        <f t="shared" si="228"/>
        <v>0</v>
      </c>
      <c r="V820" s="181"/>
      <c r="W820" s="185">
        <f t="shared" si="226"/>
        <v>0</v>
      </c>
      <c r="X820" s="181"/>
      <c r="Y820" s="185">
        <f t="shared" si="227"/>
        <v>0</v>
      </c>
      <c r="Z820" s="186"/>
      <c r="AA820" s="161"/>
      <c r="AB820" s="161"/>
      <c r="AC820" s="161"/>
    </row>
    <row r="821" spans="1:29" ht="18" customHeight="1" x14ac:dyDescent="0.2">
      <c r="A821" s="166"/>
      <c r="B821" s="215" t="s">
        <v>116</v>
      </c>
      <c r="C821" s="198" t="str">
        <f>IF($J$1="January",R817,IF($J$1="February",R818,IF($J$1="March",R819,IF($J$1="April",R820,IF($J$1="May",R821,IF($J$1="June",R822,IF($J$1="July",R823,IF($J$1="August",R824,IF($J$1="August",R824,IF($J$1="September",R825,IF($J$1="October",R826,IF($J$1="November",R827,IF($J$1="December",R828)))))))))))))</f>
        <v/>
      </c>
      <c r="D821" s="152"/>
      <c r="E821" s="152"/>
      <c r="F821" s="192" t="s">
        <v>169</v>
      </c>
      <c r="G821" s="193" t="str">
        <f>IF($J$1="January",Y817,IF($J$1="February",Y818,IF($J$1="March",Y819,IF($J$1="April",Y820,IF($J$1="May",Y821,IF($J$1="June",Y822,IF($J$1="July",Y823,IF($J$1="August",Y824,IF($J$1="August",Y824,IF($J$1="September",Y825,IF($J$1="October",Y826,IF($J$1="November",Y827,IF($J$1="December",Y828)))))))))))))</f>
        <v/>
      </c>
      <c r="H821" s="152"/>
      <c r="I821" s="439" t="s">
        <v>13</v>
      </c>
      <c r="J821" s="413"/>
      <c r="K821" s="37">
        <f>K819-K820</f>
        <v>60000</v>
      </c>
      <c r="L821" s="183"/>
      <c r="M821" s="161"/>
      <c r="N821" s="178"/>
      <c r="O821" s="179" t="s">
        <v>109</v>
      </c>
      <c r="P821" s="179">
        <v>30</v>
      </c>
      <c r="Q821" s="179">
        <v>1</v>
      </c>
      <c r="R821" s="179">
        <v>0</v>
      </c>
      <c r="S821" s="159"/>
      <c r="T821" s="179" t="s">
        <v>109</v>
      </c>
      <c r="U821" s="185">
        <f t="shared" ref="U821:U823" si="229">IF($J$1="May",Y820,Y820)</f>
        <v>0</v>
      </c>
      <c r="V821" s="181"/>
      <c r="W821" s="185">
        <f t="shared" si="226"/>
        <v>0</v>
      </c>
      <c r="X821" s="181"/>
      <c r="Y821" s="185">
        <f t="shared" si="227"/>
        <v>0</v>
      </c>
      <c r="Z821" s="186"/>
      <c r="AA821" s="161"/>
      <c r="AB821" s="161"/>
      <c r="AC821" s="161"/>
    </row>
    <row r="822" spans="1:29" ht="18" customHeight="1" x14ac:dyDescent="0.2">
      <c r="A822" s="166"/>
      <c r="B822" s="152"/>
      <c r="C822" s="152"/>
      <c r="D822" s="152"/>
      <c r="E822" s="152"/>
      <c r="F822" s="152"/>
      <c r="G822" s="152"/>
      <c r="H822" s="152"/>
      <c r="I822" s="434"/>
      <c r="J822" s="435"/>
      <c r="K822" s="154"/>
      <c r="L822" s="189"/>
      <c r="M822" s="161"/>
      <c r="N822" s="178"/>
      <c r="O822" s="179" t="s">
        <v>85</v>
      </c>
      <c r="P822" s="179">
        <v>28</v>
      </c>
      <c r="Q822" s="179">
        <v>2</v>
      </c>
      <c r="R822" s="179">
        <v>0</v>
      </c>
      <c r="S822" s="159"/>
      <c r="T822" s="179" t="s">
        <v>85</v>
      </c>
      <c r="U822" s="185">
        <f t="shared" si="229"/>
        <v>0</v>
      </c>
      <c r="V822" s="181"/>
      <c r="W822" s="185">
        <f t="shared" si="226"/>
        <v>0</v>
      </c>
      <c r="X822" s="181"/>
      <c r="Y822" s="185">
        <f t="shared" si="227"/>
        <v>0</v>
      </c>
      <c r="Z822" s="186"/>
      <c r="AA822" s="161"/>
      <c r="AB822" s="161"/>
      <c r="AC822" s="161"/>
    </row>
    <row r="823" spans="1:29" ht="18" customHeight="1" x14ac:dyDescent="0.3">
      <c r="A823" s="166"/>
      <c r="B823" s="150"/>
      <c r="C823" s="150"/>
      <c r="D823" s="150"/>
      <c r="E823" s="150"/>
      <c r="F823" s="150"/>
      <c r="G823" s="150"/>
      <c r="H823" s="150"/>
      <c r="I823" s="434"/>
      <c r="J823" s="435"/>
      <c r="K823" s="154"/>
      <c r="L823" s="189"/>
      <c r="M823" s="161"/>
      <c r="N823" s="178"/>
      <c r="O823" s="179" t="s">
        <v>113</v>
      </c>
      <c r="P823" s="179">
        <v>31</v>
      </c>
      <c r="Q823" s="179">
        <v>0</v>
      </c>
      <c r="R823" s="179">
        <f t="shared" ref="R823:R828" si="230">IF(Q823="","",R822-Q823)</f>
        <v>0</v>
      </c>
      <c r="S823" s="159"/>
      <c r="T823" s="179" t="s">
        <v>113</v>
      </c>
      <c r="U823" s="185">
        <f t="shared" si="229"/>
        <v>0</v>
      </c>
      <c r="V823" s="181"/>
      <c r="W823" s="185">
        <f t="shared" si="226"/>
        <v>0</v>
      </c>
      <c r="X823" s="181"/>
      <c r="Y823" s="185">
        <f t="shared" si="227"/>
        <v>0</v>
      </c>
      <c r="Z823" s="186"/>
      <c r="AA823" s="161"/>
      <c r="AB823" s="161"/>
      <c r="AC823" s="161"/>
    </row>
    <row r="824" spans="1:29" ht="18" customHeight="1" x14ac:dyDescent="0.3">
      <c r="A824" s="166"/>
      <c r="B824" s="150"/>
      <c r="C824" s="150"/>
      <c r="D824" s="150"/>
      <c r="E824" s="150"/>
      <c r="F824" s="150"/>
      <c r="G824" s="150"/>
      <c r="H824" s="150"/>
      <c r="I824" s="150"/>
      <c r="J824" s="150"/>
      <c r="K824" s="150"/>
      <c r="L824" s="189"/>
      <c r="M824" s="161"/>
      <c r="N824" s="178"/>
      <c r="O824" s="179" t="s">
        <v>115</v>
      </c>
      <c r="P824" s="179"/>
      <c r="Q824" s="179"/>
      <c r="R824" s="179" t="str">
        <f t="shared" si="230"/>
        <v/>
      </c>
      <c r="S824" s="159"/>
      <c r="T824" s="179" t="s">
        <v>115</v>
      </c>
      <c r="U824" s="185" t="str">
        <f t="shared" ref="U824:U825" si="231">IF($J$1="September",Y823,"")</f>
        <v/>
      </c>
      <c r="V824" s="181"/>
      <c r="W824" s="185" t="str">
        <f t="shared" si="226"/>
        <v/>
      </c>
      <c r="X824" s="181"/>
      <c r="Y824" s="185" t="str">
        <f t="shared" si="227"/>
        <v/>
      </c>
      <c r="Z824" s="186"/>
      <c r="AA824" s="161"/>
      <c r="AB824" s="161"/>
      <c r="AC824" s="161"/>
    </row>
    <row r="825" spans="1:29" ht="18" customHeight="1" thickBot="1" x14ac:dyDescent="0.25">
      <c r="A825" s="200"/>
      <c r="B825" s="216"/>
      <c r="C825" s="216"/>
      <c r="D825" s="216"/>
      <c r="E825" s="216"/>
      <c r="F825" s="216"/>
      <c r="G825" s="216"/>
      <c r="H825" s="216"/>
      <c r="I825" s="216"/>
      <c r="J825" s="216"/>
      <c r="K825" s="216"/>
      <c r="L825" s="202"/>
      <c r="M825" s="161"/>
      <c r="N825" s="178"/>
      <c r="O825" s="179" t="s">
        <v>118</v>
      </c>
      <c r="P825" s="179"/>
      <c r="Q825" s="179"/>
      <c r="R825" s="179" t="str">
        <f t="shared" si="230"/>
        <v/>
      </c>
      <c r="S825" s="159"/>
      <c r="T825" s="179" t="s">
        <v>118</v>
      </c>
      <c r="U825" s="185" t="str">
        <f t="shared" si="231"/>
        <v/>
      </c>
      <c r="V825" s="181"/>
      <c r="W825" s="185" t="str">
        <f t="shared" si="226"/>
        <v/>
      </c>
      <c r="X825" s="181"/>
      <c r="Y825" s="185" t="str">
        <f t="shared" si="227"/>
        <v/>
      </c>
      <c r="Z825" s="186"/>
      <c r="AA825" s="161"/>
      <c r="AB825" s="161"/>
      <c r="AC825" s="161"/>
    </row>
    <row r="826" spans="1:29" ht="18" customHeight="1" thickBot="1" x14ac:dyDescent="0.35">
      <c r="A826" s="150"/>
      <c r="B826" s="150"/>
      <c r="C826" s="150"/>
      <c r="D826" s="150"/>
      <c r="E826" s="150"/>
      <c r="F826" s="150"/>
      <c r="G826" s="150"/>
      <c r="H826" s="150"/>
      <c r="I826" s="150"/>
      <c r="J826" s="150"/>
      <c r="K826" s="150"/>
      <c r="L826" s="150"/>
      <c r="M826" s="161"/>
      <c r="N826" s="178"/>
      <c r="O826" s="179" t="s">
        <v>119</v>
      </c>
      <c r="P826" s="179"/>
      <c r="Q826" s="179"/>
      <c r="R826" s="179" t="str">
        <f t="shared" si="230"/>
        <v/>
      </c>
      <c r="S826" s="159"/>
      <c r="T826" s="179" t="s">
        <v>119</v>
      </c>
      <c r="U826" s="185" t="str">
        <f>IF($J$1="October",Y825,"")</f>
        <v/>
      </c>
      <c r="V826" s="181"/>
      <c r="W826" s="185" t="str">
        <f t="shared" si="226"/>
        <v/>
      </c>
      <c r="X826" s="181"/>
      <c r="Y826" s="185" t="str">
        <f t="shared" si="227"/>
        <v/>
      </c>
      <c r="Z826" s="186"/>
      <c r="AA826" s="161"/>
      <c r="AB826" s="161"/>
      <c r="AC826" s="161"/>
    </row>
    <row r="827" spans="1:29" ht="18" customHeight="1" x14ac:dyDescent="0.2">
      <c r="A827" s="436" t="s">
        <v>89</v>
      </c>
      <c r="B827" s="437"/>
      <c r="C827" s="437"/>
      <c r="D827" s="437"/>
      <c r="E827" s="437"/>
      <c r="F827" s="437"/>
      <c r="G827" s="437"/>
      <c r="H827" s="437"/>
      <c r="I827" s="437"/>
      <c r="J827" s="437"/>
      <c r="K827" s="437"/>
      <c r="L827" s="438"/>
      <c r="M827" s="161"/>
      <c r="N827" s="178"/>
      <c r="O827" s="179" t="s">
        <v>120</v>
      </c>
      <c r="P827" s="179"/>
      <c r="Q827" s="179"/>
      <c r="R827" s="179" t="str">
        <f t="shared" si="230"/>
        <v/>
      </c>
      <c r="S827" s="159"/>
      <c r="T827" s="179" t="s">
        <v>120</v>
      </c>
      <c r="U827" s="185" t="str">
        <f>IF($J$1="November",Y826,"")</f>
        <v/>
      </c>
      <c r="V827" s="181"/>
      <c r="W827" s="185" t="str">
        <f t="shared" si="226"/>
        <v/>
      </c>
      <c r="X827" s="181"/>
      <c r="Y827" s="185" t="str">
        <f t="shared" si="227"/>
        <v/>
      </c>
      <c r="Z827" s="186"/>
      <c r="AA827" s="161"/>
      <c r="AB827" s="161"/>
      <c r="AC827" s="161"/>
    </row>
    <row r="828" spans="1:29" ht="18" customHeight="1" x14ac:dyDescent="0.2">
      <c r="A828" s="166"/>
      <c r="B828" s="152"/>
      <c r="C828" s="443" t="s">
        <v>229</v>
      </c>
      <c r="D828" s="435"/>
      <c r="E828" s="435"/>
      <c r="F828" s="435"/>
      <c r="G828" s="167" t="str">
        <f>$J$1</f>
        <v>August</v>
      </c>
      <c r="H828" s="444">
        <f>$K$1</f>
        <v>2024</v>
      </c>
      <c r="I828" s="435"/>
      <c r="J828" s="152"/>
      <c r="K828" s="168"/>
      <c r="L828" s="169"/>
      <c r="M828" s="161"/>
      <c r="N828" s="178"/>
      <c r="O828" s="179" t="s">
        <v>121</v>
      </c>
      <c r="P828" s="179"/>
      <c r="Q828" s="179"/>
      <c r="R828" s="179" t="str">
        <f t="shared" si="230"/>
        <v/>
      </c>
      <c r="S828" s="159"/>
      <c r="T828" s="179" t="s">
        <v>121</v>
      </c>
      <c r="U828" s="185" t="str">
        <f>IF($J$1="Dec",Y827,"")</f>
        <v/>
      </c>
      <c r="V828" s="181"/>
      <c r="W828" s="185" t="str">
        <f t="shared" si="226"/>
        <v/>
      </c>
      <c r="X828" s="181"/>
      <c r="Y828" s="185" t="str">
        <f t="shared" si="227"/>
        <v/>
      </c>
      <c r="Z828" s="186"/>
      <c r="AA828" s="161"/>
      <c r="AB828" s="161"/>
      <c r="AC828" s="161"/>
    </row>
    <row r="829" spans="1:29" ht="18" customHeight="1" thickBot="1" x14ac:dyDescent="0.25">
      <c r="A829" s="166"/>
      <c r="B829" s="152"/>
      <c r="C829" s="152"/>
      <c r="D829" s="175"/>
      <c r="E829" s="175"/>
      <c r="F829" s="175"/>
      <c r="G829" s="175"/>
      <c r="H829" s="175"/>
      <c r="I829" s="152"/>
      <c r="J829" s="176" t="s">
        <v>99</v>
      </c>
      <c r="K829" s="154">
        <v>1200</v>
      </c>
      <c r="L829" s="177"/>
      <c r="M829" s="161"/>
      <c r="N829" s="217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21"/>
      <c r="AA829" s="161"/>
      <c r="AB829" s="161"/>
      <c r="AC829" s="161"/>
    </row>
    <row r="830" spans="1:29" ht="27.75" customHeight="1" thickBot="1" x14ac:dyDescent="0.3">
      <c r="A830" s="166"/>
      <c r="B830" s="152" t="s">
        <v>101</v>
      </c>
      <c r="C830" s="151" t="s">
        <v>230</v>
      </c>
      <c r="D830" s="152"/>
      <c r="E830" s="152"/>
      <c r="F830" s="152"/>
      <c r="G830" s="152"/>
      <c r="H830" s="182"/>
      <c r="I830" s="175"/>
      <c r="J830" s="152"/>
      <c r="K830" s="152"/>
      <c r="L830" s="18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</row>
    <row r="831" spans="1:29" ht="27.75" customHeight="1" x14ac:dyDescent="0.25">
      <c r="A831" s="166"/>
      <c r="B831" s="187" t="s">
        <v>103</v>
      </c>
      <c r="C831" s="213"/>
      <c r="D831" s="152"/>
      <c r="E831" s="152"/>
      <c r="F831" s="439" t="s">
        <v>91</v>
      </c>
      <c r="G831" s="413"/>
      <c r="H831" s="152"/>
      <c r="I831" s="439" t="s">
        <v>104</v>
      </c>
      <c r="J831" s="412"/>
      <c r="K831" s="413"/>
      <c r="L831" s="189"/>
      <c r="M831" s="162"/>
      <c r="N831" s="163"/>
      <c r="O831" s="440" t="s">
        <v>90</v>
      </c>
      <c r="P831" s="441"/>
      <c r="Q831" s="441"/>
      <c r="R831" s="442"/>
      <c r="S831" s="164"/>
      <c r="T831" s="440" t="s">
        <v>91</v>
      </c>
      <c r="U831" s="441"/>
      <c r="V831" s="441"/>
      <c r="W831" s="441"/>
      <c r="X831" s="441"/>
      <c r="Y831" s="442"/>
      <c r="Z831" s="165"/>
      <c r="AA831" s="153"/>
      <c r="AB831" s="153"/>
      <c r="AC831" s="153"/>
    </row>
    <row r="832" spans="1:29" ht="27.75" customHeight="1" x14ac:dyDescent="0.25">
      <c r="A832" s="166"/>
      <c r="B832" s="152"/>
      <c r="C832" s="152"/>
      <c r="D832" s="152"/>
      <c r="E832" s="152"/>
      <c r="F832" s="152"/>
      <c r="G832" s="152"/>
      <c r="H832" s="190"/>
      <c r="I832" s="152"/>
      <c r="J832" s="152"/>
      <c r="K832" s="152"/>
      <c r="L832" s="191"/>
      <c r="M832" s="170"/>
      <c r="N832" s="171"/>
      <c r="O832" s="172" t="s">
        <v>93</v>
      </c>
      <c r="P832" s="172" t="s">
        <v>94</v>
      </c>
      <c r="Q832" s="172" t="s">
        <v>95</v>
      </c>
      <c r="R832" s="172" t="s">
        <v>96</v>
      </c>
      <c r="S832" s="173"/>
      <c r="T832" s="172" t="s">
        <v>93</v>
      </c>
      <c r="U832" s="172" t="s">
        <v>97</v>
      </c>
      <c r="V832" s="172" t="s">
        <v>9</v>
      </c>
      <c r="W832" s="172" t="s">
        <v>10</v>
      </c>
      <c r="X832" s="172" t="s">
        <v>11</v>
      </c>
      <c r="Y832" s="172" t="s">
        <v>98</v>
      </c>
      <c r="Z832" s="174"/>
      <c r="AA832" s="153"/>
      <c r="AB832" s="153"/>
      <c r="AC832" s="153"/>
    </row>
    <row r="833" spans="1:29" ht="18.75" customHeight="1" x14ac:dyDescent="0.25">
      <c r="A833" s="166"/>
      <c r="B833" s="445" t="s">
        <v>90</v>
      </c>
      <c r="C833" s="413"/>
      <c r="D833" s="152"/>
      <c r="E833" s="152"/>
      <c r="F833" s="192" t="s">
        <v>107</v>
      </c>
      <c r="G833" s="193" t="str">
        <f>IF($J$1="January",U833,IF($J$1="February",U834,IF($J$1="March",U835,IF($J$1="April",U836,IF($J$1="May",U837,IF($J$1="June",U838,IF($J$1="July",U839,IF($J$1="August",U840,IF($J$1="August",U840,IF($J$1="September",U841,IF($J$1="October",U842,IF($J$1="November",U843,IF($J$1="December",U844)))))))))))))</f>
        <v/>
      </c>
      <c r="H833" s="190"/>
      <c r="I833" s="194">
        <f>IF(C837&gt;0,$K$2,C835)</f>
        <v>31</v>
      </c>
      <c r="J833" s="195" t="s">
        <v>108</v>
      </c>
      <c r="K833" s="196">
        <f>K829*I833</f>
        <v>37200</v>
      </c>
      <c r="L833" s="197"/>
      <c r="M833" s="161"/>
      <c r="N833" s="178"/>
      <c r="O833" s="179" t="s">
        <v>100</v>
      </c>
      <c r="P833" s="179"/>
      <c r="Q833" s="179"/>
      <c r="R833" s="179"/>
      <c r="S833" s="180"/>
      <c r="T833" s="179" t="s">
        <v>100</v>
      </c>
      <c r="U833" s="181"/>
      <c r="V833" s="181"/>
      <c r="W833" s="181">
        <f>V833+U833</f>
        <v>0</v>
      </c>
      <c r="X833" s="181"/>
      <c r="Y833" s="181">
        <f>W833-X833</f>
        <v>0</v>
      </c>
      <c r="Z833" s="174"/>
      <c r="AA833" s="153"/>
      <c r="AB833" s="153"/>
      <c r="AC833" s="153"/>
    </row>
    <row r="834" spans="1:29" ht="18.75" customHeight="1" x14ac:dyDescent="0.25">
      <c r="A834" s="166"/>
      <c r="B834" s="198"/>
      <c r="C834" s="198"/>
      <c r="D834" s="152"/>
      <c r="E834" s="152"/>
      <c r="F834" s="192" t="s">
        <v>9</v>
      </c>
      <c r="G834" s="193">
        <f>IF($J$1="January",V833,IF($J$1="February",V834,IF($J$1="March",V835,IF($J$1="April",V836,IF($J$1="May",V837,IF($J$1="June",V838,IF($J$1="July",V839,IF($J$1="August",V840,IF($J$1="August",V840,IF($J$1="September",V841,IF($J$1="October",V842,IF($J$1="November",V843,IF($J$1="December",V844)))))))))))))</f>
        <v>0</v>
      </c>
      <c r="H834" s="190"/>
      <c r="I834" s="214">
        <v>46</v>
      </c>
      <c r="J834" s="195" t="s">
        <v>110</v>
      </c>
      <c r="K834" s="193">
        <f>K829/$K$2/8*I834</f>
        <v>222.58064516129033</v>
      </c>
      <c r="L834" s="199"/>
      <c r="M834" s="162"/>
      <c r="N834" s="184"/>
      <c r="O834" s="179" t="s">
        <v>102</v>
      </c>
      <c r="P834" s="179"/>
      <c r="Q834" s="179"/>
      <c r="R834" s="179" t="str">
        <f t="shared" ref="R834:R835" si="232">IF(Q834="","",R833-Q834)</f>
        <v/>
      </c>
      <c r="S834" s="159"/>
      <c r="T834" s="179" t="s">
        <v>102</v>
      </c>
      <c r="U834" s="185">
        <f>Y833</f>
        <v>0</v>
      </c>
      <c r="V834" s="181"/>
      <c r="W834" s="185">
        <f t="shared" ref="W834:W844" si="233">IF(U834="","",U834+V834)</f>
        <v>0</v>
      </c>
      <c r="X834" s="181"/>
      <c r="Y834" s="185">
        <f t="shared" ref="Y834:Y844" si="234">IF(W834="","",W834-X834)</f>
        <v>0</v>
      </c>
      <c r="Z834" s="186"/>
      <c r="AA834" s="153"/>
      <c r="AB834" s="153"/>
      <c r="AC834" s="153"/>
    </row>
    <row r="835" spans="1:29" ht="18.75" customHeight="1" x14ac:dyDescent="0.25">
      <c r="A835" s="166"/>
      <c r="B835" s="192" t="s">
        <v>94</v>
      </c>
      <c r="C835" s="198">
        <f>IF($J$1="January",P833,IF($J$1="February",P834,IF($J$1="March",P835,IF($J$1="April",P836,IF($J$1="May",P837,IF($J$1="June",P838,IF($J$1="July",P839,IF($J$1="August",P840,IF($J$1="August",P840,IF($J$1="September",P841,IF($J$1="October",P842,IF($J$1="November",P843,IF($J$1="December",P844)))))))))))))</f>
        <v>0</v>
      </c>
      <c r="D835" s="152"/>
      <c r="E835" s="152"/>
      <c r="F835" s="192" t="s">
        <v>111</v>
      </c>
      <c r="G835" s="193" t="str">
        <f>IF($J$1="January",W833,IF($J$1="February",W834,IF($J$1="March",W835,IF($J$1="April",W836,IF($J$1="May",W837,IF($J$1="June",W838,IF($J$1="July",W839,IF($J$1="August",W840,IF($J$1="August",W840,IF($J$1="September",W841,IF($J$1="October",W842,IF($J$1="November",W843,IF($J$1="December",W844)))))))))))))</f>
        <v/>
      </c>
      <c r="H835" s="190"/>
      <c r="I835" s="446" t="s">
        <v>112</v>
      </c>
      <c r="J835" s="413"/>
      <c r="K835" s="193">
        <f>K833+K834</f>
        <v>37422.580645161288</v>
      </c>
      <c r="L835" s="199"/>
      <c r="M835" s="161"/>
      <c r="N835" s="178"/>
      <c r="O835" s="179" t="s">
        <v>105</v>
      </c>
      <c r="P835" s="179"/>
      <c r="Q835" s="179"/>
      <c r="R835" s="179" t="str">
        <f t="shared" si="232"/>
        <v/>
      </c>
      <c r="S835" s="159"/>
      <c r="T835" s="179" t="s">
        <v>105</v>
      </c>
      <c r="U835" s="185">
        <f t="shared" ref="U835:U836" si="235">IF($J$1="April",Y834,Y834)</f>
        <v>0</v>
      </c>
      <c r="V835" s="181"/>
      <c r="W835" s="185">
        <f t="shared" si="233"/>
        <v>0</v>
      </c>
      <c r="X835" s="181"/>
      <c r="Y835" s="185">
        <f t="shared" si="234"/>
        <v>0</v>
      </c>
      <c r="Z835" s="186"/>
      <c r="AA835" s="153"/>
      <c r="AB835" s="153"/>
      <c r="AC835" s="153"/>
    </row>
    <row r="836" spans="1:29" ht="18.75" customHeight="1" x14ac:dyDescent="0.25">
      <c r="A836" s="166"/>
      <c r="B836" s="192" t="s">
        <v>95</v>
      </c>
      <c r="C836" s="198">
        <f>IF($J$1="January",Q833,IF($J$1="February",Q834,IF($J$1="March",Q835,IF($J$1="April",Q836,IF($J$1="May",Q837,IF($J$1="June",Q838,IF($J$1="July",Q839,IF($J$1="August",Q840,IF($J$1="August",Q840,IF($J$1="September",Q841,IF($J$1="October",Q842,IF($J$1="November",Q843,IF($J$1="December",Q844)))))))))))))</f>
        <v>0</v>
      </c>
      <c r="D836" s="152"/>
      <c r="E836" s="152"/>
      <c r="F836" s="192" t="s">
        <v>11</v>
      </c>
      <c r="G836" s="193">
        <f>IF($J$1="January",X833,IF($J$1="February",X834,IF($J$1="March",X835,IF($J$1="April",X836,IF($J$1="May",X837,IF($J$1="June",X838,IF($J$1="July",X839,IF($J$1="August",X840,IF($J$1="August",X840,IF($J$1="September",X841,IF($J$1="October",X842,IF($J$1="November",X843,IF($J$1="December",X844)))))))))))))</f>
        <v>0</v>
      </c>
      <c r="H836" s="190"/>
      <c r="I836" s="446" t="s">
        <v>114</v>
      </c>
      <c r="J836" s="413"/>
      <c r="K836" s="193">
        <f>G836</f>
        <v>0</v>
      </c>
      <c r="L836" s="199"/>
      <c r="M836" s="161"/>
      <c r="N836" s="178"/>
      <c r="O836" s="179" t="s">
        <v>106</v>
      </c>
      <c r="P836" s="179"/>
      <c r="Q836" s="179"/>
      <c r="R836" s="179">
        <v>0</v>
      </c>
      <c r="S836" s="159"/>
      <c r="T836" s="179" t="s">
        <v>106</v>
      </c>
      <c r="U836" s="185">
        <f t="shared" si="235"/>
        <v>0</v>
      </c>
      <c r="V836" s="181"/>
      <c r="W836" s="185">
        <f t="shared" si="233"/>
        <v>0</v>
      </c>
      <c r="X836" s="181"/>
      <c r="Y836" s="185">
        <f t="shared" si="234"/>
        <v>0</v>
      </c>
      <c r="Z836" s="186"/>
      <c r="AA836" s="153"/>
      <c r="AB836" s="153"/>
      <c r="AC836" s="153"/>
    </row>
    <row r="837" spans="1:29" ht="18.75" customHeight="1" x14ac:dyDescent="0.25">
      <c r="A837" s="166"/>
      <c r="B837" s="215" t="s">
        <v>116</v>
      </c>
      <c r="C837" s="198" t="str">
        <f>IF($J$1="January",R833,IF($J$1="February",R834,IF($J$1="March",R835,IF($J$1="April",R836,IF($J$1="May",R837,IF($J$1="June",R838,IF($J$1="July",R839,IF($J$1="August",R840,IF($J$1="August",R840,IF($J$1="September",R841,IF($J$1="October",R842,IF($J$1="November",R843,IF($J$1="December",R844)))))))))))))</f>
        <v/>
      </c>
      <c r="D837" s="152"/>
      <c r="E837" s="152"/>
      <c r="F837" s="192" t="s">
        <v>169</v>
      </c>
      <c r="G837" s="193" t="str">
        <f>IF($J$1="January",Y833,IF($J$1="February",Y834,IF($J$1="March",Y835,IF($J$1="April",Y836,IF($J$1="May",Y837,IF($J$1="June",Y838,IF($J$1="July",Y839,IF($J$1="August",Y840,IF($J$1="August",Y840,IF($J$1="September",Y841,IF($J$1="October",Y842,IF($J$1="November",Y843,IF($J$1="December",Y844)))))))))))))</f>
        <v/>
      </c>
      <c r="H837" s="152"/>
      <c r="I837" s="439" t="s">
        <v>13</v>
      </c>
      <c r="J837" s="413"/>
      <c r="K837" s="37">
        <f>K835-K836</f>
        <v>37422.580645161288</v>
      </c>
      <c r="L837" s="183"/>
      <c r="M837" s="161"/>
      <c r="N837" s="178"/>
      <c r="O837" s="179" t="s">
        <v>109</v>
      </c>
      <c r="P837" s="179"/>
      <c r="Q837" s="179"/>
      <c r="R837" s="179">
        <v>0</v>
      </c>
      <c r="S837" s="159"/>
      <c r="T837" s="179" t="s">
        <v>109</v>
      </c>
      <c r="U837" s="185">
        <f t="shared" ref="U837:U838" si="236">IF($J$1="May",Y836,Y836)</f>
        <v>0</v>
      </c>
      <c r="V837" s="181"/>
      <c r="W837" s="185">
        <f t="shared" si="233"/>
        <v>0</v>
      </c>
      <c r="X837" s="181"/>
      <c r="Y837" s="185">
        <f t="shared" si="234"/>
        <v>0</v>
      </c>
      <c r="Z837" s="186"/>
      <c r="AA837" s="153"/>
      <c r="AB837" s="153"/>
      <c r="AC837" s="153"/>
    </row>
    <row r="838" spans="1:29" ht="18.75" customHeight="1" x14ac:dyDescent="0.25">
      <c r="A838" s="166"/>
      <c r="B838" s="152"/>
      <c r="C838" s="152"/>
      <c r="D838" s="152"/>
      <c r="E838" s="152"/>
      <c r="F838" s="152"/>
      <c r="G838" s="152"/>
      <c r="H838" s="152"/>
      <c r="I838" s="434"/>
      <c r="J838" s="435"/>
      <c r="K838" s="154"/>
      <c r="L838" s="189"/>
      <c r="M838" s="161"/>
      <c r="N838" s="178"/>
      <c r="O838" s="179" t="s">
        <v>85</v>
      </c>
      <c r="P838" s="179">
        <v>25</v>
      </c>
      <c r="Q838" s="179">
        <v>5</v>
      </c>
      <c r="R838" s="179">
        <v>0</v>
      </c>
      <c r="S838" s="159"/>
      <c r="T838" s="179" t="s">
        <v>85</v>
      </c>
      <c r="U838" s="185">
        <f t="shared" si="236"/>
        <v>0</v>
      </c>
      <c r="V838" s="181">
        <v>2000</v>
      </c>
      <c r="W838" s="185">
        <f t="shared" si="233"/>
        <v>2000</v>
      </c>
      <c r="X838" s="181">
        <v>2000</v>
      </c>
      <c r="Y838" s="185">
        <f t="shared" si="234"/>
        <v>0</v>
      </c>
      <c r="Z838" s="186"/>
      <c r="AA838" s="153"/>
      <c r="AB838" s="153"/>
      <c r="AC838" s="153"/>
    </row>
    <row r="839" spans="1:29" ht="18.75" customHeight="1" x14ac:dyDescent="0.3">
      <c r="A839" s="166"/>
      <c r="B839" s="150"/>
      <c r="C839" s="150"/>
      <c r="D839" s="150"/>
      <c r="E839" s="150"/>
      <c r="F839" s="150"/>
      <c r="G839" s="150"/>
      <c r="H839" s="150"/>
      <c r="I839" s="434"/>
      <c r="J839" s="435"/>
      <c r="K839" s="154"/>
      <c r="L839" s="189"/>
      <c r="M839" s="161"/>
      <c r="N839" s="178"/>
      <c r="O839" s="179" t="s">
        <v>113</v>
      </c>
      <c r="P839" s="179">
        <v>10</v>
      </c>
      <c r="Q839" s="179">
        <v>0</v>
      </c>
      <c r="R839" s="179">
        <f t="shared" ref="R839:R844" si="237">IF(Q839="","",R838-Q839)</f>
        <v>0</v>
      </c>
      <c r="S839" s="159"/>
      <c r="T839" s="179" t="s">
        <v>113</v>
      </c>
      <c r="U839" s="185">
        <f>Y838</f>
        <v>0</v>
      </c>
      <c r="V839" s="181">
        <v>5000</v>
      </c>
      <c r="W839" s="185">
        <f t="shared" si="233"/>
        <v>5000</v>
      </c>
      <c r="X839" s="181">
        <v>5000</v>
      </c>
      <c r="Y839" s="185">
        <f t="shared" si="234"/>
        <v>0</v>
      </c>
      <c r="Z839" s="186"/>
      <c r="AA839" s="153"/>
      <c r="AB839" s="153"/>
      <c r="AC839" s="153"/>
    </row>
    <row r="840" spans="1:29" ht="18.75" customHeight="1" x14ac:dyDescent="0.3">
      <c r="A840" s="166"/>
      <c r="B840" s="150"/>
      <c r="C840" s="150"/>
      <c r="D840" s="150"/>
      <c r="E840" s="150"/>
      <c r="F840" s="150"/>
      <c r="G840" s="150"/>
      <c r="H840" s="150"/>
      <c r="I840" s="150"/>
      <c r="J840" s="150"/>
      <c r="K840" s="150"/>
      <c r="L840" s="189"/>
      <c r="M840" s="161"/>
      <c r="N840" s="178"/>
      <c r="O840" s="179" t="s">
        <v>115</v>
      </c>
      <c r="P840" s="179"/>
      <c r="Q840" s="179"/>
      <c r="R840" s="179" t="str">
        <f t="shared" si="237"/>
        <v/>
      </c>
      <c r="S840" s="159"/>
      <c r="T840" s="179" t="s">
        <v>115</v>
      </c>
      <c r="U840" s="185" t="str">
        <f t="shared" ref="U840:U841" si="238">IF($J$1="September",Y839,"")</f>
        <v/>
      </c>
      <c r="V840" s="181"/>
      <c r="W840" s="185" t="str">
        <f t="shared" si="233"/>
        <v/>
      </c>
      <c r="X840" s="181"/>
      <c r="Y840" s="185" t="str">
        <f t="shared" si="234"/>
        <v/>
      </c>
      <c r="Z840" s="186"/>
      <c r="AA840" s="153"/>
      <c r="AB840" s="153"/>
      <c r="AC840" s="153"/>
    </row>
    <row r="841" spans="1:29" ht="18.75" customHeight="1" thickBot="1" x14ac:dyDescent="0.3">
      <c r="A841" s="200"/>
      <c r="B841" s="216"/>
      <c r="C841" s="216"/>
      <c r="D841" s="216"/>
      <c r="E841" s="216"/>
      <c r="F841" s="216"/>
      <c r="G841" s="216"/>
      <c r="H841" s="216"/>
      <c r="I841" s="216"/>
      <c r="J841" s="216"/>
      <c r="K841" s="216"/>
      <c r="L841" s="202"/>
      <c r="M841" s="161"/>
      <c r="N841" s="178"/>
      <c r="O841" s="179" t="s">
        <v>118</v>
      </c>
      <c r="P841" s="179"/>
      <c r="Q841" s="179"/>
      <c r="R841" s="179" t="str">
        <f t="shared" si="237"/>
        <v/>
      </c>
      <c r="S841" s="159"/>
      <c r="T841" s="179" t="s">
        <v>118</v>
      </c>
      <c r="U841" s="185" t="str">
        <f t="shared" si="238"/>
        <v/>
      </c>
      <c r="V841" s="181"/>
      <c r="W841" s="185" t="str">
        <f t="shared" si="233"/>
        <v/>
      </c>
      <c r="X841" s="181"/>
      <c r="Y841" s="185" t="str">
        <f t="shared" si="234"/>
        <v/>
      </c>
      <c r="Z841" s="186"/>
      <c r="AA841" s="153"/>
      <c r="AB841" s="153"/>
      <c r="AC841" s="153"/>
    </row>
    <row r="842" spans="1:29" ht="18.75" customHeight="1" thickBot="1" x14ac:dyDescent="0.35">
      <c r="A842" s="150"/>
      <c r="B842" s="150"/>
      <c r="C842" s="150"/>
      <c r="D842" s="150"/>
      <c r="E842" s="150"/>
      <c r="F842" s="150"/>
      <c r="G842" s="150"/>
      <c r="H842" s="150"/>
      <c r="I842" s="150"/>
      <c r="J842" s="150"/>
      <c r="K842" s="150"/>
      <c r="L842" s="150"/>
      <c r="M842" s="161"/>
      <c r="N842" s="178"/>
      <c r="O842" s="179" t="s">
        <v>119</v>
      </c>
      <c r="P842" s="179"/>
      <c r="Q842" s="179"/>
      <c r="R842" s="179" t="str">
        <f t="shared" si="237"/>
        <v/>
      </c>
      <c r="S842" s="159"/>
      <c r="T842" s="179" t="s">
        <v>119</v>
      </c>
      <c r="U842" s="185" t="str">
        <f>IF($J$1="October",Y841,"")</f>
        <v/>
      </c>
      <c r="V842" s="181"/>
      <c r="W842" s="185" t="str">
        <f t="shared" si="233"/>
        <v/>
      </c>
      <c r="X842" s="181"/>
      <c r="Y842" s="185" t="str">
        <f t="shared" si="234"/>
        <v/>
      </c>
      <c r="Z842" s="186"/>
      <c r="AA842" s="153"/>
      <c r="AB842" s="153"/>
      <c r="AC842" s="153"/>
    </row>
    <row r="843" spans="1:29" ht="18.75" customHeight="1" x14ac:dyDescent="0.25">
      <c r="A843" s="436" t="s">
        <v>89</v>
      </c>
      <c r="B843" s="437"/>
      <c r="C843" s="437"/>
      <c r="D843" s="437"/>
      <c r="E843" s="437"/>
      <c r="F843" s="437"/>
      <c r="G843" s="437"/>
      <c r="H843" s="437"/>
      <c r="I843" s="437"/>
      <c r="J843" s="437"/>
      <c r="K843" s="437"/>
      <c r="L843" s="438"/>
      <c r="M843" s="161"/>
      <c r="N843" s="178"/>
      <c r="O843" s="179" t="s">
        <v>120</v>
      </c>
      <c r="P843" s="179"/>
      <c r="Q843" s="179"/>
      <c r="R843" s="179" t="str">
        <f t="shared" si="237"/>
        <v/>
      </c>
      <c r="S843" s="159"/>
      <c r="T843" s="179" t="s">
        <v>120</v>
      </c>
      <c r="U843" s="185" t="str">
        <f>IF($J$1="November",Y842,"")</f>
        <v/>
      </c>
      <c r="V843" s="181"/>
      <c r="W843" s="185" t="str">
        <f t="shared" si="233"/>
        <v/>
      </c>
      <c r="X843" s="181"/>
      <c r="Y843" s="185" t="str">
        <f t="shared" si="234"/>
        <v/>
      </c>
      <c r="Z843" s="186"/>
      <c r="AA843" s="153"/>
      <c r="AB843" s="153"/>
      <c r="AC843" s="153"/>
    </row>
    <row r="844" spans="1:29" ht="18.75" customHeight="1" x14ac:dyDescent="0.25">
      <c r="A844" s="166"/>
      <c r="B844" s="152"/>
      <c r="C844" s="443" t="s">
        <v>92</v>
      </c>
      <c r="D844" s="435"/>
      <c r="E844" s="435"/>
      <c r="F844" s="435"/>
      <c r="G844" s="167" t="str">
        <f>$J$1</f>
        <v>August</v>
      </c>
      <c r="H844" s="444">
        <f>$K$1</f>
        <v>2024</v>
      </c>
      <c r="I844" s="435"/>
      <c r="J844" s="152"/>
      <c r="K844" s="168"/>
      <c r="L844" s="169"/>
      <c r="M844" s="161"/>
      <c r="N844" s="178"/>
      <c r="O844" s="179" t="s">
        <v>121</v>
      </c>
      <c r="P844" s="179"/>
      <c r="Q844" s="179"/>
      <c r="R844" s="179" t="str">
        <f t="shared" si="237"/>
        <v/>
      </c>
      <c r="S844" s="159"/>
      <c r="T844" s="179" t="s">
        <v>121</v>
      </c>
      <c r="U844" s="185" t="str">
        <f>IF($J$1="Dec",Y843,"")</f>
        <v/>
      </c>
      <c r="V844" s="181"/>
      <c r="W844" s="185" t="str">
        <f t="shared" si="233"/>
        <v/>
      </c>
      <c r="X844" s="181"/>
      <c r="Y844" s="185" t="str">
        <f t="shared" si="234"/>
        <v/>
      </c>
      <c r="Z844" s="186"/>
      <c r="AA844" s="153"/>
      <c r="AB844" s="153"/>
      <c r="AC844" s="153"/>
    </row>
    <row r="845" spans="1:29" ht="18.75" customHeight="1" thickBot="1" x14ac:dyDescent="0.3">
      <c r="A845" s="166"/>
      <c r="B845" s="152"/>
      <c r="C845" s="152"/>
      <c r="D845" s="175"/>
      <c r="E845" s="175"/>
      <c r="F845" s="175"/>
      <c r="G845" s="175"/>
      <c r="H845" s="175"/>
      <c r="I845" s="152"/>
      <c r="J845" s="176" t="s">
        <v>99</v>
      </c>
      <c r="K845" s="154">
        <v>35000</v>
      </c>
      <c r="L845" s="177"/>
      <c r="M845" s="161"/>
      <c r="N845" s="217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21"/>
      <c r="AA845" s="153"/>
      <c r="AB845" s="153"/>
      <c r="AC845" s="153"/>
    </row>
    <row r="846" spans="1:29" s="285" customFormat="1" ht="27.75" customHeight="1" thickBot="1" x14ac:dyDescent="0.3">
      <c r="A846" s="297"/>
      <c r="B846" s="298" t="s">
        <v>101</v>
      </c>
      <c r="C846" s="299" t="s">
        <v>302</v>
      </c>
      <c r="D846" s="298"/>
      <c r="E846" s="298"/>
      <c r="F846" s="298"/>
      <c r="G846" s="298"/>
      <c r="H846" s="300"/>
      <c r="I846" s="301"/>
      <c r="J846" s="298"/>
      <c r="K846" s="298"/>
      <c r="L846" s="302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  <c r="X846" s="309"/>
      <c r="Y846" s="309"/>
      <c r="Z846" s="309"/>
      <c r="AA846" s="309"/>
      <c r="AB846" s="309"/>
      <c r="AC846" s="309"/>
    </row>
    <row r="847" spans="1:29" ht="27.75" customHeight="1" x14ac:dyDescent="0.25">
      <c r="A847" s="166"/>
      <c r="B847" s="187" t="s">
        <v>103</v>
      </c>
      <c r="C847" s="213">
        <v>45474</v>
      </c>
      <c r="D847" s="152"/>
      <c r="E847" s="152"/>
      <c r="F847" s="439" t="s">
        <v>91</v>
      </c>
      <c r="G847" s="413"/>
      <c r="H847" s="152"/>
      <c r="I847" s="439" t="s">
        <v>104</v>
      </c>
      <c r="J847" s="412"/>
      <c r="K847" s="413"/>
      <c r="L847" s="189"/>
      <c r="M847" s="162"/>
      <c r="N847" s="163"/>
      <c r="O847" s="440" t="s">
        <v>90</v>
      </c>
      <c r="P847" s="441"/>
      <c r="Q847" s="441"/>
      <c r="R847" s="442"/>
      <c r="S847" s="164"/>
      <c r="T847" s="440" t="s">
        <v>91</v>
      </c>
      <c r="U847" s="441"/>
      <c r="V847" s="441"/>
      <c r="W847" s="441"/>
      <c r="X847" s="441"/>
      <c r="Y847" s="442"/>
      <c r="Z847" s="165"/>
      <c r="AA847" s="153"/>
      <c r="AB847" s="153"/>
      <c r="AC847" s="153"/>
    </row>
    <row r="848" spans="1:29" ht="27.75" customHeight="1" x14ac:dyDescent="0.25">
      <c r="A848" s="166"/>
      <c r="B848" s="152"/>
      <c r="C848" s="152"/>
      <c r="D848" s="152"/>
      <c r="E848" s="152"/>
      <c r="F848" s="152"/>
      <c r="G848" s="152"/>
      <c r="H848" s="190"/>
      <c r="I848" s="152"/>
      <c r="J848" s="152"/>
      <c r="K848" s="152"/>
      <c r="L848" s="191"/>
      <c r="M848" s="170"/>
      <c r="N848" s="171"/>
      <c r="O848" s="172" t="s">
        <v>93</v>
      </c>
      <c r="P848" s="172" t="s">
        <v>94</v>
      </c>
      <c r="Q848" s="172" t="s">
        <v>95</v>
      </c>
      <c r="R848" s="172" t="s">
        <v>96</v>
      </c>
      <c r="S848" s="173"/>
      <c r="T848" s="172" t="s">
        <v>93</v>
      </c>
      <c r="U848" s="172" t="s">
        <v>97</v>
      </c>
      <c r="V848" s="172" t="s">
        <v>9</v>
      </c>
      <c r="W848" s="172" t="s">
        <v>10</v>
      </c>
      <c r="X848" s="172" t="s">
        <v>11</v>
      </c>
      <c r="Y848" s="172" t="s">
        <v>98</v>
      </c>
      <c r="Z848" s="174"/>
      <c r="AA848" s="153"/>
      <c r="AB848" s="153"/>
      <c r="AC848" s="153"/>
    </row>
    <row r="849" spans="1:29" ht="18.75" customHeight="1" x14ac:dyDescent="0.25">
      <c r="A849" s="166"/>
      <c r="B849" s="445" t="s">
        <v>90</v>
      </c>
      <c r="C849" s="413"/>
      <c r="D849" s="152"/>
      <c r="E849" s="152"/>
      <c r="F849" s="192" t="s">
        <v>107</v>
      </c>
      <c r="G849" s="193" t="str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/>
      </c>
      <c r="H849" s="190"/>
      <c r="I849" s="194">
        <f>IF(C853&gt;0,$K$2,C851)</f>
        <v>31</v>
      </c>
      <c r="J849" s="195" t="s">
        <v>108</v>
      </c>
      <c r="K849" s="196">
        <f>K845/$K$2*I849</f>
        <v>35000</v>
      </c>
      <c r="L849" s="197"/>
      <c r="M849" s="161"/>
      <c r="N849" s="178"/>
      <c r="O849" s="179" t="s">
        <v>100</v>
      </c>
      <c r="P849" s="179"/>
      <c r="Q849" s="179"/>
      <c r="R849" s="179"/>
      <c r="S849" s="180"/>
      <c r="T849" s="179" t="s">
        <v>100</v>
      </c>
      <c r="U849" s="181"/>
      <c r="V849" s="181"/>
      <c r="W849" s="181">
        <f>V849+U849</f>
        <v>0</v>
      </c>
      <c r="X849" s="181"/>
      <c r="Y849" s="181">
        <f>W849-X849</f>
        <v>0</v>
      </c>
      <c r="Z849" s="174"/>
      <c r="AA849" s="153"/>
      <c r="AB849" s="153"/>
      <c r="AC849" s="153"/>
    </row>
    <row r="850" spans="1:29" ht="18.75" customHeight="1" x14ac:dyDescent="0.25">
      <c r="A850" s="166"/>
      <c r="B850" s="198"/>
      <c r="C850" s="198"/>
      <c r="D850" s="152"/>
      <c r="E850" s="152"/>
      <c r="F850" s="192" t="s">
        <v>9</v>
      </c>
      <c r="G850" s="193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0" s="190"/>
      <c r="I850" s="214">
        <v>54</v>
      </c>
      <c r="J850" s="195" t="s">
        <v>110</v>
      </c>
      <c r="K850" s="193">
        <f>K845/$K$2/8*I850</f>
        <v>7620.9677419354839</v>
      </c>
      <c r="L850" s="199"/>
      <c r="M850" s="162"/>
      <c r="N850" s="184"/>
      <c r="O850" s="179" t="s">
        <v>102</v>
      </c>
      <c r="P850" s="179"/>
      <c r="Q850" s="179"/>
      <c r="R850" s="179" t="str">
        <f t="shared" ref="R850:R851" si="239">IF(Q850="","",R849-Q850)</f>
        <v/>
      </c>
      <c r="S850" s="159"/>
      <c r="T850" s="179" t="s">
        <v>102</v>
      </c>
      <c r="U850" s="185">
        <f>Y849</f>
        <v>0</v>
      </c>
      <c r="V850" s="181"/>
      <c r="W850" s="185">
        <f t="shared" ref="W850:W860" si="240">IF(U850="","",U850+V850)</f>
        <v>0</v>
      </c>
      <c r="X850" s="181"/>
      <c r="Y850" s="185">
        <f t="shared" ref="Y850:Y860" si="241">IF(W850="","",W850-X850)</f>
        <v>0</v>
      </c>
      <c r="Z850" s="186"/>
      <c r="AA850" s="153"/>
      <c r="AB850" s="153"/>
      <c r="AC850" s="153"/>
    </row>
    <row r="851" spans="1:29" ht="18.75" customHeight="1" x14ac:dyDescent="0.25">
      <c r="A851" s="166"/>
      <c r="B851" s="192" t="s">
        <v>94</v>
      </c>
      <c r="C851" s="198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0</v>
      </c>
      <c r="D851" s="152"/>
      <c r="E851" s="152"/>
      <c r="F851" s="192" t="s">
        <v>111</v>
      </c>
      <c r="G851" s="193" t="str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/>
      </c>
      <c r="H851" s="190"/>
      <c r="I851" s="446" t="s">
        <v>112</v>
      </c>
      <c r="J851" s="413"/>
      <c r="K851" s="193">
        <f>K849+K850</f>
        <v>42620.967741935485</v>
      </c>
      <c r="L851" s="199"/>
      <c r="M851" s="161"/>
      <c r="N851" s="178"/>
      <c r="O851" s="179" t="s">
        <v>105</v>
      </c>
      <c r="P851" s="179"/>
      <c r="Q851" s="179"/>
      <c r="R851" s="179" t="str">
        <f t="shared" si="239"/>
        <v/>
      </c>
      <c r="S851" s="159"/>
      <c r="T851" s="179" t="s">
        <v>105</v>
      </c>
      <c r="U851" s="185">
        <f t="shared" ref="U851:U852" si="242">IF($J$1="April",Y850,Y850)</f>
        <v>0</v>
      </c>
      <c r="V851" s="181"/>
      <c r="W851" s="185">
        <f t="shared" si="240"/>
        <v>0</v>
      </c>
      <c r="X851" s="181"/>
      <c r="Y851" s="185">
        <f t="shared" si="241"/>
        <v>0</v>
      </c>
      <c r="Z851" s="186"/>
      <c r="AA851" s="153"/>
      <c r="AB851" s="153"/>
      <c r="AC851" s="153"/>
    </row>
    <row r="852" spans="1:29" ht="18.75" customHeight="1" x14ac:dyDescent="0.25">
      <c r="A852" s="166"/>
      <c r="B852" s="192" t="s">
        <v>95</v>
      </c>
      <c r="C852" s="198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0</v>
      </c>
      <c r="D852" s="152"/>
      <c r="E852" s="152"/>
      <c r="F852" s="192" t="s">
        <v>11</v>
      </c>
      <c r="G852" s="193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0</v>
      </c>
      <c r="H852" s="190"/>
      <c r="I852" s="446" t="s">
        <v>114</v>
      </c>
      <c r="J852" s="413"/>
      <c r="K852" s="193">
        <f>G852</f>
        <v>0</v>
      </c>
      <c r="L852" s="199"/>
      <c r="M852" s="161"/>
      <c r="N852" s="178"/>
      <c r="O852" s="179" t="s">
        <v>106</v>
      </c>
      <c r="P852" s="179"/>
      <c r="Q852" s="179"/>
      <c r="R852" s="179">
        <v>0</v>
      </c>
      <c r="S852" s="159"/>
      <c r="T852" s="179" t="s">
        <v>106</v>
      </c>
      <c r="U852" s="185">
        <f t="shared" si="242"/>
        <v>0</v>
      </c>
      <c r="V852" s="181"/>
      <c r="W852" s="185">
        <f t="shared" si="240"/>
        <v>0</v>
      </c>
      <c r="X852" s="181"/>
      <c r="Y852" s="185">
        <f t="shared" si="241"/>
        <v>0</v>
      </c>
      <c r="Z852" s="186"/>
      <c r="AA852" s="153"/>
      <c r="AB852" s="153"/>
      <c r="AC852" s="153"/>
    </row>
    <row r="853" spans="1:29" ht="18.75" customHeight="1" x14ac:dyDescent="0.25">
      <c r="A853" s="166"/>
      <c r="B853" s="215" t="s">
        <v>116</v>
      </c>
      <c r="C853" s="198" t="str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/>
      </c>
      <c r="D853" s="152"/>
      <c r="E853" s="152"/>
      <c r="F853" s="192" t="s">
        <v>169</v>
      </c>
      <c r="G853" s="193" t="str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/>
      </c>
      <c r="H853" s="152"/>
      <c r="I853" s="439" t="s">
        <v>13</v>
      </c>
      <c r="J853" s="413"/>
      <c r="K853" s="37">
        <f>K851-K852</f>
        <v>42620.967741935485</v>
      </c>
      <c r="L853" s="183"/>
      <c r="M853" s="161"/>
      <c r="N853" s="178"/>
      <c r="O853" s="179" t="s">
        <v>109</v>
      </c>
      <c r="P853" s="179"/>
      <c r="Q853" s="179"/>
      <c r="R853" s="179">
        <v>0</v>
      </c>
      <c r="S853" s="159"/>
      <c r="T853" s="179" t="s">
        <v>109</v>
      </c>
      <c r="U853" s="185">
        <f t="shared" ref="U853:U855" si="243">IF($J$1="May",Y852,Y852)</f>
        <v>0</v>
      </c>
      <c r="V853" s="181"/>
      <c r="W853" s="185">
        <f t="shared" si="240"/>
        <v>0</v>
      </c>
      <c r="X853" s="181"/>
      <c r="Y853" s="185">
        <f t="shared" si="241"/>
        <v>0</v>
      </c>
      <c r="Z853" s="186"/>
      <c r="AA853" s="153"/>
      <c r="AB853" s="153"/>
      <c r="AC853" s="153"/>
    </row>
    <row r="854" spans="1:29" ht="18.75" customHeight="1" x14ac:dyDescent="0.25">
      <c r="A854" s="166"/>
      <c r="B854" s="152"/>
      <c r="C854" s="152"/>
      <c r="D854" s="152"/>
      <c r="E854" s="152"/>
      <c r="F854" s="152"/>
      <c r="G854" s="152"/>
      <c r="H854" s="152"/>
      <c r="I854" s="434"/>
      <c r="J854" s="435"/>
      <c r="K854" s="154"/>
      <c r="L854" s="189"/>
      <c r="M854" s="161"/>
      <c r="N854" s="178"/>
      <c r="O854" s="179" t="s">
        <v>85</v>
      </c>
      <c r="P854" s="179"/>
      <c r="Q854" s="179"/>
      <c r="R854" s="179">
        <v>0</v>
      </c>
      <c r="S854" s="159"/>
      <c r="T854" s="179" t="s">
        <v>85</v>
      </c>
      <c r="U854" s="185">
        <f t="shared" si="243"/>
        <v>0</v>
      </c>
      <c r="V854" s="181"/>
      <c r="W854" s="185">
        <f t="shared" si="240"/>
        <v>0</v>
      </c>
      <c r="X854" s="181"/>
      <c r="Y854" s="185">
        <f t="shared" si="241"/>
        <v>0</v>
      </c>
      <c r="Z854" s="186"/>
      <c r="AA854" s="153"/>
      <c r="AB854" s="153"/>
      <c r="AC854" s="153"/>
    </row>
    <row r="855" spans="1:29" ht="18.75" customHeight="1" x14ac:dyDescent="0.3">
      <c r="A855" s="166"/>
      <c r="B855" s="150"/>
      <c r="C855" s="150"/>
      <c r="D855" s="150"/>
      <c r="E855" s="150"/>
      <c r="F855" s="150"/>
      <c r="G855" s="150"/>
      <c r="H855" s="150"/>
      <c r="I855" s="434"/>
      <c r="J855" s="435"/>
      <c r="K855" s="154"/>
      <c r="L855" s="189"/>
      <c r="M855" s="161"/>
      <c r="N855" s="178"/>
      <c r="O855" s="179" t="s">
        <v>113</v>
      </c>
      <c r="P855" s="179">
        <v>30</v>
      </c>
      <c r="Q855" s="179">
        <v>1</v>
      </c>
      <c r="R855" s="179">
        <f t="shared" ref="R855:R860" si="244">IF(Q855="","",R854-Q855)</f>
        <v>-1</v>
      </c>
      <c r="S855" s="159"/>
      <c r="T855" s="179" t="s">
        <v>113</v>
      </c>
      <c r="U855" s="185">
        <f t="shared" si="243"/>
        <v>0</v>
      </c>
      <c r="V855" s="181"/>
      <c r="W855" s="185">
        <f t="shared" si="240"/>
        <v>0</v>
      </c>
      <c r="X855" s="181"/>
      <c r="Y855" s="185">
        <f t="shared" si="241"/>
        <v>0</v>
      </c>
      <c r="Z855" s="186"/>
      <c r="AA855" s="153"/>
      <c r="AB855" s="153"/>
      <c r="AC855" s="153"/>
    </row>
    <row r="856" spans="1:29" ht="18.75" customHeight="1" x14ac:dyDescent="0.3">
      <c r="A856" s="166"/>
      <c r="B856" s="150"/>
      <c r="C856" s="150"/>
      <c r="D856" s="150"/>
      <c r="E856" s="150"/>
      <c r="F856" s="150"/>
      <c r="G856" s="150"/>
      <c r="H856" s="150"/>
      <c r="I856" s="150"/>
      <c r="J856" s="150"/>
      <c r="K856" s="150"/>
      <c r="L856" s="189"/>
      <c r="M856" s="161"/>
      <c r="N856" s="178"/>
      <c r="O856" s="179" t="s">
        <v>115</v>
      </c>
      <c r="P856" s="179"/>
      <c r="Q856" s="179"/>
      <c r="R856" s="179" t="str">
        <f t="shared" si="244"/>
        <v/>
      </c>
      <c r="S856" s="159"/>
      <c r="T856" s="179" t="s">
        <v>115</v>
      </c>
      <c r="U856" s="185" t="str">
        <f t="shared" ref="U856:U857" si="245">IF($J$1="September",Y855,"")</f>
        <v/>
      </c>
      <c r="V856" s="181"/>
      <c r="W856" s="185" t="str">
        <f t="shared" si="240"/>
        <v/>
      </c>
      <c r="X856" s="181"/>
      <c r="Y856" s="185" t="str">
        <f t="shared" si="241"/>
        <v/>
      </c>
      <c r="Z856" s="186"/>
      <c r="AA856" s="153"/>
      <c r="AB856" s="153"/>
      <c r="AC856" s="153"/>
    </row>
    <row r="857" spans="1:29" ht="18.75" customHeight="1" thickBot="1" x14ac:dyDescent="0.3">
      <c r="A857" s="200"/>
      <c r="B857" s="216"/>
      <c r="C857" s="216"/>
      <c r="D857" s="216"/>
      <c r="E857" s="216"/>
      <c r="F857" s="216"/>
      <c r="G857" s="216"/>
      <c r="H857" s="216"/>
      <c r="I857" s="216"/>
      <c r="J857" s="216"/>
      <c r="K857" s="216"/>
      <c r="L857" s="202"/>
      <c r="M857" s="161"/>
      <c r="N857" s="178"/>
      <c r="O857" s="179" t="s">
        <v>118</v>
      </c>
      <c r="P857" s="179"/>
      <c r="Q857" s="179"/>
      <c r="R857" s="179" t="str">
        <f t="shared" si="244"/>
        <v/>
      </c>
      <c r="S857" s="159"/>
      <c r="T857" s="179" t="s">
        <v>118</v>
      </c>
      <c r="U857" s="185" t="str">
        <f t="shared" si="245"/>
        <v/>
      </c>
      <c r="V857" s="181"/>
      <c r="W857" s="185" t="str">
        <f t="shared" si="240"/>
        <v/>
      </c>
      <c r="X857" s="181"/>
      <c r="Y857" s="185" t="str">
        <f t="shared" si="241"/>
        <v/>
      </c>
      <c r="Z857" s="186"/>
      <c r="AA857" s="153"/>
      <c r="AB857" s="153"/>
      <c r="AC857" s="153"/>
    </row>
    <row r="858" spans="1:29" ht="18.75" customHeight="1" thickBot="1" x14ac:dyDescent="0.35">
      <c r="A858" s="150"/>
      <c r="B858" s="150"/>
      <c r="C858" s="150"/>
      <c r="D858" s="150"/>
      <c r="E858" s="150"/>
      <c r="F858" s="150"/>
      <c r="G858" s="150"/>
      <c r="H858" s="150"/>
      <c r="I858" s="150"/>
      <c r="J858" s="150"/>
      <c r="K858" s="150"/>
      <c r="L858" s="150"/>
      <c r="M858" s="161"/>
      <c r="N858" s="178"/>
      <c r="O858" s="179" t="s">
        <v>119</v>
      </c>
      <c r="P858" s="179"/>
      <c r="Q858" s="179"/>
      <c r="R858" s="179" t="str">
        <f t="shared" si="244"/>
        <v/>
      </c>
      <c r="S858" s="159"/>
      <c r="T858" s="179" t="s">
        <v>119</v>
      </c>
      <c r="U858" s="185" t="str">
        <f>IF($J$1="October",Y857,"")</f>
        <v/>
      </c>
      <c r="V858" s="181"/>
      <c r="W858" s="185" t="str">
        <f t="shared" si="240"/>
        <v/>
      </c>
      <c r="X858" s="181"/>
      <c r="Y858" s="185" t="str">
        <f t="shared" si="241"/>
        <v/>
      </c>
      <c r="Z858" s="186"/>
      <c r="AA858" s="153"/>
      <c r="AB858" s="153"/>
      <c r="AC858" s="153"/>
    </row>
    <row r="859" spans="1:29" ht="18.75" customHeight="1" x14ac:dyDescent="0.25">
      <c r="A859" s="436" t="s">
        <v>89</v>
      </c>
      <c r="B859" s="437"/>
      <c r="C859" s="437"/>
      <c r="D859" s="437"/>
      <c r="E859" s="437"/>
      <c r="F859" s="437"/>
      <c r="G859" s="437"/>
      <c r="H859" s="437"/>
      <c r="I859" s="437"/>
      <c r="J859" s="437"/>
      <c r="K859" s="437"/>
      <c r="L859" s="438"/>
      <c r="M859" s="161"/>
      <c r="N859" s="178"/>
      <c r="O859" s="179" t="s">
        <v>120</v>
      </c>
      <c r="P859" s="179"/>
      <c r="Q859" s="179"/>
      <c r="R859" s="179" t="str">
        <f t="shared" si="244"/>
        <v/>
      </c>
      <c r="S859" s="159"/>
      <c r="T859" s="179" t="s">
        <v>120</v>
      </c>
      <c r="U859" s="185" t="str">
        <f>IF($J$1="November",Y858,"")</f>
        <v/>
      </c>
      <c r="V859" s="181"/>
      <c r="W859" s="185" t="str">
        <f t="shared" si="240"/>
        <v/>
      </c>
      <c r="X859" s="181"/>
      <c r="Y859" s="185" t="str">
        <f t="shared" si="241"/>
        <v/>
      </c>
      <c r="Z859" s="186"/>
      <c r="AA859" s="153"/>
      <c r="AB859" s="153"/>
      <c r="AC859" s="153"/>
    </row>
    <row r="860" spans="1:29" ht="18.75" customHeight="1" x14ac:dyDescent="0.25">
      <c r="A860" s="166"/>
      <c r="B860" s="152"/>
      <c r="C860" s="443" t="s">
        <v>92</v>
      </c>
      <c r="D860" s="435"/>
      <c r="E860" s="435"/>
      <c r="F860" s="435"/>
      <c r="G860" s="167" t="str">
        <f>$J$1</f>
        <v>August</v>
      </c>
      <c r="H860" s="444">
        <f>$K$1</f>
        <v>2024</v>
      </c>
      <c r="I860" s="435"/>
      <c r="J860" s="152"/>
      <c r="K860" s="168"/>
      <c r="L860" s="169"/>
      <c r="M860" s="161"/>
      <c r="N860" s="178"/>
      <c r="O860" s="179" t="s">
        <v>121</v>
      </c>
      <c r="P860" s="179"/>
      <c r="Q860" s="179"/>
      <c r="R860" s="179" t="str">
        <f t="shared" si="244"/>
        <v/>
      </c>
      <c r="S860" s="159"/>
      <c r="T860" s="179" t="s">
        <v>121</v>
      </c>
      <c r="U860" s="185" t="str">
        <f>IF($J$1="Dec",Y859,"")</f>
        <v/>
      </c>
      <c r="V860" s="181"/>
      <c r="W860" s="185" t="str">
        <f t="shared" si="240"/>
        <v/>
      </c>
      <c r="X860" s="181"/>
      <c r="Y860" s="185" t="str">
        <f t="shared" si="241"/>
        <v/>
      </c>
      <c r="Z860" s="186"/>
      <c r="AA860" s="153"/>
      <c r="AB860" s="153"/>
      <c r="AC860" s="153"/>
    </row>
    <row r="861" spans="1:29" ht="18.75" customHeight="1" thickBot="1" x14ac:dyDescent="0.3">
      <c r="A861" s="166"/>
      <c r="B861" s="152"/>
      <c r="C861" s="152"/>
      <c r="D861" s="175"/>
      <c r="E861" s="175"/>
      <c r="F861" s="175"/>
      <c r="G861" s="175"/>
      <c r="H861" s="175"/>
      <c r="I861" s="152"/>
      <c r="J861" s="176" t="s">
        <v>99</v>
      </c>
      <c r="K861" s="154">
        <v>50000</v>
      </c>
      <c r="L861" s="177"/>
      <c r="M861" s="161"/>
      <c r="N861" s="217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21"/>
      <c r="AA861" s="153"/>
      <c r="AB861" s="153"/>
      <c r="AC861" s="153"/>
    </row>
    <row r="862" spans="1:29" ht="27.75" customHeight="1" thickBot="1" x14ac:dyDescent="0.3">
      <c r="A862" s="166"/>
      <c r="B862" s="152" t="s">
        <v>101</v>
      </c>
      <c r="C862" s="151" t="s">
        <v>303</v>
      </c>
      <c r="D862" s="152"/>
      <c r="E862" s="152"/>
      <c r="F862" s="152"/>
      <c r="G862" s="152"/>
      <c r="H862" s="182"/>
      <c r="I862" s="175"/>
      <c r="J862" s="152"/>
      <c r="K862" s="152"/>
      <c r="L862" s="18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</row>
    <row r="863" spans="1:29" ht="27.75" customHeight="1" x14ac:dyDescent="0.25">
      <c r="A863" s="166"/>
      <c r="B863" s="187" t="s">
        <v>103</v>
      </c>
      <c r="C863" s="213">
        <v>45474</v>
      </c>
      <c r="D863" s="152"/>
      <c r="E863" s="152"/>
      <c r="F863" s="439" t="s">
        <v>91</v>
      </c>
      <c r="G863" s="413"/>
      <c r="H863" s="152"/>
      <c r="I863" s="439" t="s">
        <v>104</v>
      </c>
      <c r="J863" s="412"/>
      <c r="K863" s="413"/>
      <c r="L863" s="189"/>
      <c r="M863" s="162"/>
      <c r="N863" s="163"/>
      <c r="O863" s="440" t="s">
        <v>90</v>
      </c>
      <c r="P863" s="441"/>
      <c r="Q863" s="441"/>
      <c r="R863" s="442"/>
      <c r="S863" s="164"/>
      <c r="T863" s="440" t="s">
        <v>91</v>
      </c>
      <c r="U863" s="441"/>
      <c r="V863" s="441"/>
      <c r="W863" s="441"/>
      <c r="X863" s="441"/>
      <c r="Y863" s="442"/>
      <c r="Z863" s="165"/>
      <c r="AA863" s="153"/>
      <c r="AB863" s="153"/>
      <c r="AC863" s="153"/>
    </row>
    <row r="864" spans="1:29" ht="27.75" customHeight="1" x14ac:dyDescent="0.25">
      <c r="A864" s="166"/>
      <c r="B864" s="152"/>
      <c r="C864" s="152"/>
      <c r="D864" s="152"/>
      <c r="E864" s="152"/>
      <c r="F864" s="152"/>
      <c r="G864" s="152"/>
      <c r="H864" s="190"/>
      <c r="I864" s="152"/>
      <c r="J864" s="152"/>
      <c r="K864" s="152"/>
      <c r="L864" s="191"/>
      <c r="M864" s="170"/>
      <c r="N864" s="171"/>
      <c r="O864" s="172" t="s">
        <v>93</v>
      </c>
      <c r="P864" s="172" t="s">
        <v>94</v>
      </c>
      <c r="Q864" s="172" t="s">
        <v>95</v>
      </c>
      <c r="R864" s="172" t="s">
        <v>96</v>
      </c>
      <c r="S864" s="173"/>
      <c r="T864" s="172" t="s">
        <v>93</v>
      </c>
      <c r="U864" s="172" t="s">
        <v>97</v>
      </c>
      <c r="V864" s="172" t="s">
        <v>9</v>
      </c>
      <c r="W864" s="172" t="s">
        <v>10</v>
      </c>
      <c r="X864" s="172" t="s">
        <v>11</v>
      </c>
      <c r="Y864" s="172" t="s">
        <v>98</v>
      </c>
      <c r="Z864" s="174"/>
      <c r="AA864" s="153"/>
      <c r="AB864" s="153"/>
      <c r="AC864" s="153"/>
    </row>
    <row r="865" spans="1:29" ht="18.75" customHeight="1" x14ac:dyDescent="0.25">
      <c r="A865" s="166"/>
      <c r="B865" s="445" t="s">
        <v>90</v>
      </c>
      <c r="C865" s="413"/>
      <c r="D865" s="152"/>
      <c r="E865" s="152"/>
      <c r="F865" s="192" t="s">
        <v>107</v>
      </c>
      <c r="G865" s="193" t="str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/>
      </c>
      <c r="H865" s="190"/>
      <c r="I865" s="194">
        <f>IF(C869&gt;0,$K$2,C867)</f>
        <v>31</v>
      </c>
      <c r="J865" s="195" t="s">
        <v>108</v>
      </c>
      <c r="K865" s="196">
        <f>K861/$K$2*I865</f>
        <v>50000</v>
      </c>
      <c r="L865" s="197"/>
      <c r="M865" s="161"/>
      <c r="N865" s="178"/>
      <c r="O865" s="179" t="s">
        <v>100</v>
      </c>
      <c r="P865" s="179"/>
      <c r="Q865" s="179"/>
      <c r="R865" s="179"/>
      <c r="S865" s="180"/>
      <c r="T865" s="179" t="s">
        <v>100</v>
      </c>
      <c r="U865" s="181"/>
      <c r="V865" s="181"/>
      <c r="W865" s="181">
        <f>V865+U865</f>
        <v>0</v>
      </c>
      <c r="X865" s="181"/>
      <c r="Y865" s="181">
        <f>W865-X865</f>
        <v>0</v>
      </c>
      <c r="Z865" s="174"/>
      <c r="AA865" s="153"/>
      <c r="AB865" s="153"/>
      <c r="AC865" s="153"/>
    </row>
    <row r="866" spans="1:29" ht="18.75" customHeight="1" x14ac:dyDescent="0.25">
      <c r="A866" s="166"/>
      <c r="B866" s="198"/>
      <c r="C866" s="198"/>
      <c r="D866" s="152"/>
      <c r="E866" s="152"/>
      <c r="F866" s="192" t="s">
        <v>9</v>
      </c>
      <c r="G866" s="193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0</v>
      </c>
      <c r="H866" s="190"/>
      <c r="I866" s="214"/>
      <c r="J866" s="195" t="s">
        <v>110</v>
      </c>
      <c r="K866" s="193">
        <f>K861/$K$2/8*I866</f>
        <v>0</v>
      </c>
      <c r="L866" s="199"/>
      <c r="M866" s="162"/>
      <c r="N866" s="184"/>
      <c r="O866" s="179" t="s">
        <v>102</v>
      </c>
      <c r="P866" s="179"/>
      <c r="Q866" s="179"/>
      <c r="R866" s="179" t="str">
        <f t="shared" ref="R866:R867" si="246">IF(Q866="","",R865-Q866)</f>
        <v/>
      </c>
      <c r="S866" s="159"/>
      <c r="T866" s="179" t="s">
        <v>102</v>
      </c>
      <c r="U866" s="185">
        <f>Y865</f>
        <v>0</v>
      </c>
      <c r="V866" s="181"/>
      <c r="W866" s="185">
        <f t="shared" ref="W866:W876" si="247">IF(U866="","",U866+V866)</f>
        <v>0</v>
      </c>
      <c r="X866" s="181"/>
      <c r="Y866" s="185">
        <f t="shared" ref="Y866:Y876" si="248">IF(W866="","",W866-X866)</f>
        <v>0</v>
      </c>
      <c r="Z866" s="186"/>
      <c r="AA866" s="153"/>
      <c r="AB866" s="153"/>
      <c r="AC866" s="153"/>
    </row>
    <row r="867" spans="1:29" ht="18.75" customHeight="1" x14ac:dyDescent="0.25">
      <c r="A867" s="166"/>
      <c r="B867" s="192" t="s">
        <v>94</v>
      </c>
      <c r="C867" s="198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0</v>
      </c>
      <c r="D867" s="152"/>
      <c r="E867" s="152"/>
      <c r="F867" s="192" t="s">
        <v>111</v>
      </c>
      <c r="G867" s="193" t="str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/>
      </c>
      <c r="H867" s="190"/>
      <c r="I867" s="446" t="s">
        <v>112</v>
      </c>
      <c r="J867" s="413"/>
      <c r="K867" s="193">
        <f>K865+K866</f>
        <v>50000</v>
      </c>
      <c r="L867" s="199"/>
      <c r="M867" s="161"/>
      <c r="N867" s="178"/>
      <c r="O867" s="179" t="s">
        <v>105</v>
      </c>
      <c r="P867" s="179"/>
      <c r="Q867" s="179"/>
      <c r="R867" s="179" t="str">
        <f t="shared" si="246"/>
        <v/>
      </c>
      <c r="S867" s="159"/>
      <c r="T867" s="179" t="s">
        <v>105</v>
      </c>
      <c r="U867" s="185">
        <f t="shared" ref="U867:U868" si="249">IF($J$1="April",Y866,Y866)</f>
        <v>0</v>
      </c>
      <c r="V867" s="181"/>
      <c r="W867" s="185">
        <f t="shared" si="247"/>
        <v>0</v>
      </c>
      <c r="X867" s="181"/>
      <c r="Y867" s="185">
        <f t="shared" si="248"/>
        <v>0</v>
      </c>
      <c r="Z867" s="186"/>
      <c r="AA867" s="153"/>
      <c r="AB867" s="153"/>
      <c r="AC867" s="153"/>
    </row>
    <row r="868" spans="1:29" ht="18.75" customHeight="1" x14ac:dyDescent="0.25">
      <c r="A868" s="166"/>
      <c r="B868" s="192" t="s">
        <v>95</v>
      </c>
      <c r="C868" s="198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68" s="152"/>
      <c r="E868" s="152"/>
      <c r="F868" s="192" t="s">
        <v>11</v>
      </c>
      <c r="G868" s="193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0</v>
      </c>
      <c r="H868" s="190"/>
      <c r="I868" s="446" t="s">
        <v>114</v>
      </c>
      <c r="J868" s="413"/>
      <c r="K868" s="193">
        <f>G868</f>
        <v>0</v>
      </c>
      <c r="L868" s="199"/>
      <c r="M868" s="161"/>
      <c r="N868" s="178"/>
      <c r="O868" s="179" t="s">
        <v>106</v>
      </c>
      <c r="P868" s="179"/>
      <c r="Q868" s="179"/>
      <c r="R868" s="179">
        <v>0</v>
      </c>
      <c r="S868" s="159"/>
      <c r="T868" s="179" t="s">
        <v>106</v>
      </c>
      <c r="U868" s="185">
        <f t="shared" si="249"/>
        <v>0</v>
      </c>
      <c r="V868" s="181"/>
      <c r="W868" s="185">
        <f t="shared" si="247"/>
        <v>0</v>
      </c>
      <c r="X868" s="181"/>
      <c r="Y868" s="185">
        <f t="shared" si="248"/>
        <v>0</v>
      </c>
      <c r="Z868" s="186"/>
      <c r="AA868" s="153"/>
      <c r="AB868" s="153"/>
      <c r="AC868" s="153"/>
    </row>
    <row r="869" spans="1:29" ht="18.75" customHeight="1" x14ac:dyDescent="0.25">
      <c r="A869" s="166"/>
      <c r="B869" s="215" t="s">
        <v>116</v>
      </c>
      <c r="C869" s="198" t="str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/>
      </c>
      <c r="D869" s="152"/>
      <c r="E869" s="152"/>
      <c r="F869" s="192" t="s">
        <v>169</v>
      </c>
      <c r="G869" s="193" t="str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/>
      </c>
      <c r="H869" s="152"/>
      <c r="I869" s="439" t="s">
        <v>13</v>
      </c>
      <c r="J869" s="413"/>
      <c r="K869" s="37">
        <f>K867-K868</f>
        <v>50000</v>
      </c>
      <c r="L869" s="183"/>
      <c r="M869" s="161"/>
      <c r="N869" s="178"/>
      <c r="O869" s="179" t="s">
        <v>109</v>
      </c>
      <c r="P869" s="179"/>
      <c r="Q869" s="179"/>
      <c r="R869" s="179">
        <v>0</v>
      </c>
      <c r="S869" s="159"/>
      <c r="T869" s="179" t="s">
        <v>109</v>
      </c>
      <c r="U869" s="185">
        <f t="shared" ref="U869:U871" si="250">IF($J$1="May",Y868,Y868)</f>
        <v>0</v>
      </c>
      <c r="V869" s="181"/>
      <c r="W869" s="185">
        <f t="shared" si="247"/>
        <v>0</v>
      </c>
      <c r="X869" s="181"/>
      <c r="Y869" s="185">
        <f t="shared" si="248"/>
        <v>0</v>
      </c>
      <c r="Z869" s="186"/>
      <c r="AA869" s="153"/>
      <c r="AB869" s="153"/>
      <c r="AC869" s="153"/>
    </row>
    <row r="870" spans="1:29" ht="18.75" customHeight="1" x14ac:dyDescent="0.25">
      <c r="A870" s="166"/>
      <c r="B870" s="152"/>
      <c r="C870" s="152"/>
      <c r="D870" s="152"/>
      <c r="E870" s="152"/>
      <c r="F870" s="152"/>
      <c r="G870" s="152"/>
      <c r="H870" s="152"/>
      <c r="I870" s="434"/>
      <c r="J870" s="435"/>
      <c r="K870" s="154"/>
      <c r="L870" s="189"/>
      <c r="M870" s="161"/>
      <c r="N870" s="178"/>
      <c r="O870" s="179" t="s">
        <v>85</v>
      </c>
      <c r="P870" s="179"/>
      <c r="Q870" s="179"/>
      <c r="R870" s="179">
        <v>0</v>
      </c>
      <c r="S870" s="159"/>
      <c r="T870" s="179" t="s">
        <v>85</v>
      </c>
      <c r="U870" s="185">
        <f t="shared" si="250"/>
        <v>0</v>
      </c>
      <c r="V870" s="181"/>
      <c r="W870" s="185">
        <f t="shared" si="247"/>
        <v>0</v>
      </c>
      <c r="X870" s="181"/>
      <c r="Y870" s="185">
        <f t="shared" si="248"/>
        <v>0</v>
      </c>
      <c r="Z870" s="186"/>
      <c r="AA870" s="153"/>
      <c r="AB870" s="153"/>
      <c r="AC870" s="153"/>
    </row>
    <row r="871" spans="1:29" ht="18.75" customHeight="1" x14ac:dyDescent="0.3">
      <c r="A871" s="166"/>
      <c r="B871" s="150"/>
      <c r="C871" s="150"/>
      <c r="D871" s="150"/>
      <c r="E871" s="150"/>
      <c r="F871" s="150"/>
      <c r="G871" s="150"/>
      <c r="H871" s="150"/>
      <c r="I871" s="434"/>
      <c r="J871" s="435"/>
      <c r="K871" s="154"/>
      <c r="L871" s="189"/>
      <c r="M871" s="161"/>
      <c r="N871" s="178"/>
      <c r="O871" s="179" t="s">
        <v>113</v>
      </c>
      <c r="P871" s="179">
        <v>31</v>
      </c>
      <c r="Q871" s="179">
        <v>0</v>
      </c>
      <c r="R871" s="179">
        <f t="shared" ref="R871:R876" si="251">IF(Q871="","",R870-Q871)</f>
        <v>0</v>
      </c>
      <c r="S871" s="159"/>
      <c r="T871" s="179" t="s">
        <v>113</v>
      </c>
      <c r="U871" s="185">
        <f t="shared" si="250"/>
        <v>0</v>
      </c>
      <c r="V871" s="181"/>
      <c r="W871" s="185">
        <f t="shared" si="247"/>
        <v>0</v>
      </c>
      <c r="X871" s="181"/>
      <c r="Y871" s="185">
        <f t="shared" si="248"/>
        <v>0</v>
      </c>
      <c r="Z871" s="186"/>
      <c r="AA871" s="153"/>
      <c r="AB871" s="153"/>
      <c r="AC871" s="153"/>
    </row>
    <row r="872" spans="1:29" ht="18.75" customHeight="1" x14ac:dyDescent="0.3">
      <c r="A872" s="166"/>
      <c r="B872" s="150"/>
      <c r="C872" s="150"/>
      <c r="D872" s="150"/>
      <c r="E872" s="150"/>
      <c r="F872" s="150"/>
      <c r="G872" s="150"/>
      <c r="H872" s="150"/>
      <c r="I872" s="150"/>
      <c r="J872" s="150"/>
      <c r="K872" s="150"/>
      <c r="L872" s="189"/>
      <c r="M872" s="161"/>
      <c r="N872" s="178"/>
      <c r="O872" s="179" t="s">
        <v>115</v>
      </c>
      <c r="P872" s="179"/>
      <c r="Q872" s="179"/>
      <c r="R872" s="179" t="str">
        <f t="shared" si="251"/>
        <v/>
      </c>
      <c r="S872" s="159"/>
      <c r="T872" s="179" t="s">
        <v>115</v>
      </c>
      <c r="U872" s="185" t="str">
        <f t="shared" ref="U872:U873" si="252">IF($J$1="September",Y871,"")</f>
        <v/>
      </c>
      <c r="V872" s="181"/>
      <c r="W872" s="185" t="str">
        <f t="shared" si="247"/>
        <v/>
      </c>
      <c r="X872" s="181"/>
      <c r="Y872" s="185" t="str">
        <f t="shared" si="248"/>
        <v/>
      </c>
      <c r="Z872" s="186"/>
      <c r="AA872" s="153"/>
      <c r="AB872" s="153"/>
      <c r="AC872" s="153"/>
    </row>
    <row r="873" spans="1:29" ht="18.75" customHeight="1" thickBot="1" x14ac:dyDescent="0.3">
      <c r="A873" s="200"/>
      <c r="B873" s="216"/>
      <c r="C873" s="216"/>
      <c r="D873" s="216"/>
      <c r="E873" s="216"/>
      <c r="F873" s="216"/>
      <c r="G873" s="216"/>
      <c r="H873" s="216"/>
      <c r="I873" s="216"/>
      <c r="J873" s="216"/>
      <c r="K873" s="216"/>
      <c r="L873" s="202"/>
      <c r="M873" s="161"/>
      <c r="N873" s="178"/>
      <c r="O873" s="179" t="s">
        <v>118</v>
      </c>
      <c r="P873" s="179"/>
      <c r="Q873" s="179"/>
      <c r="R873" s="179" t="str">
        <f t="shared" si="251"/>
        <v/>
      </c>
      <c r="S873" s="159"/>
      <c r="T873" s="179" t="s">
        <v>118</v>
      </c>
      <c r="U873" s="185" t="str">
        <f t="shared" si="252"/>
        <v/>
      </c>
      <c r="V873" s="181"/>
      <c r="W873" s="185" t="str">
        <f t="shared" si="247"/>
        <v/>
      </c>
      <c r="X873" s="181"/>
      <c r="Y873" s="185" t="str">
        <f t="shared" si="248"/>
        <v/>
      </c>
      <c r="Z873" s="186"/>
      <c r="AA873" s="153"/>
      <c r="AB873" s="153"/>
      <c r="AC873" s="153"/>
    </row>
    <row r="874" spans="1:29" ht="18.75" customHeight="1" thickBot="1" x14ac:dyDescent="0.35">
      <c r="A874" s="150"/>
      <c r="B874" s="150"/>
      <c r="C874" s="150"/>
      <c r="D874" s="150"/>
      <c r="E874" s="150"/>
      <c r="F874" s="150"/>
      <c r="G874" s="150"/>
      <c r="H874" s="150"/>
      <c r="I874" s="150"/>
      <c r="J874" s="150"/>
      <c r="K874" s="150"/>
      <c r="L874" s="150"/>
      <c r="M874" s="161"/>
      <c r="N874" s="178"/>
      <c r="O874" s="179" t="s">
        <v>119</v>
      </c>
      <c r="P874" s="179"/>
      <c r="Q874" s="179"/>
      <c r="R874" s="179" t="str">
        <f t="shared" si="251"/>
        <v/>
      </c>
      <c r="S874" s="159"/>
      <c r="T874" s="179" t="s">
        <v>119</v>
      </c>
      <c r="U874" s="185" t="str">
        <f>IF($J$1="October",Y873,"")</f>
        <v/>
      </c>
      <c r="V874" s="181"/>
      <c r="W874" s="185" t="str">
        <f t="shared" si="247"/>
        <v/>
      </c>
      <c r="X874" s="181"/>
      <c r="Y874" s="185" t="str">
        <f t="shared" si="248"/>
        <v/>
      </c>
      <c r="Z874" s="186"/>
      <c r="AA874" s="153"/>
      <c r="AB874" s="153"/>
      <c r="AC874" s="153"/>
    </row>
    <row r="875" spans="1:29" ht="18.75" customHeight="1" x14ac:dyDescent="0.25">
      <c r="A875" s="436" t="s">
        <v>89</v>
      </c>
      <c r="B875" s="437"/>
      <c r="C875" s="437"/>
      <c r="D875" s="437"/>
      <c r="E875" s="437"/>
      <c r="F875" s="437"/>
      <c r="G875" s="437"/>
      <c r="H875" s="437"/>
      <c r="I875" s="437"/>
      <c r="J875" s="437"/>
      <c r="K875" s="437"/>
      <c r="L875" s="438"/>
      <c r="M875" s="161"/>
      <c r="N875" s="178"/>
      <c r="O875" s="179" t="s">
        <v>120</v>
      </c>
      <c r="P875" s="179"/>
      <c r="Q875" s="179"/>
      <c r="R875" s="179" t="str">
        <f t="shared" si="251"/>
        <v/>
      </c>
      <c r="S875" s="159"/>
      <c r="T875" s="179" t="s">
        <v>120</v>
      </c>
      <c r="U875" s="185" t="str">
        <f>IF($J$1="November",Y874,"")</f>
        <v/>
      </c>
      <c r="V875" s="181"/>
      <c r="W875" s="185" t="str">
        <f t="shared" si="247"/>
        <v/>
      </c>
      <c r="X875" s="181"/>
      <c r="Y875" s="185" t="str">
        <f t="shared" si="248"/>
        <v/>
      </c>
      <c r="Z875" s="186"/>
      <c r="AA875" s="153"/>
      <c r="AB875" s="153"/>
      <c r="AC875" s="153"/>
    </row>
    <row r="876" spans="1:29" ht="18.75" customHeight="1" x14ac:dyDescent="0.25">
      <c r="A876" s="166"/>
      <c r="B876" s="152"/>
      <c r="C876" s="443" t="s">
        <v>92</v>
      </c>
      <c r="D876" s="435"/>
      <c r="E876" s="435"/>
      <c r="F876" s="435"/>
      <c r="G876" s="167" t="str">
        <f>$J$1</f>
        <v>August</v>
      </c>
      <c r="H876" s="444">
        <f>$K$1</f>
        <v>2024</v>
      </c>
      <c r="I876" s="435"/>
      <c r="J876" s="152"/>
      <c r="K876" s="168"/>
      <c r="L876" s="169"/>
      <c r="M876" s="161"/>
      <c r="N876" s="178"/>
      <c r="O876" s="179" t="s">
        <v>121</v>
      </c>
      <c r="P876" s="179"/>
      <c r="Q876" s="179"/>
      <c r="R876" s="179" t="str">
        <f t="shared" si="251"/>
        <v/>
      </c>
      <c r="S876" s="159"/>
      <c r="T876" s="179" t="s">
        <v>121</v>
      </c>
      <c r="U876" s="185" t="str">
        <f>IF($J$1="Dec",Y875,"")</f>
        <v/>
      </c>
      <c r="V876" s="181"/>
      <c r="W876" s="185" t="str">
        <f t="shared" si="247"/>
        <v/>
      </c>
      <c r="X876" s="181"/>
      <c r="Y876" s="185" t="str">
        <f t="shared" si="248"/>
        <v/>
      </c>
      <c r="Z876" s="186"/>
      <c r="AA876" s="153"/>
      <c r="AB876" s="153"/>
      <c r="AC876" s="153"/>
    </row>
    <row r="877" spans="1:29" ht="18.75" customHeight="1" thickBot="1" x14ac:dyDescent="0.3">
      <c r="A877" s="166"/>
      <c r="B877" s="152"/>
      <c r="C877" s="152"/>
      <c r="D877" s="175"/>
      <c r="E877" s="175"/>
      <c r="F877" s="175"/>
      <c r="G877" s="175"/>
      <c r="H877" s="175"/>
      <c r="I877" s="152"/>
      <c r="J877" s="176" t="s">
        <v>99</v>
      </c>
      <c r="K877" s="154">
        <v>50000</v>
      </c>
      <c r="L877" s="177"/>
      <c r="M877" s="161"/>
      <c r="N877" s="217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21"/>
      <c r="AA877" s="153"/>
      <c r="AB877" s="153"/>
      <c r="AC877" s="153"/>
    </row>
    <row r="878" spans="1:29" ht="27.75" customHeight="1" thickBot="1" x14ac:dyDescent="0.3">
      <c r="A878" s="166"/>
      <c r="B878" s="152" t="s">
        <v>101</v>
      </c>
      <c r="C878" s="261" t="s">
        <v>61</v>
      </c>
      <c r="D878" s="152"/>
      <c r="E878" s="152"/>
      <c r="F878" s="152"/>
      <c r="G878" s="152"/>
      <c r="H878" s="182"/>
      <c r="I878" s="175"/>
      <c r="J878" s="152"/>
      <c r="K878" s="152"/>
      <c r="L878" s="18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</row>
    <row r="879" spans="1:29" ht="27.75" customHeight="1" x14ac:dyDescent="0.25">
      <c r="A879" s="166"/>
      <c r="B879" s="187" t="s">
        <v>103</v>
      </c>
      <c r="C879" s="213">
        <v>45474</v>
      </c>
      <c r="D879" s="152"/>
      <c r="E879" s="152"/>
      <c r="F879" s="439" t="s">
        <v>91</v>
      </c>
      <c r="G879" s="413"/>
      <c r="H879" s="152"/>
      <c r="I879" s="439" t="s">
        <v>104</v>
      </c>
      <c r="J879" s="412"/>
      <c r="K879" s="413"/>
      <c r="L879" s="189"/>
      <c r="M879" s="162"/>
      <c r="N879" s="163"/>
      <c r="O879" s="440" t="s">
        <v>90</v>
      </c>
      <c r="P879" s="441"/>
      <c r="Q879" s="441"/>
      <c r="R879" s="442"/>
      <c r="S879" s="164"/>
      <c r="T879" s="440" t="s">
        <v>91</v>
      </c>
      <c r="U879" s="441"/>
      <c r="V879" s="441"/>
      <c r="W879" s="441"/>
      <c r="X879" s="441"/>
      <c r="Y879" s="442"/>
      <c r="Z879" s="165"/>
      <c r="AA879" s="153"/>
      <c r="AB879" s="153"/>
      <c r="AC879" s="153"/>
    </row>
    <row r="880" spans="1:29" ht="27.75" customHeight="1" x14ac:dyDescent="0.25">
      <c r="A880" s="166"/>
      <c r="B880" s="152"/>
      <c r="C880" s="152"/>
      <c r="D880" s="152"/>
      <c r="E880" s="152"/>
      <c r="F880" s="152"/>
      <c r="G880" s="152"/>
      <c r="H880" s="190"/>
      <c r="I880" s="152"/>
      <c r="J880" s="152"/>
      <c r="K880" s="152"/>
      <c r="L880" s="191"/>
      <c r="M880" s="170"/>
      <c r="N880" s="171"/>
      <c r="O880" s="172" t="s">
        <v>93</v>
      </c>
      <c r="P880" s="172" t="s">
        <v>94</v>
      </c>
      <c r="Q880" s="172" t="s">
        <v>95</v>
      </c>
      <c r="R880" s="172" t="s">
        <v>96</v>
      </c>
      <c r="S880" s="173"/>
      <c r="T880" s="172" t="s">
        <v>93</v>
      </c>
      <c r="U880" s="172" t="s">
        <v>97</v>
      </c>
      <c r="V880" s="172" t="s">
        <v>9</v>
      </c>
      <c r="W880" s="172" t="s">
        <v>10</v>
      </c>
      <c r="X880" s="172" t="s">
        <v>11</v>
      </c>
      <c r="Y880" s="172" t="s">
        <v>98</v>
      </c>
      <c r="Z880" s="174"/>
      <c r="AA880" s="153"/>
      <c r="AB880" s="153"/>
      <c r="AC880" s="153"/>
    </row>
    <row r="881" spans="1:29" ht="18.75" customHeight="1" x14ac:dyDescent="0.25">
      <c r="A881" s="166"/>
      <c r="B881" s="445" t="s">
        <v>90</v>
      </c>
      <c r="C881" s="413"/>
      <c r="D881" s="152"/>
      <c r="E881" s="152"/>
      <c r="F881" s="192" t="s">
        <v>107</v>
      </c>
      <c r="G881" s="193" t="str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/>
      </c>
      <c r="H881" s="190"/>
      <c r="I881" s="194">
        <f>IF(C885&gt;0,$K$2,C883)</f>
        <v>31</v>
      </c>
      <c r="J881" s="195" t="s">
        <v>108</v>
      </c>
      <c r="K881" s="196">
        <f>K877/$K$2*I881</f>
        <v>50000</v>
      </c>
      <c r="L881" s="197"/>
      <c r="M881" s="161"/>
      <c r="N881" s="178"/>
      <c r="O881" s="179" t="s">
        <v>100</v>
      </c>
      <c r="P881" s="179"/>
      <c r="Q881" s="179"/>
      <c r="R881" s="179"/>
      <c r="S881" s="180"/>
      <c r="T881" s="179" t="s">
        <v>100</v>
      </c>
      <c r="U881" s="181"/>
      <c r="V881" s="181"/>
      <c r="W881" s="181">
        <f>V881+U881</f>
        <v>0</v>
      </c>
      <c r="X881" s="181"/>
      <c r="Y881" s="181">
        <f>W881-X881</f>
        <v>0</v>
      </c>
      <c r="Z881" s="174"/>
      <c r="AA881" s="153"/>
      <c r="AB881" s="153"/>
      <c r="AC881" s="153"/>
    </row>
    <row r="882" spans="1:29" ht="18.75" customHeight="1" x14ac:dyDescent="0.25">
      <c r="A882" s="166"/>
      <c r="B882" s="198"/>
      <c r="C882" s="198"/>
      <c r="D882" s="152"/>
      <c r="E882" s="152"/>
      <c r="F882" s="192" t="s">
        <v>9</v>
      </c>
      <c r="G882" s="193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2" s="190"/>
      <c r="I882" s="214"/>
      <c r="J882" s="195" t="s">
        <v>110</v>
      </c>
      <c r="K882" s="193">
        <f>K877/$K$2/8*I882</f>
        <v>0</v>
      </c>
      <c r="L882" s="199"/>
      <c r="M882" s="162"/>
      <c r="N882" s="184"/>
      <c r="O882" s="179" t="s">
        <v>102</v>
      </c>
      <c r="P882" s="179"/>
      <c r="Q882" s="179"/>
      <c r="R882" s="179" t="str">
        <f t="shared" ref="R882:R883" si="253">IF(Q882="","",R881-Q882)</f>
        <v/>
      </c>
      <c r="S882" s="159"/>
      <c r="T882" s="179" t="s">
        <v>102</v>
      </c>
      <c r="U882" s="185">
        <f>Y881</f>
        <v>0</v>
      </c>
      <c r="V882" s="181"/>
      <c r="W882" s="185">
        <f t="shared" ref="W882:W892" si="254">IF(U882="","",U882+V882)</f>
        <v>0</v>
      </c>
      <c r="X882" s="181"/>
      <c r="Y882" s="185">
        <f t="shared" ref="Y882:Y892" si="255">IF(W882="","",W882-X882)</f>
        <v>0</v>
      </c>
      <c r="Z882" s="186"/>
      <c r="AA882" s="153"/>
      <c r="AB882" s="153"/>
      <c r="AC882" s="153"/>
    </row>
    <row r="883" spans="1:29" ht="18.75" customHeight="1" x14ac:dyDescent="0.25">
      <c r="A883" s="166"/>
      <c r="B883" s="192" t="s">
        <v>94</v>
      </c>
      <c r="C883" s="198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0</v>
      </c>
      <c r="D883" s="152"/>
      <c r="E883" s="152"/>
      <c r="F883" s="192" t="s">
        <v>111</v>
      </c>
      <c r="G883" s="193" t="str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/>
      </c>
      <c r="H883" s="190"/>
      <c r="I883" s="446" t="s">
        <v>112</v>
      </c>
      <c r="J883" s="413"/>
      <c r="K883" s="193">
        <f>K881+K882</f>
        <v>50000</v>
      </c>
      <c r="L883" s="199"/>
      <c r="M883" s="161"/>
      <c r="N883" s="178"/>
      <c r="O883" s="179" t="s">
        <v>105</v>
      </c>
      <c r="P883" s="179"/>
      <c r="Q883" s="179"/>
      <c r="R883" s="179" t="str">
        <f t="shared" si="253"/>
        <v/>
      </c>
      <c r="S883" s="159"/>
      <c r="T883" s="179" t="s">
        <v>105</v>
      </c>
      <c r="U883" s="185">
        <f t="shared" ref="U883:U884" si="256">IF($J$1="April",Y882,Y882)</f>
        <v>0</v>
      </c>
      <c r="V883" s="181"/>
      <c r="W883" s="185">
        <f t="shared" si="254"/>
        <v>0</v>
      </c>
      <c r="X883" s="181"/>
      <c r="Y883" s="185">
        <f t="shared" si="255"/>
        <v>0</v>
      </c>
      <c r="Z883" s="186"/>
      <c r="AA883" s="153"/>
      <c r="AB883" s="153"/>
      <c r="AC883" s="153"/>
    </row>
    <row r="884" spans="1:29" ht="18.75" customHeight="1" x14ac:dyDescent="0.25">
      <c r="A884" s="166"/>
      <c r="B884" s="192" t="s">
        <v>95</v>
      </c>
      <c r="C884" s="198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4" s="152"/>
      <c r="E884" s="152"/>
      <c r="F884" s="192" t="s">
        <v>11</v>
      </c>
      <c r="G884" s="193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4" s="190"/>
      <c r="I884" s="446" t="s">
        <v>114</v>
      </c>
      <c r="J884" s="413"/>
      <c r="K884" s="193">
        <f>G884</f>
        <v>0</v>
      </c>
      <c r="L884" s="199"/>
      <c r="M884" s="161"/>
      <c r="N884" s="178"/>
      <c r="O884" s="179" t="s">
        <v>106</v>
      </c>
      <c r="P884" s="179"/>
      <c r="Q884" s="179"/>
      <c r="R884" s="179">
        <v>0</v>
      </c>
      <c r="S884" s="159"/>
      <c r="T884" s="179" t="s">
        <v>106</v>
      </c>
      <c r="U884" s="185">
        <f t="shared" si="256"/>
        <v>0</v>
      </c>
      <c r="V884" s="181"/>
      <c r="W884" s="185">
        <f t="shared" si="254"/>
        <v>0</v>
      </c>
      <c r="X884" s="181"/>
      <c r="Y884" s="185">
        <f t="shared" si="255"/>
        <v>0</v>
      </c>
      <c r="Z884" s="186"/>
      <c r="AA884" s="153"/>
      <c r="AB884" s="153"/>
      <c r="AC884" s="153"/>
    </row>
    <row r="885" spans="1:29" ht="18.75" customHeight="1" x14ac:dyDescent="0.25">
      <c r="A885" s="166"/>
      <c r="B885" s="215" t="s">
        <v>116</v>
      </c>
      <c r="C885" s="198" t="str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/>
      </c>
      <c r="D885" s="152"/>
      <c r="E885" s="152"/>
      <c r="F885" s="192" t="s">
        <v>169</v>
      </c>
      <c r="G885" s="193" t="str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/>
      </c>
      <c r="H885" s="152"/>
      <c r="I885" s="439" t="s">
        <v>13</v>
      </c>
      <c r="J885" s="413"/>
      <c r="K885" s="37">
        <f>K883-K884</f>
        <v>50000</v>
      </c>
      <c r="L885" s="183"/>
      <c r="M885" s="161"/>
      <c r="N885" s="178"/>
      <c r="O885" s="179" t="s">
        <v>109</v>
      </c>
      <c r="P885" s="179"/>
      <c r="Q885" s="179"/>
      <c r="R885" s="179">
        <v>0</v>
      </c>
      <c r="S885" s="159"/>
      <c r="T885" s="179" t="s">
        <v>109</v>
      </c>
      <c r="U885" s="185">
        <f t="shared" ref="U885:U887" si="257">IF($J$1="May",Y884,Y884)</f>
        <v>0</v>
      </c>
      <c r="V885" s="181"/>
      <c r="W885" s="185">
        <f t="shared" si="254"/>
        <v>0</v>
      </c>
      <c r="X885" s="181"/>
      <c r="Y885" s="185">
        <f t="shared" si="255"/>
        <v>0</v>
      </c>
      <c r="Z885" s="186"/>
      <c r="AA885" s="153"/>
      <c r="AB885" s="153"/>
      <c r="AC885" s="153"/>
    </row>
    <row r="886" spans="1:29" ht="18.75" customHeight="1" x14ac:dyDescent="0.25">
      <c r="A886" s="166"/>
      <c r="B886" s="152"/>
      <c r="C886" s="152"/>
      <c r="D886" s="152"/>
      <c r="E886" s="152"/>
      <c r="F886" s="152"/>
      <c r="G886" s="152"/>
      <c r="H886" s="152"/>
      <c r="I886" s="434"/>
      <c r="J886" s="435"/>
      <c r="K886" s="154"/>
      <c r="L886" s="189"/>
      <c r="M886" s="161"/>
      <c r="N886" s="178"/>
      <c r="O886" s="179" t="s">
        <v>85</v>
      </c>
      <c r="P886" s="179"/>
      <c r="Q886" s="179"/>
      <c r="R886" s="179">
        <v>0</v>
      </c>
      <c r="S886" s="159"/>
      <c r="T886" s="179" t="s">
        <v>85</v>
      </c>
      <c r="U886" s="185">
        <f t="shared" si="257"/>
        <v>0</v>
      </c>
      <c r="V886" s="181"/>
      <c r="W886" s="185">
        <f t="shared" si="254"/>
        <v>0</v>
      </c>
      <c r="X886" s="181"/>
      <c r="Y886" s="185">
        <f t="shared" si="255"/>
        <v>0</v>
      </c>
      <c r="Z886" s="186"/>
      <c r="AA886" s="153"/>
      <c r="AB886" s="153"/>
      <c r="AC886" s="153"/>
    </row>
    <row r="887" spans="1:29" ht="18.75" customHeight="1" x14ac:dyDescent="0.3">
      <c r="A887" s="166"/>
      <c r="B887" s="150"/>
      <c r="C887" s="150"/>
      <c r="D887" s="150"/>
      <c r="E887" s="150"/>
      <c r="F887" s="150"/>
      <c r="G887" s="150"/>
      <c r="H887" s="150"/>
      <c r="I887" s="434"/>
      <c r="J887" s="435"/>
      <c r="K887" s="154"/>
      <c r="L887" s="189"/>
      <c r="M887" s="161"/>
      <c r="N887" s="178"/>
      <c r="O887" s="179" t="s">
        <v>113</v>
      </c>
      <c r="P887" s="179">
        <v>31</v>
      </c>
      <c r="Q887" s="179">
        <v>0</v>
      </c>
      <c r="R887" s="179">
        <f t="shared" ref="R887:R892" si="258">IF(Q887="","",R886-Q887)</f>
        <v>0</v>
      </c>
      <c r="S887" s="159"/>
      <c r="T887" s="179" t="s">
        <v>113</v>
      </c>
      <c r="U887" s="185">
        <f t="shared" si="257"/>
        <v>0</v>
      </c>
      <c r="V887" s="181"/>
      <c r="W887" s="185">
        <f t="shared" si="254"/>
        <v>0</v>
      </c>
      <c r="X887" s="181"/>
      <c r="Y887" s="185">
        <f t="shared" si="255"/>
        <v>0</v>
      </c>
      <c r="Z887" s="186"/>
      <c r="AA887" s="153"/>
      <c r="AB887" s="153"/>
      <c r="AC887" s="153"/>
    </row>
    <row r="888" spans="1:29" ht="18.75" customHeight="1" x14ac:dyDescent="0.3">
      <c r="A888" s="166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89"/>
      <c r="M888" s="161"/>
      <c r="N888" s="178"/>
      <c r="O888" s="179" t="s">
        <v>115</v>
      </c>
      <c r="P888" s="179"/>
      <c r="Q888" s="179"/>
      <c r="R888" s="179" t="str">
        <f t="shared" si="258"/>
        <v/>
      </c>
      <c r="S888" s="159"/>
      <c r="T888" s="179" t="s">
        <v>115</v>
      </c>
      <c r="U888" s="185" t="str">
        <f t="shared" ref="U888:U889" si="259">IF($J$1="September",Y887,"")</f>
        <v/>
      </c>
      <c r="V888" s="181"/>
      <c r="W888" s="185" t="str">
        <f t="shared" si="254"/>
        <v/>
      </c>
      <c r="X888" s="181"/>
      <c r="Y888" s="185" t="str">
        <f t="shared" si="255"/>
        <v/>
      </c>
      <c r="Z888" s="186"/>
      <c r="AA888" s="153"/>
      <c r="AB888" s="153"/>
      <c r="AC888" s="153"/>
    </row>
    <row r="889" spans="1:29" ht="18.75" customHeight="1" thickBot="1" x14ac:dyDescent="0.3">
      <c r="A889" s="200"/>
      <c r="B889" s="216"/>
      <c r="C889" s="216"/>
      <c r="D889" s="216"/>
      <c r="E889" s="216"/>
      <c r="F889" s="216"/>
      <c r="G889" s="216"/>
      <c r="H889" s="216"/>
      <c r="I889" s="216"/>
      <c r="J889" s="216"/>
      <c r="K889" s="216"/>
      <c r="L889" s="202"/>
      <c r="M889" s="161"/>
      <c r="N889" s="178"/>
      <c r="O889" s="179" t="s">
        <v>118</v>
      </c>
      <c r="P889" s="179"/>
      <c r="Q889" s="179"/>
      <c r="R889" s="179" t="str">
        <f t="shared" si="258"/>
        <v/>
      </c>
      <c r="S889" s="159"/>
      <c r="T889" s="179" t="s">
        <v>118</v>
      </c>
      <c r="U889" s="185" t="str">
        <f t="shared" si="259"/>
        <v/>
      </c>
      <c r="V889" s="181"/>
      <c r="W889" s="185" t="str">
        <f t="shared" si="254"/>
        <v/>
      </c>
      <c r="X889" s="181"/>
      <c r="Y889" s="185" t="str">
        <f t="shared" si="255"/>
        <v/>
      </c>
      <c r="Z889" s="186"/>
      <c r="AA889" s="153"/>
      <c r="AB889" s="153"/>
      <c r="AC889" s="153"/>
    </row>
    <row r="890" spans="1:29" ht="18.75" customHeight="1" thickBot="1" x14ac:dyDescent="0.35">
      <c r="A890" s="150"/>
      <c r="B890" s="150"/>
      <c r="C890" s="150"/>
      <c r="D890" s="150"/>
      <c r="E890" s="150"/>
      <c r="F890" s="150"/>
      <c r="G890" s="150"/>
      <c r="H890" s="150"/>
      <c r="I890" s="150"/>
      <c r="J890" s="150"/>
      <c r="K890" s="150"/>
      <c r="L890" s="150"/>
      <c r="M890" s="161"/>
      <c r="N890" s="178"/>
      <c r="O890" s="179" t="s">
        <v>119</v>
      </c>
      <c r="P890" s="179"/>
      <c r="Q890" s="179"/>
      <c r="R890" s="179" t="str">
        <f t="shared" si="258"/>
        <v/>
      </c>
      <c r="S890" s="159"/>
      <c r="T890" s="179" t="s">
        <v>119</v>
      </c>
      <c r="U890" s="185" t="str">
        <f>IF($J$1="October",Y889,"")</f>
        <v/>
      </c>
      <c r="V890" s="181"/>
      <c r="W890" s="185" t="str">
        <f t="shared" si="254"/>
        <v/>
      </c>
      <c r="X890" s="181"/>
      <c r="Y890" s="185" t="str">
        <f t="shared" si="255"/>
        <v/>
      </c>
      <c r="Z890" s="186"/>
      <c r="AA890" s="153"/>
      <c r="AB890" s="153"/>
      <c r="AC890" s="153"/>
    </row>
    <row r="891" spans="1:29" ht="18.75" customHeight="1" x14ac:dyDescent="0.25">
      <c r="A891" s="436" t="s">
        <v>89</v>
      </c>
      <c r="B891" s="437"/>
      <c r="C891" s="437"/>
      <c r="D891" s="437"/>
      <c r="E891" s="437"/>
      <c r="F891" s="437"/>
      <c r="G891" s="437"/>
      <c r="H891" s="437"/>
      <c r="I891" s="437"/>
      <c r="J891" s="437"/>
      <c r="K891" s="437"/>
      <c r="L891" s="438"/>
      <c r="M891" s="161"/>
      <c r="N891" s="178"/>
      <c r="O891" s="179" t="s">
        <v>120</v>
      </c>
      <c r="P891" s="179"/>
      <c r="Q891" s="179"/>
      <c r="R891" s="179" t="str">
        <f t="shared" si="258"/>
        <v/>
      </c>
      <c r="S891" s="159"/>
      <c r="T891" s="179" t="s">
        <v>120</v>
      </c>
      <c r="U891" s="185" t="str">
        <f>IF($J$1="November",Y890,"")</f>
        <v/>
      </c>
      <c r="V891" s="181"/>
      <c r="W891" s="185" t="str">
        <f t="shared" si="254"/>
        <v/>
      </c>
      <c r="X891" s="181"/>
      <c r="Y891" s="185" t="str">
        <f t="shared" si="255"/>
        <v/>
      </c>
      <c r="Z891" s="186"/>
      <c r="AA891" s="153"/>
      <c r="AB891" s="153"/>
      <c r="AC891" s="153"/>
    </row>
    <row r="892" spans="1:29" ht="18.75" customHeight="1" x14ac:dyDescent="0.25">
      <c r="A892" s="166"/>
      <c r="B892" s="152"/>
      <c r="C892" s="443" t="s">
        <v>92</v>
      </c>
      <c r="D892" s="435"/>
      <c r="E892" s="435"/>
      <c r="F892" s="435"/>
      <c r="G892" s="167" t="str">
        <f>$J$1</f>
        <v>August</v>
      </c>
      <c r="H892" s="444">
        <f>$K$1</f>
        <v>2024</v>
      </c>
      <c r="I892" s="435"/>
      <c r="J892" s="152"/>
      <c r="K892" s="168"/>
      <c r="L892" s="169"/>
      <c r="M892" s="161"/>
      <c r="N892" s="178"/>
      <c r="O892" s="179" t="s">
        <v>121</v>
      </c>
      <c r="P892" s="179"/>
      <c r="Q892" s="179"/>
      <c r="R892" s="179" t="str">
        <f t="shared" si="258"/>
        <v/>
      </c>
      <c r="S892" s="159"/>
      <c r="T892" s="179" t="s">
        <v>121</v>
      </c>
      <c r="U892" s="185" t="str">
        <f>IF($J$1="Dec",Y891,"")</f>
        <v/>
      </c>
      <c r="V892" s="181"/>
      <c r="W892" s="185" t="str">
        <f t="shared" si="254"/>
        <v/>
      </c>
      <c r="X892" s="181"/>
      <c r="Y892" s="185" t="str">
        <f t="shared" si="255"/>
        <v/>
      </c>
      <c r="Z892" s="186"/>
      <c r="AA892" s="153"/>
      <c r="AB892" s="153"/>
      <c r="AC892" s="153"/>
    </row>
    <row r="893" spans="1:29" ht="18.75" customHeight="1" thickBot="1" x14ac:dyDescent="0.3">
      <c r="A893" s="166"/>
      <c r="B893" s="152"/>
      <c r="C893" s="152"/>
      <c r="D893" s="175"/>
      <c r="E893" s="175"/>
      <c r="F893" s="175"/>
      <c r="G893" s="175"/>
      <c r="H893" s="175"/>
      <c r="I893" s="152"/>
      <c r="J893" s="176" t="s">
        <v>99</v>
      </c>
      <c r="K893" s="154">
        <v>35000</v>
      </c>
      <c r="L893" s="177"/>
      <c r="M893" s="161"/>
      <c r="N893" s="217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21"/>
      <c r="AA893" s="153"/>
      <c r="AB893" s="153"/>
      <c r="AC893" s="153"/>
    </row>
    <row r="894" spans="1:29" ht="27.75" customHeight="1" thickBot="1" x14ac:dyDescent="0.3">
      <c r="A894" s="166"/>
      <c r="B894" s="152" t="s">
        <v>101</v>
      </c>
      <c r="C894" s="261" t="s">
        <v>299</v>
      </c>
      <c r="D894" s="152"/>
      <c r="E894" s="152"/>
      <c r="F894" s="152"/>
      <c r="G894" s="152"/>
      <c r="H894" s="182"/>
      <c r="I894" s="175"/>
      <c r="J894" s="152"/>
      <c r="K894" s="152"/>
      <c r="L894" s="18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</row>
    <row r="895" spans="1:29" ht="27.75" customHeight="1" x14ac:dyDescent="0.25">
      <c r="A895" s="166"/>
      <c r="B895" s="187" t="s">
        <v>103</v>
      </c>
      <c r="C895" s="213">
        <v>45474</v>
      </c>
      <c r="D895" s="152"/>
      <c r="E895" s="152"/>
      <c r="F895" s="439" t="s">
        <v>91</v>
      </c>
      <c r="G895" s="413"/>
      <c r="H895" s="152"/>
      <c r="I895" s="439" t="s">
        <v>104</v>
      </c>
      <c r="J895" s="412"/>
      <c r="K895" s="413"/>
      <c r="L895" s="189"/>
      <c r="M895" s="162"/>
      <c r="N895" s="163"/>
      <c r="O895" s="440" t="s">
        <v>90</v>
      </c>
      <c r="P895" s="441"/>
      <c r="Q895" s="441"/>
      <c r="R895" s="442"/>
      <c r="S895" s="164"/>
      <c r="T895" s="440" t="s">
        <v>91</v>
      </c>
      <c r="U895" s="441"/>
      <c r="V895" s="441"/>
      <c r="W895" s="441"/>
      <c r="X895" s="441"/>
      <c r="Y895" s="442"/>
      <c r="Z895" s="165"/>
      <c r="AA895" s="153"/>
      <c r="AB895" s="153"/>
      <c r="AC895" s="153"/>
    </row>
    <row r="896" spans="1:29" ht="27.75" customHeight="1" x14ac:dyDescent="0.25">
      <c r="A896" s="166"/>
      <c r="B896" s="152"/>
      <c r="C896" s="152"/>
      <c r="D896" s="152"/>
      <c r="E896" s="152"/>
      <c r="F896" s="152"/>
      <c r="G896" s="152"/>
      <c r="H896" s="190"/>
      <c r="I896" s="152"/>
      <c r="J896" s="152"/>
      <c r="K896" s="152"/>
      <c r="L896" s="191"/>
      <c r="M896" s="170"/>
      <c r="N896" s="171"/>
      <c r="O896" s="172" t="s">
        <v>93</v>
      </c>
      <c r="P896" s="172" t="s">
        <v>94</v>
      </c>
      <c r="Q896" s="172" t="s">
        <v>95</v>
      </c>
      <c r="R896" s="172" t="s">
        <v>96</v>
      </c>
      <c r="S896" s="173"/>
      <c r="T896" s="172" t="s">
        <v>93</v>
      </c>
      <c r="U896" s="172" t="s">
        <v>97</v>
      </c>
      <c r="V896" s="172" t="s">
        <v>9</v>
      </c>
      <c r="W896" s="172" t="s">
        <v>10</v>
      </c>
      <c r="X896" s="172" t="s">
        <v>11</v>
      </c>
      <c r="Y896" s="172" t="s">
        <v>98</v>
      </c>
      <c r="Z896" s="174"/>
      <c r="AA896" s="153"/>
      <c r="AB896" s="153"/>
      <c r="AC896" s="153"/>
    </row>
    <row r="897" spans="1:29" ht="18.75" customHeight="1" x14ac:dyDescent="0.25">
      <c r="A897" s="166"/>
      <c r="B897" s="445" t="s">
        <v>90</v>
      </c>
      <c r="C897" s="413"/>
      <c r="D897" s="152"/>
      <c r="E897" s="152"/>
      <c r="F897" s="192" t="s">
        <v>107</v>
      </c>
      <c r="G897" s="193" t="str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/>
      </c>
      <c r="H897" s="190"/>
      <c r="I897" s="194">
        <f>IF(C901&gt;0,$K$2,C899)</f>
        <v>31</v>
      </c>
      <c r="J897" s="195" t="s">
        <v>108</v>
      </c>
      <c r="K897" s="196">
        <f>K893/$K$2*I897</f>
        <v>35000</v>
      </c>
      <c r="L897" s="197"/>
      <c r="M897" s="161"/>
      <c r="N897" s="178"/>
      <c r="O897" s="179" t="s">
        <v>100</v>
      </c>
      <c r="P897" s="179"/>
      <c r="Q897" s="179"/>
      <c r="R897" s="179"/>
      <c r="S897" s="180"/>
      <c r="T897" s="179" t="s">
        <v>100</v>
      </c>
      <c r="U897" s="181"/>
      <c r="V897" s="181"/>
      <c r="W897" s="181">
        <f>V897+U897</f>
        <v>0</v>
      </c>
      <c r="X897" s="181"/>
      <c r="Y897" s="181">
        <f>W897-X897</f>
        <v>0</v>
      </c>
      <c r="Z897" s="174"/>
      <c r="AA897" s="153"/>
      <c r="AB897" s="153"/>
      <c r="AC897" s="153"/>
    </row>
    <row r="898" spans="1:29" ht="18.75" customHeight="1" x14ac:dyDescent="0.25">
      <c r="A898" s="166"/>
      <c r="B898" s="198"/>
      <c r="C898" s="198"/>
      <c r="D898" s="152"/>
      <c r="E898" s="152"/>
      <c r="F898" s="192" t="s">
        <v>9</v>
      </c>
      <c r="G898" s="193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898" s="190"/>
      <c r="I898" s="214"/>
      <c r="J898" s="195" t="s">
        <v>110</v>
      </c>
      <c r="K898" s="193">
        <f>K893/$K$2/8*I898</f>
        <v>0</v>
      </c>
      <c r="L898" s="199"/>
      <c r="M898" s="162"/>
      <c r="N898" s="184"/>
      <c r="O898" s="179" t="s">
        <v>102</v>
      </c>
      <c r="P898" s="179"/>
      <c r="Q898" s="179"/>
      <c r="R898" s="179" t="str">
        <f t="shared" ref="R898:R899" si="260">IF(Q898="","",R897-Q898)</f>
        <v/>
      </c>
      <c r="S898" s="159"/>
      <c r="T898" s="179" t="s">
        <v>102</v>
      </c>
      <c r="U898" s="185">
        <f>Y897</f>
        <v>0</v>
      </c>
      <c r="V898" s="181"/>
      <c r="W898" s="185">
        <f t="shared" ref="W898:W908" si="261">IF(U898="","",U898+V898)</f>
        <v>0</v>
      </c>
      <c r="X898" s="181"/>
      <c r="Y898" s="185">
        <f t="shared" ref="Y898:Y908" si="262">IF(W898="","",W898-X898)</f>
        <v>0</v>
      </c>
      <c r="Z898" s="186"/>
      <c r="AA898" s="153"/>
      <c r="AB898" s="153"/>
      <c r="AC898" s="153"/>
    </row>
    <row r="899" spans="1:29" ht="18.75" customHeight="1" x14ac:dyDescent="0.25">
      <c r="A899" s="166"/>
      <c r="B899" s="192" t="s">
        <v>94</v>
      </c>
      <c r="C899" s="198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0</v>
      </c>
      <c r="D899" s="152"/>
      <c r="E899" s="152"/>
      <c r="F899" s="192" t="s">
        <v>111</v>
      </c>
      <c r="G899" s="193" t="str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/>
      </c>
      <c r="H899" s="190"/>
      <c r="I899" s="446" t="s">
        <v>112</v>
      </c>
      <c r="J899" s="413"/>
      <c r="K899" s="193">
        <f>K897+K898</f>
        <v>35000</v>
      </c>
      <c r="L899" s="199"/>
      <c r="M899" s="161"/>
      <c r="N899" s="178"/>
      <c r="O899" s="179" t="s">
        <v>105</v>
      </c>
      <c r="P899" s="179"/>
      <c r="Q899" s="179"/>
      <c r="R899" s="179" t="str">
        <f t="shared" si="260"/>
        <v/>
      </c>
      <c r="S899" s="159"/>
      <c r="T899" s="179" t="s">
        <v>105</v>
      </c>
      <c r="U899" s="185">
        <f t="shared" ref="U899:U900" si="263">IF($J$1="April",Y898,Y898)</f>
        <v>0</v>
      </c>
      <c r="V899" s="181"/>
      <c r="W899" s="185">
        <f t="shared" si="261"/>
        <v>0</v>
      </c>
      <c r="X899" s="181"/>
      <c r="Y899" s="185">
        <f t="shared" si="262"/>
        <v>0</v>
      </c>
      <c r="Z899" s="186"/>
      <c r="AA899" s="153"/>
      <c r="AB899" s="153"/>
      <c r="AC899" s="153"/>
    </row>
    <row r="900" spans="1:29" ht="18.75" customHeight="1" x14ac:dyDescent="0.25">
      <c r="A900" s="166"/>
      <c r="B900" s="192" t="s">
        <v>95</v>
      </c>
      <c r="C900" s="198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0</v>
      </c>
      <c r="D900" s="152"/>
      <c r="E900" s="152"/>
      <c r="F900" s="192" t="s">
        <v>11</v>
      </c>
      <c r="G900" s="193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0" s="190"/>
      <c r="I900" s="446" t="s">
        <v>114</v>
      </c>
      <c r="J900" s="413"/>
      <c r="K900" s="193">
        <f>G900</f>
        <v>0</v>
      </c>
      <c r="L900" s="199"/>
      <c r="M900" s="161"/>
      <c r="N900" s="178"/>
      <c r="O900" s="179" t="s">
        <v>106</v>
      </c>
      <c r="P900" s="179"/>
      <c r="Q900" s="179"/>
      <c r="R900" s="179">
        <v>0</v>
      </c>
      <c r="S900" s="159"/>
      <c r="T900" s="179" t="s">
        <v>106</v>
      </c>
      <c r="U900" s="185">
        <f t="shared" si="263"/>
        <v>0</v>
      </c>
      <c r="V900" s="181"/>
      <c r="W900" s="185">
        <f t="shared" si="261"/>
        <v>0</v>
      </c>
      <c r="X900" s="181"/>
      <c r="Y900" s="185">
        <f t="shared" si="262"/>
        <v>0</v>
      </c>
      <c r="Z900" s="186"/>
      <c r="AA900" s="153"/>
      <c r="AB900" s="153"/>
      <c r="AC900" s="153"/>
    </row>
    <row r="901" spans="1:29" ht="18.75" customHeight="1" x14ac:dyDescent="0.25">
      <c r="A901" s="166"/>
      <c r="B901" s="215" t="s">
        <v>116</v>
      </c>
      <c r="C901" s="198" t="str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/>
      </c>
      <c r="D901" s="152"/>
      <c r="E901" s="152"/>
      <c r="F901" s="192" t="s">
        <v>169</v>
      </c>
      <c r="G901" s="193" t="str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/>
      </c>
      <c r="H901" s="152"/>
      <c r="I901" s="439" t="s">
        <v>13</v>
      </c>
      <c r="J901" s="413"/>
      <c r="K901" s="37">
        <f>K899-K900</f>
        <v>35000</v>
      </c>
      <c r="L901" s="183"/>
      <c r="M901" s="161"/>
      <c r="N901" s="178"/>
      <c r="O901" s="179" t="s">
        <v>109</v>
      </c>
      <c r="P901" s="179"/>
      <c r="Q901" s="179"/>
      <c r="R901" s="179">
        <v>0</v>
      </c>
      <c r="S901" s="159"/>
      <c r="T901" s="179" t="s">
        <v>109</v>
      </c>
      <c r="U901" s="185">
        <f t="shared" ref="U901:U903" si="264">IF($J$1="May",Y900,Y900)</f>
        <v>0</v>
      </c>
      <c r="V901" s="181"/>
      <c r="W901" s="185">
        <f t="shared" si="261"/>
        <v>0</v>
      </c>
      <c r="X901" s="181"/>
      <c r="Y901" s="185">
        <f t="shared" si="262"/>
        <v>0</v>
      </c>
      <c r="Z901" s="186"/>
      <c r="AA901" s="153"/>
      <c r="AB901" s="153"/>
      <c r="AC901" s="153"/>
    </row>
    <row r="902" spans="1:29" ht="18.75" customHeight="1" x14ac:dyDescent="0.25">
      <c r="A902" s="166"/>
      <c r="B902" s="152"/>
      <c r="C902" s="152"/>
      <c r="D902" s="152"/>
      <c r="E902" s="152"/>
      <c r="F902" s="152"/>
      <c r="G902" s="152"/>
      <c r="H902" s="152"/>
      <c r="I902" s="434"/>
      <c r="J902" s="435"/>
      <c r="K902" s="154"/>
      <c r="L902" s="189"/>
      <c r="M902" s="161"/>
      <c r="N902" s="178"/>
      <c r="O902" s="179" t="s">
        <v>85</v>
      </c>
      <c r="P902" s="179"/>
      <c r="Q902" s="179"/>
      <c r="R902" s="179">
        <v>0</v>
      </c>
      <c r="S902" s="159"/>
      <c r="T902" s="179" t="s">
        <v>85</v>
      </c>
      <c r="U902" s="185">
        <f t="shared" si="264"/>
        <v>0</v>
      </c>
      <c r="V902" s="181"/>
      <c r="W902" s="185">
        <f t="shared" si="261"/>
        <v>0</v>
      </c>
      <c r="X902" s="181"/>
      <c r="Y902" s="185">
        <f t="shared" si="262"/>
        <v>0</v>
      </c>
      <c r="Z902" s="186"/>
      <c r="AA902" s="153"/>
      <c r="AB902" s="153"/>
      <c r="AC902" s="153"/>
    </row>
    <row r="903" spans="1:29" ht="18.75" customHeight="1" x14ac:dyDescent="0.3">
      <c r="A903" s="166"/>
      <c r="B903" s="150"/>
      <c r="C903" s="150"/>
      <c r="D903" s="150"/>
      <c r="E903" s="150"/>
      <c r="F903" s="150"/>
      <c r="G903" s="150"/>
      <c r="H903" s="150"/>
      <c r="I903" s="434"/>
      <c r="J903" s="435"/>
      <c r="K903" s="154"/>
      <c r="L903" s="189"/>
      <c r="M903" s="161"/>
      <c r="N903" s="178"/>
      <c r="O903" s="179" t="s">
        <v>113</v>
      </c>
      <c r="P903" s="179">
        <v>29</v>
      </c>
      <c r="Q903" s="179">
        <v>2</v>
      </c>
      <c r="R903" s="179">
        <f t="shared" ref="R903:R908" si="265">IF(Q903="","",R902-Q903)</f>
        <v>-2</v>
      </c>
      <c r="S903" s="159"/>
      <c r="T903" s="179" t="s">
        <v>113</v>
      </c>
      <c r="U903" s="185">
        <f t="shared" si="264"/>
        <v>0</v>
      </c>
      <c r="V903" s="181"/>
      <c r="W903" s="185">
        <f t="shared" si="261"/>
        <v>0</v>
      </c>
      <c r="X903" s="181"/>
      <c r="Y903" s="185">
        <f t="shared" si="262"/>
        <v>0</v>
      </c>
      <c r="Z903" s="186"/>
      <c r="AA903" s="153"/>
      <c r="AB903" s="153"/>
      <c r="AC903" s="153"/>
    </row>
    <row r="904" spans="1:29" ht="18.75" customHeight="1" x14ac:dyDescent="0.3">
      <c r="A904" s="166"/>
      <c r="B904" s="150"/>
      <c r="C904" s="150"/>
      <c r="D904" s="150"/>
      <c r="E904" s="150"/>
      <c r="F904" s="150"/>
      <c r="G904" s="150"/>
      <c r="H904" s="150"/>
      <c r="I904" s="150"/>
      <c r="J904" s="150"/>
      <c r="K904" s="150"/>
      <c r="L904" s="189"/>
      <c r="M904" s="161"/>
      <c r="N904" s="178"/>
      <c r="O904" s="179" t="s">
        <v>115</v>
      </c>
      <c r="P904" s="179"/>
      <c r="Q904" s="179"/>
      <c r="R904" s="179" t="str">
        <f t="shared" si="265"/>
        <v/>
      </c>
      <c r="S904" s="159"/>
      <c r="T904" s="179" t="s">
        <v>115</v>
      </c>
      <c r="U904" s="185" t="str">
        <f t="shared" ref="U904:U905" si="266">IF($J$1="September",Y903,"")</f>
        <v/>
      </c>
      <c r="V904" s="181"/>
      <c r="W904" s="185" t="str">
        <f t="shared" si="261"/>
        <v/>
      </c>
      <c r="X904" s="181"/>
      <c r="Y904" s="185" t="str">
        <f t="shared" si="262"/>
        <v/>
      </c>
      <c r="Z904" s="186"/>
      <c r="AA904" s="153"/>
      <c r="AB904" s="153"/>
      <c r="AC904" s="153"/>
    </row>
    <row r="905" spans="1:29" ht="18.75" customHeight="1" thickBot="1" x14ac:dyDescent="0.3">
      <c r="A905" s="200"/>
      <c r="B905" s="216"/>
      <c r="C905" s="216"/>
      <c r="D905" s="216"/>
      <c r="E905" s="216"/>
      <c r="F905" s="216"/>
      <c r="G905" s="216"/>
      <c r="H905" s="216"/>
      <c r="I905" s="216"/>
      <c r="J905" s="216"/>
      <c r="K905" s="216"/>
      <c r="L905" s="202"/>
      <c r="M905" s="161"/>
      <c r="N905" s="178"/>
      <c r="O905" s="179" t="s">
        <v>118</v>
      </c>
      <c r="P905" s="179"/>
      <c r="Q905" s="179"/>
      <c r="R905" s="179" t="str">
        <f t="shared" si="265"/>
        <v/>
      </c>
      <c r="S905" s="159"/>
      <c r="T905" s="179" t="s">
        <v>118</v>
      </c>
      <c r="U905" s="185" t="str">
        <f t="shared" si="266"/>
        <v/>
      </c>
      <c r="V905" s="181"/>
      <c r="W905" s="185" t="str">
        <f t="shared" si="261"/>
        <v/>
      </c>
      <c r="X905" s="181"/>
      <c r="Y905" s="185" t="str">
        <f t="shared" si="262"/>
        <v/>
      </c>
      <c r="Z905" s="186"/>
      <c r="AA905" s="153"/>
      <c r="AB905" s="153"/>
      <c r="AC905" s="153"/>
    </row>
    <row r="906" spans="1:29" ht="18.75" customHeight="1" thickBot="1" x14ac:dyDescent="0.35">
      <c r="A906" s="150"/>
      <c r="B906" s="150"/>
      <c r="C906" s="150"/>
      <c r="D906" s="150"/>
      <c r="E906" s="150"/>
      <c r="F906" s="150"/>
      <c r="G906" s="150"/>
      <c r="H906" s="150"/>
      <c r="I906" s="150"/>
      <c r="J906" s="150"/>
      <c r="K906" s="150"/>
      <c r="L906" s="150"/>
      <c r="M906" s="161"/>
      <c r="N906" s="178"/>
      <c r="O906" s="179" t="s">
        <v>119</v>
      </c>
      <c r="P906" s="179"/>
      <c r="Q906" s="179"/>
      <c r="R906" s="179" t="str">
        <f t="shared" si="265"/>
        <v/>
      </c>
      <c r="S906" s="159"/>
      <c r="T906" s="179" t="s">
        <v>119</v>
      </c>
      <c r="U906" s="185" t="str">
        <f>IF($J$1="October",Y905,"")</f>
        <v/>
      </c>
      <c r="V906" s="181"/>
      <c r="W906" s="185" t="str">
        <f t="shared" si="261"/>
        <v/>
      </c>
      <c r="X906" s="181"/>
      <c r="Y906" s="185" t="str">
        <f t="shared" si="262"/>
        <v/>
      </c>
      <c r="Z906" s="186"/>
      <c r="AA906" s="153"/>
      <c r="AB906" s="153"/>
      <c r="AC906" s="153"/>
    </row>
    <row r="907" spans="1:29" ht="18.75" customHeight="1" x14ac:dyDescent="0.25">
      <c r="A907" s="436" t="s">
        <v>89</v>
      </c>
      <c r="B907" s="437"/>
      <c r="C907" s="437"/>
      <c r="D907" s="437"/>
      <c r="E907" s="437"/>
      <c r="F907" s="437"/>
      <c r="G907" s="437"/>
      <c r="H907" s="437"/>
      <c r="I907" s="437"/>
      <c r="J907" s="437"/>
      <c r="K907" s="437"/>
      <c r="L907" s="438"/>
      <c r="M907" s="161"/>
      <c r="N907" s="178"/>
      <c r="O907" s="179" t="s">
        <v>120</v>
      </c>
      <c r="P907" s="179"/>
      <c r="Q907" s="179"/>
      <c r="R907" s="179" t="str">
        <f t="shared" si="265"/>
        <v/>
      </c>
      <c r="S907" s="159"/>
      <c r="T907" s="179" t="s">
        <v>120</v>
      </c>
      <c r="U907" s="185" t="str">
        <f>IF($J$1="November",Y906,"")</f>
        <v/>
      </c>
      <c r="V907" s="181"/>
      <c r="W907" s="185" t="str">
        <f t="shared" si="261"/>
        <v/>
      </c>
      <c r="X907" s="181"/>
      <c r="Y907" s="185" t="str">
        <f t="shared" si="262"/>
        <v/>
      </c>
      <c r="Z907" s="186"/>
      <c r="AA907" s="153"/>
      <c r="AB907" s="153"/>
      <c r="AC907" s="153"/>
    </row>
    <row r="908" spans="1:29" ht="18.75" customHeight="1" x14ac:dyDescent="0.25">
      <c r="A908" s="166"/>
      <c r="B908" s="152"/>
      <c r="C908" s="443" t="s">
        <v>92</v>
      </c>
      <c r="D908" s="435"/>
      <c r="E908" s="435"/>
      <c r="F908" s="435"/>
      <c r="G908" s="167" t="str">
        <f>$J$1</f>
        <v>August</v>
      </c>
      <c r="H908" s="444">
        <f>$K$1</f>
        <v>2024</v>
      </c>
      <c r="I908" s="435"/>
      <c r="J908" s="152"/>
      <c r="K908" s="168"/>
      <c r="L908" s="169"/>
      <c r="M908" s="161"/>
      <c r="N908" s="178"/>
      <c r="O908" s="179" t="s">
        <v>121</v>
      </c>
      <c r="P908" s="179"/>
      <c r="Q908" s="179"/>
      <c r="R908" s="179" t="str">
        <f t="shared" si="265"/>
        <v/>
      </c>
      <c r="S908" s="159"/>
      <c r="T908" s="179" t="s">
        <v>121</v>
      </c>
      <c r="U908" s="185" t="str">
        <f>IF($J$1="Dec",Y907,"")</f>
        <v/>
      </c>
      <c r="V908" s="181"/>
      <c r="W908" s="185" t="str">
        <f t="shared" si="261"/>
        <v/>
      </c>
      <c r="X908" s="181"/>
      <c r="Y908" s="185" t="str">
        <f t="shared" si="262"/>
        <v/>
      </c>
      <c r="Z908" s="186"/>
      <c r="AA908" s="153"/>
      <c r="AB908" s="153"/>
      <c r="AC908" s="153"/>
    </row>
    <row r="909" spans="1:29" ht="18.75" customHeight="1" thickBot="1" x14ac:dyDescent="0.3">
      <c r="A909" s="166"/>
      <c r="B909" s="152"/>
      <c r="C909" s="152"/>
      <c r="D909" s="175"/>
      <c r="E909" s="175"/>
      <c r="F909" s="175"/>
      <c r="G909" s="175"/>
      <c r="H909" s="175"/>
      <c r="I909" s="152"/>
      <c r="J909" s="176" t="s">
        <v>99</v>
      </c>
      <c r="K909" s="154">
        <v>35000</v>
      </c>
      <c r="L909" s="177"/>
      <c r="M909" s="161"/>
      <c r="N909" s="217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21"/>
      <c r="AA909" s="153"/>
      <c r="AB909" s="153"/>
      <c r="AC909" s="153"/>
    </row>
    <row r="910" spans="1:29" ht="27.75" customHeight="1" thickBot="1" x14ac:dyDescent="0.3">
      <c r="A910" s="166"/>
      <c r="B910" s="152" t="s">
        <v>101</v>
      </c>
      <c r="C910" s="262" t="s">
        <v>301</v>
      </c>
      <c r="D910" s="152"/>
      <c r="E910" s="152"/>
      <c r="F910" s="152"/>
      <c r="G910" s="152"/>
      <c r="H910" s="182"/>
      <c r="I910" s="175"/>
      <c r="J910" s="152"/>
      <c r="K910" s="152"/>
      <c r="L910" s="18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</row>
    <row r="911" spans="1:29" ht="27.75" customHeight="1" x14ac:dyDescent="0.25">
      <c r="A911" s="166"/>
      <c r="B911" s="187" t="s">
        <v>103</v>
      </c>
      <c r="C911" s="213">
        <v>45474</v>
      </c>
      <c r="D911" s="152"/>
      <c r="E911" s="152"/>
      <c r="F911" s="439" t="s">
        <v>91</v>
      </c>
      <c r="G911" s="413"/>
      <c r="H911" s="152"/>
      <c r="I911" s="439" t="s">
        <v>104</v>
      </c>
      <c r="J911" s="412"/>
      <c r="K911" s="413"/>
      <c r="L911" s="189"/>
      <c r="M911" s="162"/>
      <c r="N911" s="163"/>
      <c r="O911" s="440" t="s">
        <v>90</v>
      </c>
      <c r="P911" s="441"/>
      <c r="Q911" s="441"/>
      <c r="R911" s="442"/>
      <c r="S911" s="164"/>
      <c r="T911" s="440" t="s">
        <v>91</v>
      </c>
      <c r="U911" s="441"/>
      <c r="V911" s="441"/>
      <c r="W911" s="441"/>
      <c r="X911" s="441"/>
      <c r="Y911" s="442"/>
      <c r="Z911" s="165"/>
      <c r="AA911" s="153"/>
      <c r="AB911" s="153"/>
      <c r="AC911" s="153"/>
    </row>
    <row r="912" spans="1:29" ht="27.75" customHeight="1" x14ac:dyDescent="0.25">
      <c r="A912" s="166"/>
      <c r="B912" s="152"/>
      <c r="C912" s="152"/>
      <c r="D912" s="152"/>
      <c r="E912" s="152"/>
      <c r="F912" s="152"/>
      <c r="G912" s="152"/>
      <c r="H912" s="190"/>
      <c r="I912" s="152"/>
      <c r="J912" s="152"/>
      <c r="K912" s="152"/>
      <c r="L912" s="191"/>
      <c r="M912" s="170"/>
      <c r="N912" s="171"/>
      <c r="O912" s="172" t="s">
        <v>93</v>
      </c>
      <c r="P912" s="172" t="s">
        <v>94</v>
      </c>
      <c r="Q912" s="172" t="s">
        <v>95</v>
      </c>
      <c r="R912" s="172" t="s">
        <v>96</v>
      </c>
      <c r="S912" s="173"/>
      <c r="T912" s="172" t="s">
        <v>93</v>
      </c>
      <c r="U912" s="172" t="s">
        <v>97</v>
      </c>
      <c r="V912" s="172" t="s">
        <v>9</v>
      </c>
      <c r="W912" s="172" t="s">
        <v>10</v>
      </c>
      <c r="X912" s="172" t="s">
        <v>11</v>
      </c>
      <c r="Y912" s="172" t="s">
        <v>98</v>
      </c>
      <c r="Z912" s="174"/>
      <c r="AA912" s="153"/>
      <c r="AB912" s="153"/>
      <c r="AC912" s="153"/>
    </row>
    <row r="913" spans="1:29" ht="18.75" customHeight="1" x14ac:dyDescent="0.25">
      <c r="A913" s="166"/>
      <c r="B913" s="445" t="s">
        <v>90</v>
      </c>
      <c r="C913" s="413"/>
      <c r="D913" s="152"/>
      <c r="E913" s="152"/>
      <c r="F913" s="192" t="s">
        <v>107</v>
      </c>
      <c r="G913" s="193" t="str">
        <f>IF($J$1="January",U913,IF($J$1="February",U914,IF($J$1="March",U915,IF($J$1="April",U916,IF($J$1="May",U917,IF($J$1="June",U918,IF($J$1="July",U919,IF($J$1="August",U920,IF($J$1="August",U920,IF($J$1="September",U921,IF($J$1="October",U922,IF($J$1="November",U923,IF($J$1="December",U924)))))))))))))</f>
        <v/>
      </c>
      <c r="H913" s="190"/>
      <c r="I913" s="194">
        <f>IF(C917&gt;0,$K$2,C915)</f>
        <v>31</v>
      </c>
      <c r="J913" s="195" t="s">
        <v>108</v>
      </c>
      <c r="K913" s="196">
        <f>K909/$K$2*I913</f>
        <v>35000</v>
      </c>
      <c r="L913" s="197"/>
      <c r="M913" s="161"/>
      <c r="N913" s="178"/>
      <c r="O913" s="179" t="s">
        <v>100</v>
      </c>
      <c r="P913" s="179"/>
      <c r="Q913" s="179"/>
      <c r="R913" s="179"/>
      <c r="S913" s="180"/>
      <c r="T913" s="179" t="s">
        <v>100</v>
      </c>
      <c r="U913" s="181"/>
      <c r="V913" s="181"/>
      <c r="W913" s="181">
        <f>V913+U913</f>
        <v>0</v>
      </c>
      <c r="X913" s="181"/>
      <c r="Y913" s="181">
        <f>W913-X913</f>
        <v>0</v>
      </c>
      <c r="Z913" s="174"/>
      <c r="AA913" s="153"/>
      <c r="AB913" s="153"/>
      <c r="AC913" s="153"/>
    </row>
    <row r="914" spans="1:29" ht="18.75" customHeight="1" x14ac:dyDescent="0.25">
      <c r="A914" s="166"/>
      <c r="B914" s="198"/>
      <c r="C914" s="198"/>
      <c r="D914" s="152"/>
      <c r="E914" s="152"/>
      <c r="F914" s="192" t="s">
        <v>9</v>
      </c>
      <c r="G914" s="193">
        <f>IF($J$1="January",V913,IF($J$1="February",V914,IF($J$1="March",V915,IF($J$1="April",V916,IF($J$1="May",V917,IF($J$1="June",V918,IF($J$1="July",V919,IF($J$1="August",V920,IF($J$1="August",V920,IF($J$1="September",V921,IF($J$1="October",V922,IF($J$1="November",V923,IF($J$1="December",V924)))))))))))))</f>
        <v>0</v>
      </c>
      <c r="H914" s="190"/>
      <c r="I914" s="214">
        <v>8</v>
      </c>
      <c r="J914" s="195" t="s">
        <v>110</v>
      </c>
      <c r="K914" s="193">
        <f>K909/$K$2/8*I914</f>
        <v>1129.0322580645161</v>
      </c>
      <c r="L914" s="199"/>
      <c r="M914" s="162"/>
      <c r="N914" s="184"/>
      <c r="O914" s="179" t="s">
        <v>102</v>
      </c>
      <c r="P914" s="179"/>
      <c r="Q914" s="179"/>
      <c r="R914" s="179" t="str">
        <f t="shared" ref="R914:R915" si="267">IF(Q914="","",R913-Q914)</f>
        <v/>
      </c>
      <c r="S914" s="159"/>
      <c r="T914" s="179" t="s">
        <v>102</v>
      </c>
      <c r="U914" s="185">
        <f>Y913</f>
        <v>0</v>
      </c>
      <c r="V914" s="181"/>
      <c r="W914" s="185">
        <f t="shared" ref="W914:W924" si="268">IF(U914="","",U914+V914)</f>
        <v>0</v>
      </c>
      <c r="X914" s="181"/>
      <c r="Y914" s="185">
        <f t="shared" ref="Y914:Y924" si="269">IF(W914="","",W914-X914)</f>
        <v>0</v>
      </c>
      <c r="Z914" s="186"/>
      <c r="AA914" s="153"/>
      <c r="AB914" s="153"/>
      <c r="AC914" s="153"/>
    </row>
    <row r="915" spans="1:29" ht="18.75" customHeight="1" x14ac:dyDescent="0.25">
      <c r="A915" s="166"/>
      <c r="B915" s="192" t="s">
        <v>94</v>
      </c>
      <c r="C915" s="198">
        <f>IF($J$1="January",P913,IF($J$1="February",P914,IF($J$1="March",P915,IF($J$1="April",P916,IF($J$1="May",P917,IF($J$1="June",P918,IF($J$1="July",P919,IF($J$1="August",P920,IF($J$1="August",P920,IF($J$1="September",P921,IF($J$1="October",P922,IF($J$1="November",P923,IF($J$1="December",P924)))))))))))))</f>
        <v>0</v>
      </c>
      <c r="D915" s="152"/>
      <c r="E915" s="152"/>
      <c r="F915" s="192" t="s">
        <v>111</v>
      </c>
      <c r="G915" s="193" t="str">
        <f>IF($J$1="January",W913,IF($J$1="February",W914,IF($J$1="March",W915,IF($J$1="April",W916,IF($J$1="May",W917,IF($J$1="June",W918,IF($J$1="July",W919,IF($J$1="August",W920,IF($J$1="August",W920,IF($J$1="September",W921,IF($J$1="October",W922,IF($J$1="November",W923,IF($J$1="December",W924)))))))))))))</f>
        <v/>
      </c>
      <c r="H915" s="190"/>
      <c r="I915" s="446" t="s">
        <v>112</v>
      </c>
      <c r="J915" s="413"/>
      <c r="K915" s="193">
        <f>K913+K914</f>
        <v>36129.032258064515</v>
      </c>
      <c r="L915" s="199"/>
      <c r="M915" s="161"/>
      <c r="N915" s="178"/>
      <c r="O915" s="179" t="s">
        <v>105</v>
      </c>
      <c r="P915" s="179"/>
      <c r="Q915" s="179"/>
      <c r="R915" s="179" t="str">
        <f t="shared" si="267"/>
        <v/>
      </c>
      <c r="S915" s="159"/>
      <c r="T915" s="179" t="s">
        <v>105</v>
      </c>
      <c r="U915" s="185">
        <f t="shared" ref="U915:U916" si="270">IF($J$1="April",Y914,Y914)</f>
        <v>0</v>
      </c>
      <c r="V915" s="181"/>
      <c r="W915" s="185">
        <f t="shared" si="268"/>
        <v>0</v>
      </c>
      <c r="X915" s="181"/>
      <c r="Y915" s="185">
        <f t="shared" si="269"/>
        <v>0</v>
      </c>
      <c r="Z915" s="186"/>
      <c r="AA915" s="153"/>
      <c r="AB915" s="153"/>
      <c r="AC915" s="153"/>
    </row>
    <row r="916" spans="1:29" ht="18.75" customHeight="1" x14ac:dyDescent="0.25">
      <c r="A916" s="166"/>
      <c r="B916" s="192" t="s">
        <v>95</v>
      </c>
      <c r="C916" s="198">
        <f>IF($J$1="January",Q913,IF($J$1="February",Q914,IF($J$1="March",Q915,IF($J$1="April",Q916,IF($J$1="May",Q917,IF($J$1="June",Q918,IF($J$1="July",Q919,IF($J$1="August",Q920,IF($J$1="August",Q920,IF($J$1="September",Q921,IF($J$1="October",Q922,IF($J$1="November",Q923,IF($J$1="December",Q924)))))))))))))</f>
        <v>0</v>
      </c>
      <c r="D916" s="152"/>
      <c r="E916" s="152"/>
      <c r="F916" s="192" t="s">
        <v>11</v>
      </c>
      <c r="G916" s="193">
        <f>IF($J$1="January",X913,IF($J$1="February",X914,IF($J$1="March",X915,IF($J$1="April",X916,IF($J$1="May",X917,IF($J$1="June",X918,IF($J$1="July",X919,IF($J$1="August",X920,IF($J$1="August",X920,IF($J$1="September",X921,IF($J$1="October",X922,IF($J$1="November",X923,IF($J$1="December",X924)))))))))))))</f>
        <v>0</v>
      </c>
      <c r="H916" s="190"/>
      <c r="I916" s="446" t="s">
        <v>114</v>
      </c>
      <c r="J916" s="413"/>
      <c r="K916" s="193">
        <f>G916</f>
        <v>0</v>
      </c>
      <c r="L916" s="199"/>
      <c r="M916" s="161"/>
      <c r="N916" s="178"/>
      <c r="O916" s="179" t="s">
        <v>106</v>
      </c>
      <c r="P916" s="179"/>
      <c r="Q916" s="179"/>
      <c r="R916" s="179">
        <v>0</v>
      </c>
      <c r="S916" s="159"/>
      <c r="T916" s="179" t="s">
        <v>106</v>
      </c>
      <c r="U916" s="185">
        <f t="shared" si="270"/>
        <v>0</v>
      </c>
      <c r="V916" s="181"/>
      <c r="W916" s="185">
        <f t="shared" si="268"/>
        <v>0</v>
      </c>
      <c r="X916" s="181"/>
      <c r="Y916" s="185">
        <f t="shared" si="269"/>
        <v>0</v>
      </c>
      <c r="Z916" s="186"/>
      <c r="AA916" s="153"/>
      <c r="AB916" s="153"/>
      <c r="AC916" s="153"/>
    </row>
    <row r="917" spans="1:29" ht="18.75" customHeight="1" x14ac:dyDescent="0.25">
      <c r="A917" s="166"/>
      <c r="B917" s="215" t="s">
        <v>116</v>
      </c>
      <c r="C917" s="198" t="str">
        <f>IF($J$1="January",R913,IF($J$1="February",R914,IF($J$1="March",R915,IF($J$1="April",R916,IF($J$1="May",R917,IF($J$1="June",R918,IF($J$1="July",R919,IF($J$1="August",R920,IF($J$1="August",R920,IF($J$1="September",R921,IF($J$1="October",R922,IF($J$1="November",R923,IF($J$1="December",R924)))))))))))))</f>
        <v/>
      </c>
      <c r="D917" s="152"/>
      <c r="E917" s="152"/>
      <c r="F917" s="192" t="s">
        <v>169</v>
      </c>
      <c r="G917" s="193" t="str">
        <f>IF($J$1="January",Y913,IF($J$1="February",Y914,IF($J$1="March",Y915,IF($J$1="April",Y916,IF($J$1="May",Y917,IF($J$1="June",Y918,IF($J$1="July",Y919,IF($J$1="August",Y920,IF($J$1="August",Y920,IF($J$1="September",Y921,IF($J$1="October",Y922,IF($J$1="November",Y923,IF($J$1="December",Y924)))))))))))))</f>
        <v/>
      </c>
      <c r="H917" s="152"/>
      <c r="I917" s="439" t="s">
        <v>13</v>
      </c>
      <c r="J917" s="413"/>
      <c r="K917" s="37">
        <f>K915-K916</f>
        <v>36129.032258064515</v>
      </c>
      <c r="L917" s="183"/>
      <c r="M917" s="161"/>
      <c r="N917" s="178"/>
      <c r="O917" s="179" t="s">
        <v>109</v>
      </c>
      <c r="P917" s="179"/>
      <c r="Q917" s="179"/>
      <c r="R917" s="179">
        <v>0</v>
      </c>
      <c r="S917" s="159"/>
      <c r="T917" s="179" t="s">
        <v>109</v>
      </c>
      <c r="U917" s="185">
        <f t="shared" ref="U917:U919" si="271">IF($J$1="May",Y916,Y916)</f>
        <v>0</v>
      </c>
      <c r="V917" s="181"/>
      <c r="W917" s="185">
        <f t="shared" si="268"/>
        <v>0</v>
      </c>
      <c r="X917" s="181"/>
      <c r="Y917" s="185">
        <f t="shared" si="269"/>
        <v>0</v>
      </c>
      <c r="Z917" s="186"/>
      <c r="AA917" s="153"/>
      <c r="AB917" s="153"/>
      <c r="AC917" s="153"/>
    </row>
    <row r="918" spans="1:29" ht="18.75" customHeight="1" x14ac:dyDescent="0.25">
      <c r="A918" s="166"/>
      <c r="B918" s="152"/>
      <c r="C918" s="152"/>
      <c r="D918" s="152"/>
      <c r="E918" s="152"/>
      <c r="F918" s="152"/>
      <c r="G918" s="152"/>
      <c r="H918" s="152"/>
      <c r="I918" s="434"/>
      <c r="J918" s="435"/>
      <c r="K918" s="154"/>
      <c r="L918" s="189"/>
      <c r="M918" s="161"/>
      <c r="N918" s="178"/>
      <c r="O918" s="179" t="s">
        <v>85</v>
      </c>
      <c r="P918" s="179"/>
      <c r="Q918" s="179"/>
      <c r="R918" s="179">
        <v>0</v>
      </c>
      <c r="S918" s="159"/>
      <c r="T918" s="179" t="s">
        <v>85</v>
      </c>
      <c r="U918" s="185">
        <f t="shared" si="271"/>
        <v>0</v>
      </c>
      <c r="V918" s="181"/>
      <c r="W918" s="185">
        <f t="shared" si="268"/>
        <v>0</v>
      </c>
      <c r="X918" s="181"/>
      <c r="Y918" s="185">
        <f t="shared" si="269"/>
        <v>0</v>
      </c>
      <c r="Z918" s="186"/>
      <c r="AA918" s="153"/>
      <c r="AB918" s="153"/>
      <c r="AC918" s="153"/>
    </row>
    <row r="919" spans="1:29" ht="18.75" customHeight="1" x14ac:dyDescent="0.3">
      <c r="A919" s="166"/>
      <c r="B919" s="150"/>
      <c r="C919" s="150"/>
      <c r="D919" s="150"/>
      <c r="E919" s="150"/>
      <c r="F919" s="150"/>
      <c r="G919" s="150"/>
      <c r="H919" s="150"/>
      <c r="I919" s="434"/>
      <c r="J919" s="435"/>
      <c r="K919" s="154"/>
      <c r="L919" s="189"/>
      <c r="M919" s="161"/>
      <c r="N919" s="178"/>
      <c r="O919" s="179" t="s">
        <v>113</v>
      </c>
      <c r="P919" s="179">
        <v>18</v>
      </c>
      <c r="Q919" s="179">
        <v>13</v>
      </c>
      <c r="R919" s="179">
        <f t="shared" ref="R919:R924" si="272">IF(Q919="","",R918-Q919)</f>
        <v>-13</v>
      </c>
      <c r="S919" s="159"/>
      <c r="T919" s="179" t="s">
        <v>113</v>
      </c>
      <c r="U919" s="185">
        <f t="shared" si="271"/>
        <v>0</v>
      </c>
      <c r="V919" s="181"/>
      <c r="W919" s="185">
        <f t="shared" si="268"/>
        <v>0</v>
      </c>
      <c r="X919" s="181"/>
      <c r="Y919" s="185">
        <f t="shared" si="269"/>
        <v>0</v>
      </c>
      <c r="Z919" s="186"/>
      <c r="AA919" s="153"/>
      <c r="AB919" s="153"/>
      <c r="AC919" s="153"/>
    </row>
    <row r="920" spans="1:29" ht="18.75" customHeight="1" x14ac:dyDescent="0.3">
      <c r="A920" s="166"/>
      <c r="B920" s="150"/>
      <c r="C920" s="150"/>
      <c r="D920" s="150"/>
      <c r="E920" s="150"/>
      <c r="F920" s="150"/>
      <c r="G920" s="150"/>
      <c r="H920" s="150"/>
      <c r="I920" s="150"/>
      <c r="J920" s="150"/>
      <c r="K920" s="150"/>
      <c r="L920" s="189"/>
      <c r="M920" s="161"/>
      <c r="N920" s="178"/>
      <c r="O920" s="179" t="s">
        <v>115</v>
      </c>
      <c r="P920" s="179"/>
      <c r="Q920" s="179"/>
      <c r="R920" s="179" t="str">
        <f t="shared" si="272"/>
        <v/>
      </c>
      <c r="S920" s="159"/>
      <c r="T920" s="179" t="s">
        <v>115</v>
      </c>
      <c r="U920" s="185" t="str">
        <f t="shared" ref="U920:U921" si="273">IF($J$1="September",Y919,"")</f>
        <v/>
      </c>
      <c r="V920" s="181"/>
      <c r="W920" s="185" t="str">
        <f t="shared" si="268"/>
        <v/>
      </c>
      <c r="X920" s="181"/>
      <c r="Y920" s="185" t="str">
        <f t="shared" si="269"/>
        <v/>
      </c>
      <c r="Z920" s="186"/>
      <c r="AA920" s="153"/>
      <c r="AB920" s="153"/>
      <c r="AC920" s="153"/>
    </row>
    <row r="921" spans="1:29" ht="18.75" customHeight="1" thickBot="1" x14ac:dyDescent="0.3">
      <c r="A921" s="200"/>
      <c r="B921" s="216"/>
      <c r="C921" s="216"/>
      <c r="D921" s="216"/>
      <c r="E921" s="216"/>
      <c r="F921" s="216"/>
      <c r="G921" s="216"/>
      <c r="H921" s="216"/>
      <c r="I921" s="216"/>
      <c r="J921" s="216"/>
      <c r="K921" s="216"/>
      <c r="L921" s="202"/>
      <c r="M921" s="161"/>
      <c r="N921" s="178"/>
      <c r="O921" s="179" t="s">
        <v>118</v>
      </c>
      <c r="P921" s="179"/>
      <c r="Q921" s="179"/>
      <c r="R921" s="179" t="str">
        <f t="shared" si="272"/>
        <v/>
      </c>
      <c r="S921" s="159"/>
      <c r="T921" s="179" t="s">
        <v>118</v>
      </c>
      <c r="U921" s="185" t="str">
        <f t="shared" si="273"/>
        <v/>
      </c>
      <c r="V921" s="181"/>
      <c r="W921" s="185" t="str">
        <f t="shared" si="268"/>
        <v/>
      </c>
      <c r="X921" s="181"/>
      <c r="Y921" s="185" t="str">
        <f t="shared" si="269"/>
        <v/>
      </c>
      <c r="Z921" s="186"/>
      <c r="AA921" s="153"/>
      <c r="AB921" s="153"/>
      <c r="AC921" s="153"/>
    </row>
    <row r="922" spans="1:29" ht="18.75" customHeight="1" thickBot="1" x14ac:dyDescent="0.35">
      <c r="A922" s="150"/>
      <c r="B922" s="150"/>
      <c r="C922" s="150"/>
      <c r="D922" s="150"/>
      <c r="E922" s="150"/>
      <c r="F922" s="150"/>
      <c r="G922" s="150"/>
      <c r="H922" s="150"/>
      <c r="I922" s="150"/>
      <c r="J922" s="150"/>
      <c r="K922" s="150"/>
      <c r="L922" s="150"/>
      <c r="M922" s="161"/>
      <c r="N922" s="178"/>
      <c r="O922" s="179" t="s">
        <v>119</v>
      </c>
      <c r="P922" s="179"/>
      <c r="Q922" s="179"/>
      <c r="R922" s="179" t="str">
        <f t="shared" si="272"/>
        <v/>
      </c>
      <c r="S922" s="159"/>
      <c r="T922" s="179" t="s">
        <v>119</v>
      </c>
      <c r="U922" s="185" t="str">
        <f>IF($J$1="October",Y921,"")</f>
        <v/>
      </c>
      <c r="V922" s="181"/>
      <c r="W922" s="185" t="str">
        <f t="shared" si="268"/>
        <v/>
      </c>
      <c r="X922" s="181"/>
      <c r="Y922" s="185" t="str">
        <f t="shared" si="269"/>
        <v/>
      </c>
      <c r="Z922" s="186"/>
      <c r="AA922" s="153"/>
      <c r="AB922" s="153"/>
      <c r="AC922" s="153"/>
    </row>
    <row r="923" spans="1:29" ht="18.75" customHeight="1" x14ac:dyDescent="0.25">
      <c r="A923" s="436" t="s">
        <v>89</v>
      </c>
      <c r="B923" s="437"/>
      <c r="C923" s="437"/>
      <c r="D923" s="437"/>
      <c r="E923" s="437"/>
      <c r="F923" s="437"/>
      <c r="G923" s="437"/>
      <c r="H923" s="437"/>
      <c r="I923" s="437"/>
      <c r="J923" s="437"/>
      <c r="K923" s="437"/>
      <c r="L923" s="438"/>
      <c r="M923" s="161"/>
      <c r="N923" s="178"/>
      <c r="O923" s="179" t="s">
        <v>120</v>
      </c>
      <c r="P923" s="179"/>
      <c r="Q923" s="179"/>
      <c r="R923" s="179" t="str">
        <f t="shared" si="272"/>
        <v/>
      </c>
      <c r="S923" s="159"/>
      <c r="T923" s="179" t="s">
        <v>120</v>
      </c>
      <c r="U923" s="185" t="str">
        <f>IF($J$1="November",Y922,"")</f>
        <v/>
      </c>
      <c r="V923" s="181"/>
      <c r="W923" s="185" t="str">
        <f t="shared" si="268"/>
        <v/>
      </c>
      <c r="X923" s="181"/>
      <c r="Y923" s="185" t="str">
        <f t="shared" si="269"/>
        <v/>
      </c>
      <c r="Z923" s="186"/>
      <c r="AA923" s="153"/>
      <c r="AB923" s="153"/>
      <c r="AC923" s="153"/>
    </row>
    <row r="924" spans="1:29" ht="18.75" customHeight="1" x14ac:dyDescent="0.25">
      <c r="A924" s="166"/>
      <c r="B924" s="152"/>
      <c r="C924" s="443" t="s">
        <v>92</v>
      </c>
      <c r="D924" s="435"/>
      <c r="E924" s="435"/>
      <c r="F924" s="435"/>
      <c r="G924" s="167" t="str">
        <f>$J$1</f>
        <v>August</v>
      </c>
      <c r="H924" s="444">
        <f>$K$1</f>
        <v>2024</v>
      </c>
      <c r="I924" s="435"/>
      <c r="J924" s="152"/>
      <c r="K924" s="168"/>
      <c r="L924" s="169"/>
      <c r="M924" s="161"/>
      <c r="N924" s="178"/>
      <c r="O924" s="179" t="s">
        <v>121</v>
      </c>
      <c r="P924" s="179"/>
      <c r="Q924" s="179"/>
      <c r="R924" s="179" t="str">
        <f t="shared" si="272"/>
        <v/>
      </c>
      <c r="S924" s="159"/>
      <c r="T924" s="179" t="s">
        <v>121</v>
      </c>
      <c r="U924" s="185" t="str">
        <f>IF($J$1="Dec",Y923,"")</f>
        <v/>
      </c>
      <c r="V924" s="181"/>
      <c r="W924" s="185" t="str">
        <f t="shared" si="268"/>
        <v/>
      </c>
      <c r="X924" s="181"/>
      <c r="Y924" s="185" t="str">
        <f t="shared" si="269"/>
        <v/>
      </c>
      <c r="Z924" s="186"/>
      <c r="AA924" s="153"/>
      <c r="AB924" s="153"/>
      <c r="AC924" s="153"/>
    </row>
    <row r="925" spans="1:29" ht="18.75" customHeight="1" thickBot="1" x14ac:dyDescent="0.3">
      <c r="A925" s="166"/>
      <c r="B925" s="152"/>
      <c r="C925" s="152"/>
      <c r="D925" s="175"/>
      <c r="E925" s="175"/>
      <c r="F925" s="175"/>
      <c r="G925" s="175"/>
      <c r="H925" s="175"/>
      <c r="I925" s="152"/>
      <c r="J925" s="176" t="s">
        <v>99</v>
      </c>
      <c r="K925" s="154">
        <v>40000</v>
      </c>
      <c r="L925" s="177"/>
      <c r="M925" s="161"/>
      <c r="N925" s="217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21"/>
      <c r="AA925" s="153"/>
      <c r="AB925" s="153"/>
      <c r="AC925" s="153"/>
    </row>
    <row r="926" spans="1:29" ht="27.75" customHeight="1" thickBot="1" x14ac:dyDescent="0.3">
      <c r="A926" s="166"/>
      <c r="B926" s="152" t="s">
        <v>101</v>
      </c>
      <c r="C926" s="267" t="s">
        <v>304</v>
      </c>
      <c r="D926" s="152"/>
      <c r="E926" s="152"/>
      <c r="F926" s="152"/>
      <c r="G926" s="152"/>
      <c r="H926" s="182"/>
      <c r="I926" s="175"/>
      <c r="J926" s="152"/>
      <c r="K926" s="152"/>
      <c r="L926" s="18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</row>
    <row r="927" spans="1:29" ht="27.75" customHeight="1" x14ac:dyDescent="0.25">
      <c r="A927" s="166"/>
      <c r="B927" s="187" t="s">
        <v>103</v>
      </c>
      <c r="C927" s="213">
        <v>45474</v>
      </c>
      <c r="D927" s="152"/>
      <c r="E927" s="152"/>
      <c r="F927" s="439" t="s">
        <v>91</v>
      </c>
      <c r="G927" s="413"/>
      <c r="H927" s="152"/>
      <c r="I927" s="439" t="s">
        <v>104</v>
      </c>
      <c r="J927" s="412"/>
      <c r="K927" s="413"/>
      <c r="L927" s="189"/>
      <c r="M927" s="162"/>
      <c r="N927" s="163"/>
      <c r="O927" s="440" t="s">
        <v>90</v>
      </c>
      <c r="P927" s="441"/>
      <c r="Q927" s="441"/>
      <c r="R927" s="442"/>
      <c r="S927" s="164"/>
      <c r="T927" s="440" t="s">
        <v>91</v>
      </c>
      <c r="U927" s="441"/>
      <c r="V927" s="441"/>
      <c r="W927" s="441"/>
      <c r="X927" s="441"/>
      <c r="Y927" s="442"/>
      <c r="Z927" s="165"/>
      <c r="AA927" s="153"/>
      <c r="AB927" s="153"/>
      <c r="AC927" s="153"/>
    </row>
    <row r="928" spans="1:29" ht="27.75" customHeight="1" x14ac:dyDescent="0.25">
      <c r="A928" s="166"/>
      <c r="B928" s="152"/>
      <c r="C928" s="152"/>
      <c r="D928" s="152"/>
      <c r="E928" s="152"/>
      <c r="F928" s="152"/>
      <c r="G928" s="152"/>
      <c r="H928" s="190"/>
      <c r="I928" s="152"/>
      <c r="J928" s="152"/>
      <c r="K928" s="152"/>
      <c r="L928" s="191"/>
      <c r="M928" s="170"/>
      <c r="N928" s="171"/>
      <c r="O928" s="172" t="s">
        <v>93</v>
      </c>
      <c r="P928" s="172" t="s">
        <v>94</v>
      </c>
      <c r="Q928" s="172" t="s">
        <v>95</v>
      </c>
      <c r="R928" s="172" t="s">
        <v>96</v>
      </c>
      <c r="S928" s="173"/>
      <c r="T928" s="172" t="s">
        <v>93</v>
      </c>
      <c r="U928" s="172" t="s">
        <v>97</v>
      </c>
      <c r="V928" s="172" t="s">
        <v>9</v>
      </c>
      <c r="W928" s="172" t="s">
        <v>10</v>
      </c>
      <c r="X928" s="172" t="s">
        <v>11</v>
      </c>
      <c r="Y928" s="172" t="s">
        <v>98</v>
      </c>
      <c r="Z928" s="174"/>
      <c r="AA928" s="153"/>
      <c r="AB928" s="153"/>
      <c r="AC928" s="153"/>
    </row>
    <row r="929" spans="1:29" ht="18.75" customHeight="1" x14ac:dyDescent="0.25">
      <c r="A929" s="166"/>
      <c r="B929" s="445" t="s">
        <v>90</v>
      </c>
      <c r="C929" s="413"/>
      <c r="D929" s="152"/>
      <c r="E929" s="152"/>
      <c r="F929" s="192" t="s">
        <v>107</v>
      </c>
      <c r="G929" s="193" t="str">
        <f>IF($J$1="January",U929,IF($J$1="February",U930,IF($J$1="March",U931,IF($J$1="April",U932,IF($J$1="May",U933,IF($J$1="June",U934,IF($J$1="July",U935,IF($J$1="August",U936,IF($J$1="August",U936,IF($J$1="September",U937,IF($J$1="October",U938,IF($J$1="November",U939,IF($J$1="December",U940)))))))))))))</f>
        <v/>
      </c>
      <c r="H929" s="190"/>
      <c r="I929" s="194">
        <f>IF(C933&gt;0,$K$2,C931)</f>
        <v>31</v>
      </c>
      <c r="J929" s="195" t="s">
        <v>108</v>
      </c>
      <c r="K929" s="196">
        <f>K925/$K$2*I929</f>
        <v>40000</v>
      </c>
      <c r="L929" s="197"/>
      <c r="M929" s="161"/>
      <c r="N929" s="178"/>
      <c r="O929" s="179" t="s">
        <v>100</v>
      </c>
      <c r="P929" s="179"/>
      <c r="Q929" s="179"/>
      <c r="R929" s="179"/>
      <c r="S929" s="180"/>
      <c r="T929" s="179" t="s">
        <v>100</v>
      </c>
      <c r="U929" s="181"/>
      <c r="V929" s="181"/>
      <c r="W929" s="181">
        <f>V929+U929</f>
        <v>0</v>
      </c>
      <c r="X929" s="181"/>
      <c r="Y929" s="181">
        <f>W929-X929</f>
        <v>0</v>
      </c>
      <c r="Z929" s="174"/>
      <c r="AA929" s="153"/>
      <c r="AB929" s="153"/>
      <c r="AC929" s="153"/>
    </row>
    <row r="930" spans="1:29" ht="18.75" customHeight="1" x14ac:dyDescent="0.25">
      <c r="A930" s="166"/>
      <c r="B930" s="198"/>
      <c r="C930" s="198"/>
      <c r="D930" s="152"/>
      <c r="E930" s="152"/>
      <c r="F930" s="192" t="s">
        <v>9</v>
      </c>
      <c r="G930" s="193">
        <f>IF($J$1="January",V929,IF($J$1="February",V930,IF($J$1="March",V931,IF($J$1="April",V932,IF($J$1="May",V933,IF($J$1="June",V934,IF($J$1="July",V935,IF($J$1="August",V936,IF($J$1="August",V936,IF($J$1="September",V937,IF($J$1="October",V938,IF($J$1="November",V939,IF($J$1="December",V940)))))))))))))</f>
        <v>0</v>
      </c>
      <c r="H930" s="190"/>
      <c r="I930" s="214">
        <v>0</v>
      </c>
      <c r="J930" s="195" t="s">
        <v>110</v>
      </c>
      <c r="K930" s="193">
        <f>K925/$K$2/8*I930</f>
        <v>0</v>
      </c>
      <c r="L930" s="199"/>
      <c r="M930" s="162"/>
      <c r="N930" s="184"/>
      <c r="O930" s="179" t="s">
        <v>102</v>
      </c>
      <c r="P930" s="179"/>
      <c r="Q930" s="179"/>
      <c r="R930" s="179" t="str">
        <f t="shared" ref="R930:R931" si="274">IF(Q930="","",R929-Q930)</f>
        <v/>
      </c>
      <c r="S930" s="159"/>
      <c r="T930" s="179" t="s">
        <v>102</v>
      </c>
      <c r="U930" s="185">
        <f>Y929</f>
        <v>0</v>
      </c>
      <c r="V930" s="181"/>
      <c r="W930" s="185">
        <f t="shared" ref="W930:W940" si="275">IF(U930="","",U930+V930)</f>
        <v>0</v>
      </c>
      <c r="X930" s="181"/>
      <c r="Y930" s="185">
        <f t="shared" ref="Y930:Y940" si="276">IF(W930="","",W930-X930)</f>
        <v>0</v>
      </c>
      <c r="Z930" s="186"/>
      <c r="AA930" s="153"/>
      <c r="AB930" s="153"/>
      <c r="AC930" s="153"/>
    </row>
    <row r="931" spans="1:29" ht="18.75" customHeight="1" x14ac:dyDescent="0.25">
      <c r="A931" s="166"/>
      <c r="B931" s="192" t="s">
        <v>94</v>
      </c>
      <c r="C931" s="198">
        <f>IF($J$1="January",P929,IF($J$1="February",P930,IF($J$1="March",P931,IF($J$1="April",P932,IF($J$1="May",P933,IF($J$1="June",P934,IF($J$1="July",P935,IF($J$1="August",P936,IF($J$1="August",P936,IF($J$1="September",P937,IF($J$1="October",P938,IF($J$1="November",P939,IF($J$1="December",P940)))))))))))))</f>
        <v>0</v>
      </c>
      <c r="D931" s="152"/>
      <c r="E931" s="152"/>
      <c r="F931" s="192" t="s">
        <v>111</v>
      </c>
      <c r="G931" s="193" t="str">
        <f>IF($J$1="January",W929,IF($J$1="February",W930,IF($J$1="March",W931,IF($J$1="April",W932,IF($J$1="May",W933,IF($J$1="June",W934,IF($J$1="July",W935,IF($J$1="August",W936,IF($J$1="August",W936,IF($J$1="September",W937,IF($J$1="October",W938,IF($J$1="November",W939,IF($J$1="December",W940)))))))))))))</f>
        <v/>
      </c>
      <c r="H931" s="190"/>
      <c r="I931" s="446" t="s">
        <v>112</v>
      </c>
      <c r="J931" s="413"/>
      <c r="K931" s="193">
        <f>K929+K930</f>
        <v>40000</v>
      </c>
      <c r="L931" s="199"/>
      <c r="M931" s="161"/>
      <c r="N931" s="178"/>
      <c r="O931" s="179" t="s">
        <v>105</v>
      </c>
      <c r="P931" s="179"/>
      <c r="Q931" s="179"/>
      <c r="R931" s="179" t="str">
        <f t="shared" si="274"/>
        <v/>
      </c>
      <c r="S931" s="159"/>
      <c r="T931" s="179" t="s">
        <v>105</v>
      </c>
      <c r="U931" s="185">
        <f t="shared" ref="U931:U932" si="277">IF($J$1="April",Y930,Y930)</f>
        <v>0</v>
      </c>
      <c r="V931" s="181"/>
      <c r="W931" s="185">
        <f t="shared" si="275"/>
        <v>0</v>
      </c>
      <c r="X931" s="181"/>
      <c r="Y931" s="185">
        <f t="shared" si="276"/>
        <v>0</v>
      </c>
      <c r="Z931" s="186"/>
      <c r="AA931" s="153"/>
      <c r="AB931" s="153"/>
      <c r="AC931" s="153"/>
    </row>
    <row r="932" spans="1:29" ht="18.75" customHeight="1" x14ac:dyDescent="0.25">
      <c r="A932" s="166"/>
      <c r="B932" s="192" t="s">
        <v>95</v>
      </c>
      <c r="C932" s="198">
        <f>IF($J$1="January",Q929,IF($J$1="February",Q930,IF($J$1="March",Q931,IF($J$1="April",Q932,IF($J$1="May",Q933,IF($J$1="June",Q934,IF($J$1="July",Q935,IF($J$1="August",Q936,IF($J$1="August",Q936,IF($J$1="September",Q937,IF($J$1="October",Q938,IF($J$1="November",Q939,IF($J$1="December",Q940)))))))))))))</f>
        <v>0</v>
      </c>
      <c r="D932" s="152"/>
      <c r="E932" s="152"/>
      <c r="F932" s="192" t="s">
        <v>11</v>
      </c>
      <c r="G932" s="193">
        <f>IF($J$1="January",X929,IF($J$1="February",X930,IF($J$1="March",X931,IF($J$1="April",X932,IF($J$1="May",X933,IF($J$1="June",X934,IF($J$1="July",X935,IF($J$1="August",X936,IF($J$1="August",X936,IF($J$1="September",X937,IF($J$1="October",X938,IF($J$1="November",X939,IF($J$1="December",X940)))))))))))))</f>
        <v>0</v>
      </c>
      <c r="H932" s="190"/>
      <c r="I932" s="446" t="s">
        <v>114</v>
      </c>
      <c r="J932" s="413"/>
      <c r="K932" s="193">
        <f>G932</f>
        <v>0</v>
      </c>
      <c r="L932" s="199"/>
      <c r="M932" s="161"/>
      <c r="N932" s="178"/>
      <c r="O932" s="179" t="s">
        <v>106</v>
      </c>
      <c r="P932" s="179"/>
      <c r="Q932" s="179"/>
      <c r="R932" s="179">
        <v>0</v>
      </c>
      <c r="S932" s="159"/>
      <c r="T932" s="179" t="s">
        <v>106</v>
      </c>
      <c r="U932" s="185">
        <f t="shared" si="277"/>
        <v>0</v>
      </c>
      <c r="V932" s="181"/>
      <c r="W932" s="185">
        <f t="shared" si="275"/>
        <v>0</v>
      </c>
      <c r="X932" s="181"/>
      <c r="Y932" s="185">
        <f t="shared" si="276"/>
        <v>0</v>
      </c>
      <c r="Z932" s="186"/>
      <c r="AA932" s="153"/>
      <c r="AB932" s="153"/>
      <c r="AC932" s="153"/>
    </row>
    <row r="933" spans="1:29" ht="18.75" customHeight="1" x14ac:dyDescent="0.25">
      <c r="A933" s="166"/>
      <c r="B933" s="215" t="s">
        <v>116</v>
      </c>
      <c r="C933" s="198" t="str">
        <f>IF($J$1="January",R929,IF($J$1="February",R930,IF($J$1="March",R931,IF($J$1="April",R932,IF($J$1="May",R933,IF($J$1="June",R934,IF($J$1="July",R935,IF($J$1="August",R936,IF($J$1="August",R936,IF($J$1="September",R937,IF($J$1="October",R938,IF($J$1="November",R939,IF($J$1="December",R940)))))))))))))</f>
        <v/>
      </c>
      <c r="D933" s="152"/>
      <c r="E933" s="152"/>
      <c r="F933" s="192" t="s">
        <v>169</v>
      </c>
      <c r="G933" s="193" t="str">
        <f>IF($J$1="January",Y929,IF($J$1="February",Y930,IF($J$1="March",Y931,IF($J$1="April",Y932,IF($J$1="May",Y933,IF($J$1="June",Y934,IF($J$1="July",Y935,IF($J$1="August",Y936,IF($J$1="August",Y936,IF($J$1="September",Y937,IF($J$1="October",Y938,IF($J$1="November",Y939,IF($J$1="December",Y940)))))))))))))</f>
        <v/>
      </c>
      <c r="H933" s="152"/>
      <c r="I933" s="439" t="s">
        <v>13</v>
      </c>
      <c r="J933" s="413"/>
      <c r="K933" s="37">
        <f>K931-K932</f>
        <v>40000</v>
      </c>
      <c r="L933" s="183"/>
      <c r="M933" s="161"/>
      <c r="N933" s="178"/>
      <c r="O933" s="179" t="s">
        <v>109</v>
      </c>
      <c r="P933" s="179"/>
      <c r="Q933" s="179"/>
      <c r="R933" s="179">
        <v>0</v>
      </c>
      <c r="S933" s="159"/>
      <c r="T933" s="179" t="s">
        <v>109</v>
      </c>
      <c r="U933" s="185">
        <f t="shared" ref="U933:U935" si="278">IF($J$1="May",Y932,Y932)</f>
        <v>0</v>
      </c>
      <c r="V933" s="181"/>
      <c r="W933" s="185">
        <f t="shared" si="275"/>
        <v>0</v>
      </c>
      <c r="X933" s="181"/>
      <c r="Y933" s="185">
        <f t="shared" si="276"/>
        <v>0</v>
      </c>
      <c r="Z933" s="186"/>
      <c r="AA933" s="153"/>
      <c r="AB933" s="153"/>
      <c r="AC933" s="153"/>
    </row>
    <row r="934" spans="1:29" ht="18.75" customHeight="1" x14ac:dyDescent="0.25">
      <c r="A934" s="166"/>
      <c r="B934" s="152"/>
      <c r="C934" s="152"/>
      <c r="D934" s="152"/>
      <c r="E934" s="152"/>
      <c r="F934" s="152"/>
      <c r="G934" s="152"/>
      <c r="H934" s="152"/>
      <c r="I934" s="434"/>
      <c r="J934" s="435"/>
      <c r="K934" s="154"/>
      <c r="L934" s="189"/>
      <c r="M934" s="161"/>
      <c r="N934" s="178"/>
      <c r="O934" s="179" t="s">
        <v>85</v>
      </c>
      <c r="P934" s="179"/>
      <c r="Q934" s="179"/>
      <c r="R934" s="179">
        <v>0</v>
      </c>
      <c r="S934" s="159"/>
      <c r="T934" s="179" t="s">
        <v>85</v>
      </c>
      <c r="U934" s="185">
        <f t="shared" si="278"/>
        <v>0</v>
      </c>
      <c r="V934" s="181"/>
      <c r="W934" s="185">
        <f t="shared" si="275"/>
        <v>0</v>
      </c>
      <c r="X934" s="181"/>
      <c r="Y934" s="185">
        <f t="shared" si="276"/>
        <v>0</v>
      </c>
      <c r="Z934" s="186"/>
      <c r="AA934" s="153"/>
      <c r="AB934" s="153"/>
      <c r="AC934" s="153"/>
    </row>
    <row r="935" spans="1:29" ht="18.75" customHeight="1" x14ac:dyDescent="0.3">
      <c r="A935" s="166"/>
      <c r="B935" s="150"/>
      <c r="C935" s="150"/>
      <c r="D935" s="150"/>
      <c r="E935" s="150"/>
      <c r="F935" s="150"/>
      <c r="G935" s="150"/>
      <c r="H935" s="150"/>
      <c r="I935" s="434"/>
      <c r="J935" s="435"/>
      <c r="K935" s="154"/>
      <c r="L935" s="189"/>
      <c r="M935" s="161"/>
      <c r="N935" s="178"/>
      <c r="O935" s="179" t="s">
        <v>113</v>
      </c>
      <c r="P935" s="179">
        <v>26</v>
      </c>
      <c r="Q935" s="179">
        <v>5</v>
      </c>
      <c r="R935" s="179">
        <f t="shared" ref="R935:R940" si="279">IF(Q935="","",R934-Q935)</f>
        <v>-5</v>
      </c>
      <c r="S935" s="159"/>
      <c r="T935" s="179" t="s">
        <v>113</v>
      </c>
      <c r="U935" s="185">
        <f t="shared" si="278"/>
        <v>0</v>
      </c>
      <c r="V935" s="181"/>
      <c r="W935" s="185">
        <f t="shared" si="275"/>
        <v>0</v>
      </c>
      <c r="X935" s="181"/>
      <c r="Y935" s="185">
        <f t="shared" si="276"/>
        <v>0</v>
      </c>
      <c r="Z935" s="186"/>
      <c r="AA935" s="153"/>
      <c r="AB935" s="153"/>
      <c r="AC935" s="153"/>
    </row>
    <row r="936" spans="1:29" ht="18.75" customHeight="1" x14ac:dyDescent="0.3">
      <c r="A936" s="166"/>
      <c r="B936" s="150"/>
      <c r="C936" s="150"/>
      <c r="D936" s="150"/>
      <c r="E936" s="150"/>
      <c r="F936" s="150"/>
      <c r="G936" s="150"/>
      <c r="H936" s="150"/>
      <c r="I936" s="150"/>
      <c r="J936" s="150"/>
      <c r="K936" s="150"/>
      <c r="L936" s="189"/>
      <c r="M936" s="161"/>
      <c r="N936" s="178"/>
      <c r="O936" s="179" t="s">
        <v>115</v>
      </c>
      <c r="P936" s="179"/>
      <c r="Q936" s="179"/>
      <c r="R936" s="179" t="str">
        <f t="shared" si="279"/>
        <v/>
      </c>
      <c r="S936" s="159"/>
      <c r="T936" s="179" t="s">
        <v>115</v>
      </c>
      <c r="U936" s="185" t="str">
        <f t="shared" ref="U936:U937" si="280">IF($J$1="September",Y935,"")</f>
        <v/>
      </c>
      <c r="V936" s="181"/>
      <c r="W936" s="185" t="str">
        <f t="shared" si="275"/>
        <v/>
      </c>
      <c r="X936" s="181"/>
      <c r="Y936" s="185" t="str">
        <f t="shared" si="276"/>
        <v/>
      </c>
      <c r="Z936" s="186"/>
      <c r="AA936" s="153"/>
      <c r="AB936" s="153"/>
      <c r="AC936" s="153"/>
    </row>
    <row r="937" spans="1:29" ht="18.75" customHeight="1" thickBot="1" x14ac:dyDescent="0.3">
      <c r="A937" s="200"/>
      <c r="B937" s="216"/>
      <c r="C937" s="216"/>
      <c r="D937" s="216"/>
      <c r="E937" s="216"/>
      <c r="F937" s="216"/>
      <c r="G937" s="216"/>
      <c r="H937" s="216"/>
      <c r="I937" s="216"/>
      <c r="J937" s="216"/>
      <c r="K937" s="216"/>
      <c r="L937" s="202"/>
      <c r="M937" s="161"/>
      <c r="N937" s="178"/>
      <c r="O937" s="179" t="s">
        <v>118</v>
      </c>
      <c r="P937" s="179"/>
      <c r="Q937" s="179"/>
      <c r="R937" s="179" t="str">
        <f t="shared" si="279"/>
        <v/>
      </c>
      <c r="S937" s="159"/>
      <c r="T937" s="179" t="s">
        <v>118</v>
      </c>
      <c r="U937" s="185" t="str">
        <f t="shared" si="280"/>
        <v/>
      </c>
      <c r="V937" s="181"/>
      <c r="W937" s="185" t="str">
        <f t="shared" si="275"/>
        <v/>
      </c>
      <c r="X937" s="181"/>
      <c r="Y937" s="185" t="str">
        <f t="shared" si="276"/>
        <v/>
      </c>
      <c r="Z937" s="186"/>
      <c r="AA937" s="153"/>
      <c r="AB937" s="153"/>
      <c r="AC937" s="153"/>
    </row>
    <row r="938" spans="1:29" ht="18.75" customHeight="1" thickBot="1" x14ac:dyDescent="0.35">
      <c r="A938" s="150"/>
      <c r="B938" s="150"/>
      <c r="C938" s="150"/>
      <c r="D938" s="150"/>
      <c r="E938" s="150"/>
      <c r="F938" s="150"/>
      <c r="G938" s="150"/>
      <c r="H938" s="150"/>
      <c r="I938" s="150"/>
      <c r="J938" s="150"/>
      <c r="K938" s="150"/>
      <c r="L938" s="150"/>
      <c r="M938" s="161"/>
      <c r="N938" s="178"/>
      <c r="O938" s="179" t="s">
        <v>119</v>
      </c>
      <c r="P938" s="179"/>
      <c r="Q938" s="179"/>
      <c r="R938" s="179" t="str">
        <f t="shared" si="279"/>
        <v/>
      </c>
      <c r="S938" s="159"/>
      <c r="T938" s="179" t="s">
        <v>119</v>
      </c>
      <c r="U938" s="185" t="str">
        <f>IF($J$1="October",Y937,"")</f>
        <v/>
      </c>
      <c r="V938" s="181"/>
      <c r="W938" s="185" t="str">
        <f t="shared" si="275"/>
        <v/>
      </c>
      <c r="X938" s="181"/>
      <c r="Y938" s="185" t="str">
        <f t="shared" si="276"/>
        <v/>
      </c>
      <c r="Z938" s="186"/>
      <c r="AA938" s="153"/>
      <c r="AB938" s="153"/>
      <c r="AC938" s="153"/>
    </row>
    <row r="939" spans="1:29" ht="18.75" customHeight="1" x14ac:dyDescent="0.25">
      <c r="A939" s="436" t="s">
        <v>89</v>
      </c>
      <c r="B939" s="437"/>
      <c r="C939" s="437"/>
      <c r="D939" s="437"/>
      <c r="E939" s="437"/>
      <c r="F939" s="437"/>
      <c r="G939" s="437"/>
      <c r="H939" s="437"/>
      <c r="I939" s="437"/>
      <c r="J939" s="437"/>
      <c r="K939" s="437"/>
      <c r="L939" s="438"/>
      <c r="M939" s="161"/>
      <c r="N939" s="178"/>
      <c r="O939" s="179" t="s">
        <v>120</v>
      </c>
      <c r="P939" s="179"/>
      <c r="Q939" s="179"/>
      <c r="R939" s="179" t="str">
        <f t="shared" si="279"/>
        <v/>
      </c>
      <c r="S939" s="159"/>
      <c r="T939" s="179" t="s">
        <v>120</v>
      </c>
      <c r="U939" s="185" t="str">
        <f>IF($J$1="November",Y938,"")</f>
        <v/>
      </c>
      <c r="V939" s="181"/>
      <c r="W939" s="185" t="str">
        <f t="shared" si="275"/>
        <v/>
      </c>
      <c r="X939" s="181"/>
      <c r="Y939" s="185" t="str">
        <f t="shared" si="276"/>
        <v/>
      </c>
      <c r="Z939" s="186"/>
      <c r="AA939" s="153"/>
      <c r="AB939" s="153"/>
      <c r="AC939" s="153"/>
    </row>
    <row r="940" spans="1:29" ht="18.75" customHeight="1" x14ac:dyDescent="0.25">
      <c r="A940" s="166"/>
      <c r="B940" s="152"/>
      <c r="C940" s="443" t="s">
        <v>92</v>
      </c>
      <c r="D940" s="435"/>
      <c r="E940" s="435"/>
      <c r="F940" s="435"/>
      <c r="G940" s="167" t="str">
        <f>$J$1</f>
        <v>August</v>
      </c>
      <c r="H940" s="444">
        <f>$K$1</f>
        <v>2024</v>
      </c>
      <c r="I940" s="435"/>
      <c r="J940" s="152"/>
      <c r="K940" s="168"/>
      <c r="L940" s="169"/>
      <c r="M940" s="161"/>
      <c r="N940" s="178"/>
      <c r="O940" s="179" t="s">
        <v>121</v>
      </c>
      <c r="P940" s="179"/>
      <c r="Q940" s="179"/>
      <c r="R940" s="179" t="str">
        <f t="shared" si="279"/>
        <v/>
      </c>
      <c r="S940" s="159"/>
      <c r="T940" s="179" t="s">
        <v>121</v>
      </c>
      <c r="U940" s="185" t="str">
        <f>IF($J$1="Dec",Y939,"")</f>
        <v/>
      </c>
      <c r="V940" s="181"/>
      <c r="W940" s="185" t="str">
        <f t="shared" si="275"/>
        <v/>
      </c>
      <c r="X940" s="181"/>
      <c r="Y940" s="185" t="str">
        <f t="shared" si="276"/>
        <v/>
      </c>
      <c r="Z940" s="186"/>
      <c r="AA940" s="153"/>
      <c r="AB940" s="153"/>
      <c r="AC940" s="153"/>
    </row>
    <row r="941" spans="1:29" ht="18.75" customHeight="1" thickBot="1" x14ac:dyDescent="0.3">
      <c r="A941" s="166"/>
      <c r="B941" s="152"/>
      <c r="C941" s="152"/>
      <c r="D941" s="175"/>
      <c r="E941" s="175"/>
      <c r="F941" s="175"/>
      <c r="G941" s="175"/>
      <c r="H941" s="175"/>
      <c r="I941" s="152"/>
      <c r="J941" s="176" t="s">
        <v>99</v>
      </c>
      <c r="K941" s="154">
        <v>1500</v>
      </c>
      <c r="L941" s="177"/>
      <c r="M941" s="161"/>
      <c r="N941" s="217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21"/>
      <c r="AA941" s="153"/>
      <c r="AB941" s="153"/>
      <c r="AC941" s="153"/>
    </row>
    <row r="942" spans="1:29" ht="27.75" customHeight="1" thickBot="1" x14ac:dyDescent="0.3">
      <c r="A942" s="166"/>
      <c r="B942" s="152" t="s">
        <v>101</v>
      </c>
      <c r="C942" s="151" t="s">
        <v>305</v>
      </c>
      <c r="D942" s="152"/>
      <c r="E942" s="152"/>
      <c r="F942" s="152"/>
      <c r="G942" s="152"/>
      <c r="H942" s="182"/>
      <c r="I942" s="175"/>
      <c r="J942" s="152"/>
      <c r="K942" s="152"/>
      <c r="L942" s="18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</row>
    <row r="943" spans="1:29" ht="27.75" customHeight="1" x14ac:dyDescent="0.25">
      <c r="A943" s="166"/>
      <c r="B943" s="187" t="s">
        <v>103</v>
      </c>
      <c r="C943" s="213"/>
      <c r="D943" s="152"/>
      <c r="E943" s="152"/>
      <c r="F943" s="439" t="s">
        <v>91</v>
      </c>
      <c r="G943" s="413"/>
      <c r="H943" s="152"/>
      <c r="I943" s="439" t="s">
        <v>104</v>
      </c>
      <c r="J943" s="412"/>
      <c r="K943" s="413"/>
      <c r="L943" s="189"/>
      <c r="M943" s="162"/>
      <c r="N943" s="163"/>
      <c r="O943" s="440" t="s">
        <v>90</v>
      </c>
      <c r="P943" s="441"/>
      <c r="Q943" s="441"/>
      <c r="R943" s="442"/>
      <c r="S943" s="164"/>
      <c r="T943" s="440" t="s">
        <v>91</v>
      </c>
      <c r="U943" s="441"/>
      <c r="V943" s="441"/>
      <c r="W943" s="441"/>
      <c r="X943" s="441"/>
      <c r="Y943" s="442"/>
      <c r="Z943" s="165"/>
      <c r="AA943" s="153"/>
      <c r="AB943" s="153"/>
      <c r="AC943" s="153"/>
    </row>
    <row r="944" spans="1:29" ht="27.75" customHeight="1" x14ac:dyDescent="0.25">
      <c r="A944" s="166"/>
      <c r="B944" s="152"/>
      <c r="C944" s="152"/>
      <c r="D944" s="152"/>
      <c r="E944" s="152"/>
      <c r="F944" s="152"/>
      <c r="G944" s="152"/>
      <c r="H944" s="190"/>
      <c r="I944" s="152"/>
      <c r="J944" s="152"/>
      <c r="K944" s="152"/>
      <c r="L944" s="191"/>
      <c r="M944" s="170"/>
      <c r="N944" s="171"/>
      <c r="O944" s="172" t="s">
        <v>93</v>
      </c>
      <c r="P944" s="172" t="s">
        <v>94</v>
      </c>
      <c r="Q944" s="172" t="s">
        <v>95</v>
      </c>
      <c r="R944" s="172" t="s">
        <v>96</v>
      </c>
      <c r="S944" s="173"/>
      <c r="T944" s="172" t="s">
        <v>93</v>
      </c>
      <c r="U944" s="172" t="s">
        <v>97</v>
      </c>
      <c r="V944" s="172" t="s">
        <v>9</v>
      </c>
      <c r="W944" s="172" t="s">
        <v>10</v>
      </c>
      <c r="X944" s="172" t="s">
        <v>11</v>
      </c>
      <c r="Y944" s="172" t="s">
        <v>98</v>
      </c>
      <c r="Z944" s="174"/>
      <c r="AA944" s="153"/>
      <c r="AB944" s="153"/>
      <c r="AC944" s="153"/>
    </row>
    <row r="945" spans="1:29" ht="18.75" customHeight="1" x14ac:dyDescent="0.25">
      <c r="A945" s="166"/>
      <c r="B945" s="445" t="s">
        <v>90</v>
      </c>
      <c r="C945" s="413"/>
      <c r="D945" s="152"/>
      <c r="E945" s="152"/>
      <c r="F945" s="192" t="s">
        <v>107</v>
      </c>
      <c r="G945" s="193" t="str">
        <f>IF($J$1="January",U945,IF($J$1="February",U946,IF($J$1="March",U947,IF($J$1="April",U948,IF($J$1="May",U949,IF($J$1="June",U950,IF($J$1="July",U951,IF($J$1="August",U952,IF($J$1="August",U952,IF($J$1="September",U953,IF($J$1="October",U954,IF($J$1="November",U955,IF($J$1="December",U956)))))))))))))</f>
        <v/>
      </c>
      <c r="H945" s="190"/>
      <c r="I945" s="194">
        <f>IF(C949&gt;0,$K$2,C947)</f>
        <v>31</v>
      </c>
      <c r="J945" s="195" t="s">
        <v>108</v>
      </c>
      <c r="K945" s="196">
        <f>K941*I945</f>
        <v>46500</v>
      </c>
      <c r="L945" s="197"/>
      <c r="M945" s="161"/>
      <c r="N945" s="178"/>
      <c r="O945" s="179" t="s">
        <v>100</v>
      </c>
      <c r="P945" s="179"/>
      <c r="Q945" s="179"/>
      <c r="R945" s="179"/>
      <c r="S945" s="180"/>
      <c r="T945" s="179" t="s">
        <v>100</v>
      </c>
      <c r="U945" s="181"/>
      <c r="V945" s="181"/>
      <c r="W945" s="181">
        <f>V945+U945</f>
        <v>0</v>
      </c>
      <c r="X945" s="181"/>
      <c r="Y945" s="181">
        <f>W945-X945</f>
        <v>0</v>
      </c>
      <c r="Z945" s="174"/>
      <c r="AA945" s="153"/>
      <c r="AB945" s="153"/>
      <c r="AC945" s="153"/>
    </row>
    <row r="946" spans="1:29" ht="18.75" customHeight="1" x14ac:dyDescent="0.25">
      <c r="A946" s="166"/>
      <c r="B946" s="198"/>
      <c r="C946" s="198"/>
      <c r="D946" s="152"/>
      <c r="E946" s="152"/>
      <c r="F946" s="192" t="s">
        <v>9</v>
      </c>
      <c r="G946" s="193">
        <f>IF($J$1="January",V945,IF($J$1="February",V946,IF($J$1="March",V947,IF($J$1="April",V948,IF($J$1="May",V949,IF($J$1="June",V950,IF($J$1="July",V951,IF($J$1="August",V952,IF($J$1="August",V952,IF($J$1="September",V953,IF($J$1="October",V954,IF($J$1="November",V955,IF($J$1="December",V956)))))))))))))</f>
        <v>0</v>
      </c>
      <c r="H946" s="190"/>
      <c r="I946" s="214"/>
      <c r="J946" s="195" t="s">
        <v>110</v>
      </c>
      <c r="K946" s="193">
        <f>K941/$K$2/8*I946</f>
        <v>0</v>
      </c>
      <c r="L946" s="199"/>
      <c r="M946" s="162"/>
      <c r="N946" s="184"/>
      <c r="O946" s="179" t="s">
        <v>102</v>
      </c>
      <c r="P946" s="179"/>
      <c r="Q946" s="179"/>
      <c r="R946" s="179" t="str">
        <f t="shared" ref="R946:R947" si="281">IF(Q946="","",R945-Q946)</f>
        <v/>
      </c>
      <c r="S946" s="159"/>
      <c r="T946" s="179" t="s">
        <v>102</v>
      </c>
      <c r="U946" s="185">
        <f>Y945</f>
        <v>0</v>
      </c>
      <c r="V946" s="181"/>
      <c r="W946" s="185">
        <f t="shared" ref="W946:W956" si="282">IF(U946="","",U946+V946)</f>
        <v>0</v>
      </c>
      <c r="X946" s="181"/>
      <c r="Y946" s="185">
        <f t="shared" ref="Y946:Y956" si="283">IF(W946="","",W946-X946)</f>
        <v>0</v>
      </c>
      <c r="Z946" s="186"/>
      <c r="AA946" s="153"/>
      <c r="AB946" s="153"/>
      <c r="AC946" s="153"/>
    </row>
    <row r="947" spans="1:29" ht="18.75" customHeight="1" x14ac:dyDescent="0.25">
      <c r="A947" s="166"/>
      <c r="B947" s="192" t="s">
        <v>94</v>
      </c>
      <c r="C947" s="198">
        <f>IF($J$1="January",P945,IF($J$1="February",P946,IF($J$1="March",P947,IF($J$1="April",P948,IF($J$1="May",P949,IF($J$1="June",P950,IF($J$1="July",P951,IF($J$1="August",P952,IF($J$1="August",P952,IF($J$1="September",P953,IF($J$1="October",P954,IF($J$1="November",P955,IF($J$1="December",P956)))))))))))))</f>
        <v>0</v>
      </c>
      <c r="D947" s="152"/>
      <c r="E947" s="152"/>
      <c r="F947" s="192" t="s">
        <v>111</v>
      </c>
      <c r="G947" s="193" t="str">
        <f>IF($J$1="January",W945,IF($J$1="February",W946,IF($J$1="March",W947,IF($J$1="April",W948,IF($J$1="May",W949,IF($J$1="June",W950,IF($J$1="July",W951,IF($J$1="August",W952,IF($J$1="August",W952,IF($J$1="September",W953,IF($J$1="October",W954,IF($J$1="November",W955,IF($J$1="December",W956)))))))))))))</f>
        <v/>
      </c>
      <c r="H947" s="190"/>
      <c r="I947" s="446" t="s">
        <v>112</v>
      </c>
      <c r="J947" s="413"/>
      <c r="K947" s="193">
        <f>K945+K946</f>
        <v>46500</v>
      </c>
      <c r="L947" s="199"/>
      <c r="M947" s="161"/>
      <c r="N947" s="178"/>
      <c r="O947" s="179" t="s">
        <v>105</v>
      </c>
      <c r="P947" s="179"/>
      <c r="Q947" s="179"/>
      <c r="R947" s="179" t="str">
        <f t="shared" si="281"/>
        <v/>
      </c>
      <c r="S947" s="159"/>
      <c r="T947" s="179" t="s">
        <v>105</v>
      </c>
      <c r="U947" s="185">
        <f t="shared" ref="U947:U948" si="284">IF($J$1="April",Y946,Y946)</f>
        <v>0</v>
      </c>
      <c r="V947" s="181"/>
      <c r="W947" s="185">
        <f t="shared" si="282"/>
        <v>0</v>
      </c>
      <c r="X947" s="181"/>
      <c r="Y947" s="185">
        <f t="shared" si="283"/>
        <v>0</v>
      </c>
      <c r="Z947" s="186"/>
      <c r="AA947" s="153"/>
      <c r="AB947" s="153"/>
      <c r="AC947" s="153"/>
    </row>
    <row r="948" spans="1:29" ht="18.75" customHeight="1" x14ac:dyDescent="0.25">
      <c r="A948" s="166"/>
      <c r="B948" s="192" t="s">
        <v>95</v>
      </c>
      <c r="C948" s="198">
        <f>IF($J$1="January",Q945,IF($J$1="February",Q946,IF($J$1="March",Q947,IF($J$1="April",Q948,IF($J$1="May",Q949,IF($J$1="June",Q950,IF($J$1="July",Q951,IF($J$1="August",Q952,IF($J$1="August",Q952,IF($J$1="September",Q953,IF($J$1="October",Q954,IF($J$1="November",Q955,IF($J$1="December",Q956)))))))))))))</f>
        <v>0</v>
      </c>
      <c r="D948" s="152"/>
      <c r="E948" s="152"/>
      <c r="F948" s="192" t="s">
        <v>11</v>
      </c>
      <c r="G948" s="193">
        <f>IF($J$1="January",X945,IF($J$1="February",X946,IF($J$1="March",X947,IF($J$1="April",X948,IF($J$1="May",X949,IF($J$1="June",X950,IF($J$1="July",X951,IF($J$1="August",X952,IF($J$1="August",X952,IF($J$1="September",X953,IF($J$1="October",X954,IF($J$1="November",X955,IF($J$1="December",X956)))))))))))))</f>
        <v>0</v>
      </c>
      <c r="H948" s="190"/>
      <c r="I948" s="446" t="s">
        <v>114</v>
      </c>
      <c r="J948" s="413"/>
      <c r="K948" s="193">
        <f>G948</f>
        <v>0</v>
      </c>
      <c r="L948" s="199"/>
      <c r="M948" s="161"/>
      <c r="N948" s="178"/>
      <c r="O948" s="179" t="s">
        <v>106</v>
      </c>
      <c r="P948" s="179"/>
      <c r="Q948" s="179"/>
      <c r="R948" s="179">
        <v>0</v>
      </c>
      <c r="S948" s="159"/>
      <c r="T948" s="179" t="s">
        <v>106</v>
      </c>
      <c r="U948" s="185">
        <f t="shared" si="284"/>
        <v>0</v>
      </c>
      <c r="V948" s="181"/>
      <c r="W948" s="185">
        <f t="shared" si="282"/>
        <v>0</v>
      </c>
      <c r="X948" s="181"/>
      <c r="Y948" s="185">
        <f t="shared" si="283"/>
        <v>0</v>
      </c>
      <c r="Z948" s="186"/>
      <c r="AA948" s="153"/>
      <c r="AB948" s="153"/>
      <c r="AC948" s="153"/>
    </row>
    <row r="949" spans="1:29" ht="18.75" customHeight="1" x14ac:dyDescent="0.25">
      <c r="A949" s="166"/>
      <c r="B949" s="215" t="s">
        <v>116</v>
      </c>
      <c r="C949" s="198" t="str">
        <f>IF($J$1="January",R945,IF($J$1="February",R946,IF($J$1="March",R947,IF($J$1="April",R948,IF($J$1="May",R949,IF($J$1="June",R950,IF($J$1="July",R951,IF($J$1="August",R952,IF($J$1="August",R952,IF($J$1="September",R953,IF($J$1="October",R954,IF($J$1="November",R955,IF($J$1="December",R956)))))))))))))</f>
        <v/>
      </c>
      <c r="D949" s="152"/>
      <c r="E949" s="152"/>
      <c r="F949" s="192" t="s">
        <v>169</v>
      </c>
      <c r="G949" s="193" t="str">
        <f>IF($J$1="January",Y945,IF($J$1="February",Y946,IF($J$1="March",Y947,IF($J$1="April",Y948,IF($J$1="May",Y949,IF($J$1="June",Y950,IF($J$1="July",Y951,IF($J$1="August",Y952,IF($J$1="August",Y952,IF($J$1="September",Y953,IF($J$1="October",Y954,IF($J$1="November",Y955,IF($J$1="December",Y956)))))))))))))</f>
        <v/>
      </c>
      <c r="H949" s="152"/>
      <c r="I949" s="439" t="s">
        <v>13</v>
      </c>
      <c r="J949" s="413"/>
      <c r="K949" s="37">
        <f>K947-K948</f>
        <v>46500</v>
      </c>
      <c r="L949" s="183"/>
      <c r="M949" s="161"/>
      <c r="N949" s="178"/>
      <c r="O949" s="179" t="s">
        <v>109</v>
      </c>
      <c r="P949" s="179"/>
      <c r="Q949" s="179"/>
      <c r="R949" s="179">
        <v>0</v>
      </c>
      <c r="S949" s="159"/>
      <c r="T949" s="179" t="s">
        <v>109</v>
      </c>
      <c r="U949" s="185">
        <f t="shared" ref="U949:U950" si="285">IF($J$1="May",Y948,Y948)</f>
        <v>0</v>
      </c>
      <c r="V949" s="181"/>
      <c r="W949" s="185">
        <f t="shared" si="282"/>
        <v>0</v>
      </c>
      <c r="X949" s="181"/>
      <c r="Y949" s="185">
        <f t="shared" si="283"/>
        <v>0</v>
      </c>
      <c r="Z949" s="186"/>
      <c r="AA949" s="153"/>
      <c r="AB949" s="153"/>
      <c r="AC949" s="153"/>
    </row>
    <row r="950" spans="1:29" ht="18.75" customHeight="1" x14ac:dyDescent="0.25">
      <c r="A950" s="166"/>
      <c r="B950" s="152"/>
      <c r="C950" s="152"/>
      <c r="D950" s="152"/>
      <c r="E950" s="152"/>
      <c r="F950" s="152"/>
      <c r="G950" s="152"/>
      <c r="H950" s="152"/>
      <c r="I950" s="434"/>
      <c r="J950" s="435"/>
      <c r="K950" s="154"/>
      <c r="L950" s="189"/>
      <c r="M950" s="161"/>
      <c r="N950" s="178"/>
      <c r="O950" s="179" t="s">
        <v>85</v>
      </c>
      <c r="P950" s="179"/>
      <c r="Q950" s="179"/>
      <c r="R950" s="179">
        <v>0</v>
      </c>
      <c r="S950" s="159"/>
      <c r="T950" s="179" t="s">
        <v>85</v>
      </c>
      <c r="U950" s="185">
        <f t="shared" si="285"/>
        <v>0</v>
      </c>
      <c r="V950" s="181"/>
      <c r="W950" s="185">
        <f t="shared" si="282"/>
        <v>0</v>
      </c>
      <c r="X950" s="181"/>
      <c r="Y950" s="185">
        <f t="shared" si="283"/>
        <v>0</v>
      </c>
      <c r="Z950" s="186"/>
      <c r="AA950" s="153"/>
      <c r="AB950" s="153"/>
      <c r="AC950" s="153"/>
    </row>
    <row r="951" spans="1:29" ht="18.75" customHeight="1" x14ac:dyDescent="0.3">
      <c r="A951" s="166"/>
      <c r="B951" s="150"/>
      <c r="C951" s="150"/>
      <c r="D951" s="150"/>
      <c r="E951" s="150"/>
      <c r="F951" s="150"/>
      <c r="G951" s="150"/>
      <c r="H951" s="150"/>
      <c r="I951" s="434"/>
      <c r="J951" s="435"/>
      <c r="K951" s="154"/>
      <c r="L951" s="189"/>
      <c r="M951" s="161"/>
      <c r="N951" s="178"/>
      <c r="O951" s="179" t="s">
        <v>113</v>
      </c>
      <c r="P951" s="179">
        <v>14</v>
      </c>
      <c r="Q951" s="179">
        <v>15</v>
      </c>
      <c r="R951" s="179">
        <f t="shared" ref="R951:R956" si="286">IF(Q951="","",R950-Q951)</f>
        <v>-15</v>
      </c>
      <c r="S951" s="159"/>
      <c r="T951" s="179" t="s">
        <v>113</v>
      </c>
      <c r="U951" s="185">
        <f>Y950</f>
        <v>0</v>
      </c>
      <c r="V951" s="181"/>
      <c r="W951" s="185">
        <f t="shared" si="282"/>
        <v>0</v>
      </c>
      <c r="X951" s="181"/>
      <c r="Y951" s="185">
        <f t="shared" si="283"/>
        <v>0</v>
      </c>
      <c r="Z951" s="186"/>
      <c r="AA951" s="153"/>
      <c r="AB951" s="153"/>
      <c r="AC951" s="153"/>
    </row>
    <row r="952" spans="1:29" ht="18.75" customHeight="1" x14ac:dyDescent="0.3">
      <c r="A952" s="166"/>
      <c r="B952" s="150"/>
      <c r="C952" s="150"/>
      <c r="D952" s="150"/>
      <c r="E952" s="150"/>
      <c r="F952" s="150"/>
      <c r="G952" s="150"/>
      <c r="H952" s="150"/>
      <c r="I952" s="150"/>
      <c r="J952" s="150"/>
      <c r="K952" s="150"/>
      <c r="L952" s="189"/>
      <c r="M952" s="161"/>
      <c r="N952" s="178"/>
      <c r="O952" s="179" t="s">
        <v>115</v>
      </c>
      <c r="P952" s="179"/>
      <c r="Q952" s="179"/>
      <c r="R952" s="179" t="str">
        <f t="shared" si="286"/>
        <v/>
      </c>
      <c r="S952" s="159"/>
      <c r="T952" s="179" t="s">
        <v>115</v>
      </c>
      <c r="U952" s="185" t="str">
        <f t="shared" ref="U952:U953" si="287">IF($J$1="September",Y951,"")</f>
        <v/>
      </c>
      <c r="V952" s="181"/>
      <c r="W952" s="185" t="str">
        <f t="shared" si="282"/>
        <v/>
      </c>
      <c r="X952" s="181"/>
      <c r="Y952" s="185" t="str">
        <f t="shared" si="283"/>
        <v/>
      </c>
      <c r="Z952" s="186"/>
      <c r="AA952" s="153"/>
      <c r="AB952" s="153"/>
      <c r="AC952" s="153"/>
    </row>
    <row r="953" spans="1:29" ht="18.75" customHeight="1" thickBot="1" x14ac:dyDescent="0.3">
      <c r="A953" s="200"/>
      <c r="B953" s="216"/>
      <c r="C953" s="216"/>
      <c r="D953" s="216"/>
      <c r="E953" s="216"/>
      <c r="F953" s="216"/>
      <c r="G953" s="216"/>
      <c r="H953" s="216"/>
      <c r="I953" s="216"/>
      <c r="J953" s="216"/>
      <c r="K953" s="216"/>
      <c r="L953" s="202"/>
      <c r="M953" s="161"/>
      <c r="N953" s="178"/>
      <c r="O953" s="179" t="s">
        <v>118</v>
      </c>
      <c r="P953" s="179"/>
      <c r="Q953" s="179"/>
      <c r="R953" s="179" t="str">
        <f t="shared" si="286"/>
        <v/>
      </c>
      <c r="S953" s="159"/>
      <c r="T953" s="179" t="s">
        <v>118</v>
      </c>
      <c r="U953" s="185" t="str">
        <f t="shared" si="287"/>
        <v/>
      </c>
      <c r="V953" s="181"/>
      <c r="W953" s="185" t="str">
        <f t="shared" si="282"/>
        <v/>
      </c>
      <c r="X953" s="181"/>
      <c r="Y953" s="185" t="str">
        <f t="shared" si="283"/>
        <v/>
      </c>
      <c r="Z953" s="186"/>
      <c r="AA953" s="153"/>
      <c r="AB953" s="153"/>
      <c r="AC953" s="153"/>
    </row>
    <row r="954" spans="1:29" ht="18.75" customHeight="1" thickBot="1" x14ac:dyDescent="0.35">
      <c r="A954" s="150"/>
      <c r="B954" s="150"/>
      <c r="C954" s="150"/>
      <c r="D954" s="150"/>
      <c r="E954" s="150"/>
      <c r="F954" s="150"/>
      <c r="G954" s="150"/>
      <c r="H954" s="150"/>
      <c r="I954" s="150"/>
      <c r="J954" s="150"/>
      <c r="K954" s="150"/>
      <c r="L954" s="150"/>
      <c r="M954" s="161"/>
      <c r="N954" s="178"/>
      <c r="O954" s="179" t="s">
        <v>119</v>
      </c>
      <c r="P954" s="179"/>
      <c r="Q954" s="179"/>
      <c r="R954" s="179" t="str">
        <f t="shared" si="286"/>
        <v/>
      </c>
      <c r="S954" s="159"/>
      <c r="T954" s="179" t="s">
        <v>119</v>
      </c>
      <c r="U954" s="185" t="str">
        <f>IF($J$1="October",Y953,"")</f>
        <v/>
      </c>
      <c r="V954" s="181"/>
      <c r="W954" s="185" t="str">
        <f t="shared" si="282"/>
        <v/>
      </c>
      <c r="X954" s="181"/>
      <c r="Y954" s="185" t="str">
        <f t="shared" si="283"/>
        <v/>
      </c>
      <c r="Z954" s="186"/>
      <c r="AA954" s="153"/>
      <c r="AB954" s="153"/>
      <c r="AC954" s="153"/>
    </row>
    <row r="955" spans="1:29" ht="18.75" customHeight="1" x14ac:dyDescent="0.25">
      <c r="A955" s="436" t="s">
        <v>89</v>
      </c>
      <c r="B955" s="437"/>
      <c r="C955" s="437"/>
      <c r="D955" s="437"/>
      <c r="E955" s="437"/>
      <c r="F955" s="437"/>
      <c r="G955" s="437"/>
      <c r="H955" s="437"/>
      <c r="I955" s="437"/>
      <c r="J955" s="437"/>
      <c r="K955" s="437"/>
      <c r="L955" s="438"/>
      <c r="M955" s="161"/>
      <c r="N955" s="178"/>
      <c r="O955" s="179" t="s">
        <v>120</v>
      </c>
      <c r="P955" s="179"/>
      <c r="Q955" s="179"/>
      <c r="R955" s="179" t="str">
        <f t="shared" si="286"/>
        <v/>
      </c>
      <c r="S955" s="159"/>
      <c r="T955" s="179" t="s">
        <v>120</v>
      </c>
      <c r="U955" s="185" t="str">
        <f>IF($J$1="November",Y954,"")</f>
        <v/>
      </c>
      <c r="V955" s="181"/>
      <c r="W955" s="185" t="str">
        <f t="shared" si="282"/>
        <v/>
      </c>
      <c r="X955" s="181"/>
      <c r="Y955" s="185" t="str">
        <f t="shared" si="283"/>
        <v/>
      </c>
      <c r="Z955" s="186"/>
      <c r="AA955" s="153"/>
      <c r="AB955" s="153"/>
      <c r="AC955" s="153"/>
    </row>
    <row r="956" spans="1:29" ht="18.75" customHeight="1" x14ac:dyDescent="0.25">
      <c r="A956" s="166"/>
      <c r="B956" s="152"/>
      <c r="C956" s="443" t="s">
        <v>92</v>
      </c>
      <c r="D956" s="435"/>
      <c r="E956" s="435"/>
      <c r="F956" s="435"/>
      <c r="G956" s="167" t="str">
        <f>$J$1</f>
        <v>August</v>
      </c>
      <c r="H956" s="444">
        <f>$K$1</f>
        <v>2024</v>
      </c>
      <c r="I956" s="435"/>
      <c r="J956" s="152"/>
      <c r="K956" s="168"/>
      <c r="L956" s="169"/>
      <c r="M956" s="161"/>
      <c r="N956" s="178"/>
      <c r="O956" s="179" t="s">
        <v>121</v>
      </c>
      <c r="P956" s="179"/>
      <c r="Q956" s="179"/>
      <c r="R956" s="179" t="str">
        <f t="shared" si="286"/>
        <v/>
      </c>
      <c r="S956" s="159"/>
      <c r="T956" s="179" t="s">
        <v>121</v>
      </c>
      <c r="U956" s="185" t="str">
        <f>IF($J$1="Dec",Y955,"")</f>
        <v/>
      </c>
      <c r="V956" s="181"/>
      <c r="W956" s="185" t="str">
        <f t="shared" si="282"/>
        <v/>
      </c>
      <c r="X956" s="181"/>
      <c r="Y956" s="185" t="str">
        <f t="shared" si="283"/>
        <v/>
      </c>
      <c r="Z956" s="186"/>
      <c r="AA956" s="153"/>
      <c r="AB956" s="153"/>
      <c r="AC956" s="153"/>
    </row>
    <row r="957" spans="1:29" ht="18.75" customHeight="1" thickBot="1" x14ac:dyDescent="0.3">
      <c r="A957" s="166"/>
      <c r="B957" s="152"/>
      <c r="C957" s="152"/>
      <c r="D957" s="175"/>
      <c r="E957" s="175"/>
      <c r="F957" s="175"/>
      <c r="G957" s="175"/>
      <c r="H957" s="175"/>
      <c r="I957" s="152"/>
      <c r="J957" s="176" t="s">
        <v>99</v>
      </c>
      <c r="K957" s="154">
        <v>1500</v>
      </c>
      <c r="L957" s="177"/>
      <c r="M957" s="161"/>
      <c r="N957" s="217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21"/>
      <c r="AA957" s="153"/>
      <c r="AB957" s="153"/>
      <c r="AC957" s="153"/>
    </row>
    <row r="958" spans="1:29" ht="27.75" customHeight="1" thickBot="1" x14ac:dyDescent="0.3">
      <c r="A958" s="166"/>
      <c r="B958" s="152" t="s">
        <v>101</v>
      </c>
      <c r="C958" s="151" t="s">
        <v>306</v>
      </c>
      <c r="D958" s="152"/>
      <c r="E958" s="152"/>
      <c r="F958" s="152"/>
      <c r="G958" s="152"/>
      <c r="H958" s="182"/>
      <c r="I958" s="175"/>
      <c r="J958" s="152"/>
      <c r="K958" s="152"/>
      <c r="L958" s="18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</row>
    <row r="959" spans="1:29" ht="27.75" customHeight="1" x14ac:dyDescent="0.25">
      <c r="A959" s="166"/>
      <c r="B959" s="187" t="s">
        <v>103</v>
      </c>
      <c r="C959" s="213"/>
      <c r="D959" s="152"/>
      <c r="E959" s="152"/>
      <c r="F959" s="439" t="s">
        <v>91</v>
      </c>
      <c r="G959" s="413"/>
      <c r="H959" s="152"/>
      <c r="I959" s="439" t="s">
        <v>104</v>
      </c>
      <c r="J959" s="412"/>
      <c r="K959" s="413"/>
      <c r="L959" s="189"/>
      <c r="M959" s="162"/>
      <c r="N959" s="163"/>
      <c r="O959" s="440" t="s">
        <v>90</v>
      </c>
      <c r="P959" s="441"/>
      <c r="Q959" s="441"/>
      <c r="R959" s="442"/>
      <c r="S959" s="164"/>
      <c r="T959" s="440" t="s">
        <v>91</v>
      </c>
      <c r="U959" s="441"/>
      <c r="V959" s="441"/>
      <c r="W959" s="441"/>
      <c r="X959" s="441"/>
      <c r="Y959" s="442"/>
      <c r="Z959" s="165"/>
      <c r="AA959" s="153"/>
      <c r="AB959" s="153"/>
      <c r="AC959" s="153"/>
    </row>
    <row r="960" spans="1:29" ht="27.75" customHeight="1" x14ac:dyDescent="0.25">
      <c r="A960" s="166"/>
      <c r="B960" s="152"/>
      <c r="C960" s="152"/>
      <c r="D960" s="152"/>
      <c r="E960" s="152"/>
      <c r="F960" s="152"/>
      <c r="G960" s="152"/>
      <c r="H960" s="190"/>
      <c r="I960" s="152"/>
      <c r="J960" s="152"/>
      <c r="K960" s="152"/>
      <c r="L960" s="191"/>
      <c r="M960" s="170"/>
      <c r="N960" s="171"/>
      <c r="O960" s="172" t="s">
        <v>93</v>
      </c>
      <c r="P960" s="172" t="s">
        <v>94</v>
      </c>
      <c r="Q960" s="172" t="s">
        <v>95</v>
      </c>
      <c r="R960" s="172" t="s">
        <v>96</v>
      </c>
      <c r="S960" s="173"/>
      <c r="T960" s="172" t="s">
        <v>93</v>
      </c>
      <c r="U960" s="172" t="s">
        <v>97</v>
      </c>
      <c r="V960" s="172" t="s">
        <v>9</v>
      </c>
      <c r="W960" s="172" t="s">
        <v>10</v>
      </c>
      <c r="X960" s="172" t="s">
        <v>11</v>
      </c>
      <c r="Y960" s="172" t="s">
        <v>98</v>
      </c>
      <c r="Z960" s="174"/>
      <c r="AA960" s="153"/>
      <c r="AB960" s="153"/>
      <c r="AC960" s="153"/>
    </row>
    <row r="961" spans="1:29" ht="18.75" customHeight="1" x14ac:dyDescent="0.25">
      <c r="A961" s="166"/>
      <c r="B961" s="445" t="s">
        <v>90</v>
      </c>
      <c r="C961" s="413"/>
      <c r="D961" s="152"/>
      <c r="E961" s="152"/>
      <c r="F961" s="192" t="s">
        <v>107</v>
      </c>
      <c r="G961" s="193" t="str">
        <f>IF($J$1="January",U961,IF($J$1="February",U962,IF($J$1="March",U963,IF($J$1="April",U964,IF($J$1="May",U965,IF($J$1="June",U966,IF($J$1="July",U967,IF($J$1="August",U968,IF($J$1="August",U968,IF($J$1="September",U969,IF($J$1="October",U970,IF($J$1="November",U971,IF($J$1="December",U972)))))))))))))</f>
        <v/>
      </c>
      <c r="H961" s="190"/>
      <c r="I961" s="194">
        <f>IF(C965&gt;0,$K$2,C963)</f>
        <v>31</v>
      </c>
      <c r="J961" s="195" t="s">
        <v>108</v>
      </c>
      <c r="K961" s="196">
        <f>K957*I961</f>
        <v>46500</v>
      </c>
      <c r="L961" s="197"/>
      <c r="M961" s="161"/>
      <c r="N961" s="178"/>
      <c r="O961" s="179" t="s">
        <v>100</v>
      </c>
      <c r="P961" s="179"/>
      <c r="Q961" s="179"/>
      <c r="R961" s="179"/>
      <c r="S961" s="180"/>
      <c r="T961" s="179" t="s">
        <v>100</v>
      </c>
      <c r="U961" s="181"/>
      <c r="V961" s="181"/>
      <c r="W961" s="181">
        <f>V961+U961</f>
        <v>0</v>
      </c>
      <c r="X961" s="181"/>
      <c r="Y961" s="181">
        <f>W961-X961</f>
        <v>0</v>
      </c>
      <c r="Z961" s="174"/>
      <c r="AA961" s="153"/>
      <c r="AB961" s="153"/>
      <c r="AC961" s="153"/>
    </row>
    <row r="962" spans="1:29" ht="18.75" customHeight="1" x14ac:dyDescent="0.25">
      <c r="A962" s="166"/>
      <c r="B962" s="198"/>
      <c r="C962" s="198"/>
      <c r="D962" s="152"/>
      <c r="E962" s="152"/>
      <c r="F962" s="192" t="s">
        <v>9</v>
      </c>
      <c r="G962" s="193">
        <f>IF($J$1="January",V961,IF($J$1="February",V962,IF($J$1="March",V963,IF($J$1="April",V964,IF($J$1="May",V965,IF($J$1="June",V966,IF($J$1="July",V967,IF($J$1="August",V968,IF($J$1="August",V968,IF($J$1="September",V969,IF($J$1="October",V970,IF($J$1="November",V971,IF($J$1="December",V972)))))))))))))</f>
        <v>0</v>
      </c>
      <c r="H962" s="190"/>
      <c r="I962" s="214"/>
      <c r="J962" s="195" t="s">
        <v>110</v>
      </c>
      <c r="K962" s="193">
        <f>K957/$K$2/8*I962</f>
        <v>0</v>
      </c>
      <c r="L962" s="199"/>
      <c r="M962" s="162"/>
      <c r="N962" s="184"/>
      <c r="O962" s="179" t="s">
        <v>102</v>
      </c>
      <c r="P962" s="179"/>
      <c r="Q962" s="179"/>
      <c r="R962" s="179" t="str">
        <f t="shared" ref="R962:R963" si="288">IF(Q962="","",R961-Q962)</f>
        <v/>
      </c>
      <c r="S962" s="159"/>
      <c r="T962" s="179" t="s">
        <v>102</v>
      </c>
      <c r="U962" s="185">
        <f>Y961</f>
        <v>0</v>
      </c>
      <c r="V962" s="181"/>
      <c r="W962" s="185">
        <f t="shared" ref="W962:W972" si="289">IF(U962="","",U962+V962)</f>
        <v>0</v>
      </c>
      <c r="X962" s="181"/>
      <c r="Y962" s="185">
        <f t="shared" ref="Y962:Y972" si="290">IF(W962="","",W962-X962)</f>
        <v>0</v>
      </c>
      <c r="Z962" s="186"/>
      <c r="AA962" s="153"/>
      <c r="AB962" s="153"/>
      <c r="AC962" s="153"/>
    </row>
    <row r="963" spans="1:29" ht="18.75" customHeight="1" x14ac:dyDescent="0.25">
      <c r="A963" s="166"/>
      <c r="B963" s="192" t="s">
        <v>94</v>
      </c>
      <c r="C963" s="198">
        <f>IF($J$1="January",P961,IF($J$1="February",P962,IF($J$1="March",P963,IF($J$1="April",P964,IF($J$1="May",P965,IF($J$1="June",P966,IF($J$1="July",P967,IF($J$1="August",P968,IF($J$1="August",P968,IF($J$1="September",P969,IF($J$1="October",P970,IF($J$1="November",P971,IF($J$1="December",P972)))))))))))))</f>
        <v>0</v>
      </c>
      <c r="D963" s="152"/>
      <c r="E963" s="152"/>
      <c r="F963" s="192" t="s">
        <v>111</v>
      </c>
      <c r="G963" s="193" t="str">
        <f>IF($J$1="January",W961,IF($J$1="February",W962,IF($J$1="March",W963,IF($J$1="April",W964,IF($J$1="May",W965,IF($J$1="June",W966,IF($J$1="July",W967,IF($J$1="August",W968,IF($J$1="August",W968,IF($J$1="September",W969,IF($J$1="October",W970,IF($J$1="November",W971,IF($J$1="December",W972)))))))))))))</f>
        <v/>
      </c>
      <c r="H963" s="190"/>
      <c r="I963" s="446" t="s">
        <v>112</v>
      </c>
      <c r="J963" s="413"/>
      <c r="K963" s="193">
        <f>K961+K962</f>
        <v>46500</v>
      </c>
      <c r="L963" s="199"/>
      <c r="M963" s="161"/>
      <c r="N963" s="178"/>
      <c r="O963" s="179" t="s">
        <v>105</v>
      </c>
      <c r="P963" s="179"/>
      <c r="Q963" s="179"/>
      <c r="R963" s="179" t="str">
        <f t="shared" si="288"/>
        <v/>
      </c>
      <c r="S963" s="159"/>
      <c r="T963" s="179" t="s">
        <v>105</v>
      </c>
      <c r="U963" s="185">
        <f t="shared" ref="U963:U964" si="291">IF($J$1="April",Y962,Y962)</f>
        <v>0</v>
      </c>
      <c r="V963" s="181"/>
      <c r="W963" s="185">
        <f t="shared" si="289"/>
        <v>0</v>
      </c>
      <c r="X963" s="181"/>
      <c r="Y963" s="185">
        <f t="shared" si="290"/>
        <v>0</v>
      </c>
      <c r="Z963" s="186"/>
      <c r="AA963" s="153"/>
      <c r="AB963" s="153"/>
      <c r="AC963" s="153"/>
    </row>
    <row r="964" spans="1:29" ht="18.75" customHeight="1" x14ac:dyDescent="0.25">
      <c r="A964" s="166"/>
      <c r="B964" s="192" t="s">
        <v>95</v>
      </c>
      <c r="C964" s="198">
        <f>IF($J$1="January",Q961,IF($J$1="February",Q962,IF($J$1="March",Q963,IF($J$1="April",Q964,IF($J$1="May",Q965,IF($J$1="June",Q966,IF($J$1="July",Q967,IF($J$1="August",Q968,IF($J$1="August",Q968,IF($J$1="September",Q969,IF($J$1="October",Q970,IF($J$1="November",Q971,IF($J$1="December",Q972)))))))))))))</f>
        <v>0</v>
      </c>
      <c r="D964" s="152"/>
      <c r="E964" s="152"/>
      <c r="F964" s="192" t="s">
        <v>11</v>
      </c>
      <c r="G964" s="193">
        <f>IF($J$1="January",X961,IF($J$1="February",X962,IF($J$1="March",X963,IF($J$1="April",X964,IF($J$1="May",X965,IF($J$1="June",X966,IF($J$1="July",X967,IF($J$1="August",X968,IF($J$1="August",X968,IF($J$1="September",X969,IF($J$1="October",X970,IF($J$1="November",X971,IF($J$1="December",X972)))))))))))))</f>
        <v>0</v>
      </c>
      <c r="H964" s="190"/>
      <c r="I964" s="446" t="s">
        <v>114</v>
      </c>
      <c r="J964" s="413"/>
      <c r="K964" s="193">
        <f>G964</f>
        <v>0</v>
      </c>
      <c r="L964" s="199"/>
      <c r="M964" s="161"/>
      <c r="N964" s="178"/>
      <c r="O964" s="179" t="s">
        <v>106</v>
      </c>
      <c r="P964" s="179"/>
      <c r="Q964" s="179"/>
      <c r="R964" s="179">
        <v>0</v>
      </c>
      <c r="S964" s="159"/>
      <c r="T964" s="179" t="s">
        <v>106</v>
      </c>
      <c r="U964" s="185">
        <f t="shared" si="291"/>
        <v>0</v>
      </c>
      <c r="V964" s="181"/>
      <c r="W964" s="185">
        <f t="shared" si="289"/>
        <v>0</v>
      </c>
      <c r="X964" s="181"/>
      <c r="Y964" s="185">
        <f t="shared" si="290"/>
        <v>0</v>
      </c>
      <c r="Z964" s="186"/>
      <c r="AA964" s="153"/>
      <c r="AB964" s="153"/>
      <c r="AC964" s="153"/>
    </row>
    <row r="965" spans="1:29" ht="18.75" customHeight="1" x14ac:dyDescent="0.25">
      <c r="A965" s="166"/>
      <c r="B965" s="215" t="s">
        <v>116</v>
      </c>
      <c r="C965" s="198" t="str">
        <f>IF($J$1="January",R961,IF($J$1="February",R962,IF($J$1="March",R963,IF($J$1="April",R964,IF($J$1="May",R965,IF($J$1="June",R966,IF($J$1="July",R967,IF($J$1="August",R968,IF($J$1="August",R968,IF($J$1="September",R969,IF($J$1="October",R970,IF($J$1="November",R971,IF($J$1="December",R972)))))))))))))</f>
        <v/>
      </c>
      <c r="D965" s="152"/>
      <c r="E965" s="152"/>
      <c r="F965" s="192" t="s">
        <v>169</v>
      </c>
      <c r="G965" s="193" t="str">
        <f>IF($J$1="January",Y961,IF($J$1="February",Y962,IF($J$1="March",Y963,IF($J$1="April",Y964,IF($J$1="May",Y965,IF($J$1="June",Y966,IF($J$1="July",Y967,IF($J$1="August",Y968,IF($J$1="August",Y968,IF($J$1="September",Y969,IF($J$1="October",Y970,IF($J$1="November",Y971,IF($J$1="December",Y972)))))))))))))</f>
        <v/>
      </c>
      <c r="H965" s="152"/>
      <c r="I965" s="439" t="s">
        <v>13</v>
      </c>
      <c r="J965" s="413"/>
      <c r="K965" s="37">
        <f>K963-K964</f>
        <v>46500</v>
      </c>
      <c r="L965" s="183"/>
      <c r="M965" s="161"/>
      <c r="N965" s="178"/>
      <c r="O965" s="179" t="s">
        <v>109</v>
      </c>
      <c r="P965" s="179"/>
      <c r="Q965" s="179"/>
      <c r="R965" s="179">
        <v>0</v>
      </c>
      <c r="S965" s="159"/>
      <c r="T965" s="179" t="s">
        <v>109</v>
      </c>
      <c r="U965" s="185">
        <f t="shared" ref="U965:U966" si="292">IF($J$1="May",Y964,Y964)</f>
        <v>0</v>
      </c>
      <c r="V965" s="181"/>
      <c r="W965" s="185">
        <f t="shared" si="289"/>
        <v>0</v>
      </c>
      <c r="X965" s="181"/>
      <c r="Y965" s="185">
        <f t="shared" si="290"/>
        <v>0</v>
      </c>
      <c r="Z965" s="186"/>
      <c r="AA965" s="153"/>
      <c r="AB965" s="153"/>
      <c r="AC965" s="153"/>
    </row>
    <row r="966" spans="1:29" ht="18.75" customHeight="1" x14ac:dyDescent="0.25">
      <c r="A966" s="166"/>
      <c r="B966" s="152"/>
      <c r="C966" s="152"/>
      <c r="D966" s="152"/>
      <c r="E966" s="152"/>
      <c r="F966" s="152"/>
      <c r="G966" s="152"/>
      <c r="H966" s="152"/>
      <c r="I966" s="434"/>
      <c r="J966" s="435"/>
      <c r="K966" s="154"/>
      <c r="L966" s="189"/>
      <c r="M966" s="161"/>
      <c r="N966" s="178"/>
      <c r="O966" s="179" t="s">
        <v>85</v>
      </c>
      <c r="P966" s="179"/>
      <c r="Q966" s="179"/>
      <c r="R966" s="179">
        <v>0</v>
      </c>
      <c r="S966" s="159"/>
      <c r="T966" s="179" t="s">
        <v>85</v>
      </c>
      <c r="U966" s="185">
        <f t="shared" si="292"/>
        <v>0</v>
      </c>
      <c r="V966" s="181"/>
      <c r="W966" s="185"/>
      <c r="X966" s="181"/>
      <c r="Y966" s="185" t="str">
        <f t="shared" si="290"/>
        <v/>
      </c>
      <c r="Z966" s="186"/>
      <c r="AA966" s="153"/>
      <c r="AB966" s="153"/>
      <c r="AC966" s="153"/>
    </row>
    <row r="967" spans="1:29" ht="18.75" customHeight="1" x14ac:dyDescent="0.3">
      <c r="A967" s="166"/>
      <c r="B967" s="150"/>
      <c r="C967" s="150"/>
      <c r="D967" s="150"/>
      <c r="E967" s="150"/>
      <c r="F967" s="150"/>
      <c r="G967" s="150"/>
      <c r="H967" s="150"/>
      <c r="I967" s="434"/>
      <c r="J967" s="435"/>
      <c r="K967" s="154"/>
      <c r="L967" s="189"/>
      <c r="M967" s="161"/>
      <c r="N967" s="178"/>
      <c r="O967" s="179" t="s">
        <v>113</v>
      </c>
      <c r="P967" s="179">
        <v>14</v>
      </c>
      <c r="Q967" s="179">
        <v>15</v>
      </c>
      <c r="R967" s="179">
        <f t="shared" ref="R967:R972" si="293">IF(Q967="","",R966-Q967)</f>
        <v>-15</v>
      </c>
      <c r="S967" s="159"/>
      <c r="T967" s="179" t="s">
        <v>113</v>
      </c>
      <c r="U967" s="185" t="str">
        <f>Y966</f>
        <v/>
      </c>
      <c r="V967" s="181"/>
      <c r="W967" s="185" t="str">
        <f t="shared" si="289"/>
        <v/>
      </c>
      <c r="X967" s="181"/>
      <c r="Y967" s="185" t="str">
        <f t="shared" si="290"/>
        <v/>
      </c>
      <c r="Z967" s="186"/>
      <c r="AA967" s="153"/>
      <c r="AB967" s="153"/>
      <c r="AC967" s="153"/>
    </row>
    <row r="968" spans="1:29" ht="18.75" customHeight="1" x14ac:dyDescent="0.3">
      <c r="A968" s="166"/>
      <c r="B968" s="150"/>
      <c r="C968" s="150"/>
      <c r="D968" s="150"/>
      <c r="E968" s="150"/>
      <c r="F968" s="150"/>
      <c r="G968" s="150"/>
      <c r="H968" s="150"/>
      <c r="I968" s="150"/>
      <c r="J968" s="150"/>
      <c r="K968" s="150"/>
      <c r="L968" s="189"/>
      <c r="M968" s="161"/>
      <c r="N968" s="178"/>
      <c r="O968" s="179" t="s">
        <v>115</v>
      </c>
      <c r="P968" s="179"/>
      <c r="Q968" s="179"/>
      <c r="R968" s="179" t="str">
        <f t="shared" si="293"/>
        <v/>
      </c>
      <c r="S968" s="159"/>
      <c r="T968" s="179" t="s">
        <v>115</v>
      </c>
      <c r="U968" s="185" t="str">
        <f t="shared" ref="U968:U969" si="294">IF($J$1="September",Y967,"")</f>
        <v/>
      </c>
      <c r="V968" s="181"/>
      <c r="W968" s="185" t="str">
        <f t="shared" si="289"/>
        <v/>
      </c>
      <c r="X968" s="181"/>
      <c r="Y968" s="185" t="str">
        <f t="shared" si="290"/>
        <v/>
      </c>
      <c r="Z968" s="186"/>
      <c r="AA968" s="153"/>
      <c r="AB968" s="153"/>
      <c r="AC968" s="153"/>
    </row>
    <row r="969" spans="1:29" ht="18.75" customHeight="1" thickBot="1" x14ac:dyDescent="0.3">
      <c r="A969" s="200"/>
      <c r="B969" s="216"/>
      <c r="C969" s="216"/>
      <c r="D969" s="216"/>
      <c r="E969" s="216"/>
      <c r="F969" s="216"/>
      <c r="G969" s="216"/>
      <c r="H969" s="216"/>
      <c r="I969" s="216"/>
      <c r="J969" s="216"/>
      <c r="K969" s="216"/>
      <c r="L969" s="202"/>
      <c r="M969" s="161"/>
      <c r="N969" s="178"/>
      <c r="O969" s="179" t="s">
        <v>118</v>
      </c>
      <c r="P969" s="179"/>
      <c r="Q969" s="179"/>
      <c r="R969" s="179" t="str">
        <f t="shared" si="293"/>
        <v/>
      </c>
      <c r="S969" s="159"/>
      <c r="T969" s="179" t="s">
        <v>118</v>
      </c>
      <c r="U969" s="185" t="str">
        <f t="shared" si="294"/>
        <v/>
      </c>
      <c r="V969" s="181"/>
      <c r="W969" s="185" t="str">
        <f t="shared" si="289"/>
        <v/>
      </c>
      <c r="X969" s="181"/>
      <c r="Y969" s="185" t="str">
        <f t="shared" si="290"/>
        <v/>
      </c>
      <c r="Z969" s="186"/>
      <c r="AA969" s="153"/>
      <c r="AB969" s="153"/>
      <c r="AC969" s="153"/>
    </row>
    <row r="970" spans="1:29" ht="18.75" customHeight="1" thickBot="1" x14ac:dyDescent="0.35">
      <c r="A970" s="150"/>
      <c r="B970" s="150"/>
      <c r="C970" s="150"/>
      <c r="D970" s="150"/>
      <c r="E970" s="150"/>
      <c r="F970" s="150"/>
      <c r="G970" s="150"/>
      <c r="H970" s="150"/>
      <c r="I970" s="150"/>
      <c r="J970" s="150"/>
      <c r="K970" s="150"/>
      <c r="L970" s="150"/>
      <c r="M970" s="161"/>
      <c r="N970" s="178"/>
      <c r="O970" s="179" t="s">
        <v>119</v>
      </c>
      <c r="P970" s="179"/>
      <c r="Q970" s="179"/>
      <c r="R970" s="179" t="str">
        <f t="shared" si="293"/>
        <v/>
      </c>
      <c r="S970" s="159"/>
      <c r="T970" s="179" t="s">
        <v>119</v>
      </c>
      <c r="U970" s="185" t="str">
        <f>IF($J$1="October",Y969,"")</f>
        <v/>
      </c>
      <c r="V970" s="181"/>
      <c r="W970" s="185" t="str">
        <f t="shared" si="289"/>
        <v/>
      </c>
      <c r="X970" s="181"/>
      <c r="Y970" s="185" t="str">
        <f t="shared" si="290"/>
        <v/>
      </c>
      <c r="Z970" s="186"/>
      <c r="AA970" s="153"/>
      <c r="AB970" s="153"/>
      <c r="AC970" s="153"/>
    </row>
    <row r="971" spans="1:29" ht="18.75" customHeight="1" x14ac:dyDescent="0.25">
      <c r="A971" s="436" t="s">
        <v>89</v>
      </c>
      <c r="B971" s="437"/>
      <c r="C971" s="437"/>
      <c r="D971" s="437"/>
      <c r="E971" s="437"/>
      <c r="F971" s="437"/>
      <c r="G971" s="437"/>
      <c r="H971" s="437"/>
      <c r="I971" s="437"/>
      <c r="J971" s="437"/>
      <c r="K971" s="437"/>
      <c r="L971" s="438"/>
      <c r="M971" s="161"/>
      <c r="N971" s="178"/>
      <c r="O971" s="179" t="s">
        <v>120</v>
      </c>
      <c r="P971" s="179"/>
      <c r="Q971" s="179"/>
      <c r="R971" s="179" t="str">
        <f t="shared" si="293"/>
        <v/>
      </c>
      <c r="S971" s="159"/>
      <c r="T971" s="179" t="s">
        <v>120</v>
      </c>
      <c r="U971" s="185" t="str">
        <f>IF($J$1="November",Y970,"")</f>
        <v/>
      </c>
      <c r="V971" s="181"/>
      <c r="W971" s="185" t="str">
        <f t="shared" si="289"/>
        <v/>
      </c>
      <c r="X971" s="181"/>
      <c r="Y971" s="185" t="str">
        <f t="shared" si="290"/>
        <v/>
      </c>
      <c r="Z971" s="186"/>
      <c r="AA971" s="153"/>
      <c r="AB971" s="153"/>
      <c r="AC971" s="153"/>
    </row>
    <row r="972" spans="1:29" ht="18.75" customHeight="1" x14ac:dyDescent="0.25">
      <c r="A972" s="166"/>
      <c r="B972" s="152"/>
      <c r="C972" s="443" t="s">
        <v>92</v>
      </c>
      <c r="D972" s="435"/>
      <c r="E972" s="435"/>
      <c r="F972" s="435"/>
      <c r="G972" s="167" t="str">
        <f>$J$1</f>
        <v>August</v>
      </c>
      <c r="H972" s="444">
        <f>$K$1</f>
        <v>2024</v>
      </c>
      <c r="I972" s="435"/>
      <c r="J972" s="152"/>
      <c r="K972" s="168"/>
      <c r="L972" s="169"/>
      <c r="M972" s="161"/>
      <c r="N972" s="178"/>
      <c r="O972" s="179" t="s">
        <v>121</v>
      </c>
      <c r="P972" s="179"/>
      <c r="Q972" s="179"/>
      <c r="R972" s="179" t="str">
        <f t="shared" si="293"/>
        <v/>
      </c>
      <c r="S972" s="159"/>
      <c r="T972" s="179" t="s">
        <v>121</v>
      </c>
      <c r="U972" s="185" t="str">
        <f>IF($J$1="Dec",Y971,"")</f>
        <v/>
      </c>
      <c r="V972" s="181"/>
      <c r="W972" s="185" t="str">
        <f t="shared" si="289"/>
        <v/>
      </c>
      <c r="X972" s="181"/>
      <c r="Y972" s="185" t="str">
        <f t="shared" si="290"/>
        <v/>
      </c>
      <c r="Z972" s="186"/>
      <c r="AA972" s="153"/>
      <c r="AB972" s="153"/>
      <c r="AC972" s="153"/>
    </row>
    <row r="973" spans="1:29" ht="18.75" customHeight="1" thickBot="1" x14ac:dyDescent="0.3">
      <c r="A973" s="166"/>
      <c r="B973" s="152"/>
      <c r="C973" s="152"/>
      <c r="D973" s="175"/>
      <c r="E973" s="175"/>
      <c r="F973" s="175"/>
      <c r="G973" s="175"/>
      <c r="H973" s="175"/>
      <c r="I973" s="152"/>
      <c r="J973" s="176" t="s">
        <v>99</v>
      </c>
      <c r="K973" s="154">
        <v>30000</v>
      </c>
      <c r="L973" s="177"/>
      <c r="M973" s="161"/>
      <c r="N973" s="217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21"/>
      <c r="AA973" s="153"/>
      <c r="AB973" s="153"/>
      <c r="AC973" s="153"/>
    </row>
    <row r="974" spans="1:29" ht="27.75" customHeight="1" thickBot="1" x14ac:dyDescent="0.3">
      <c r="A974" s="166"/>
      <c r="B974" s="152" t="s">
        <v>101</v>
      </c>
      <c r="C974" s="151" t="s">
        <v>307</v>
      </c>
      <c r="D974" s="152"/>
      <c r="E974" s="152"/>
      <c r="F974" s="152"/>
      <c r="G974" s="152"/>
      <c r="H974" s="182"/>
      <c r="I974" s="175"/>
      <c r="J974" s="152"/>
      <c r="K974" s="152"/>
      <c r="L974" s="18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</row>
    <row r="975" spans="1:29" ht="27.75" customHeight="1" x14ac:dyDescent="0.25">
      <c r="A975" s="166"/>
      <c r="B975" s="187" t="s">
        <v>103</v>
      </c>
      <c r="C975" s="213"/>
      <c r="D975" s="152"/>
      <c r="E975" s="152"/>
      <c r="F975" s="439" t="s">
        <v>91</v>
      </c>
      <c r="G975" s="413"/>
      <c r="H975" s="152"/>
      <c r="I975" s="439" t="s">
        <v>104</v>
      </c>
      <c r="J975" s="412"/>
      <c r="K975" s="413"/>
      <c r="L975" s="189"/>
      <c r="M975" s="162"/>
      <c r="N975" s="163"/>
      <c r="O975" s="440" t="s">
        <v>90</v>
      </c>
      <c r="P975" s="441"/>
      <c r="Q975" s="441"/>
      <c r="R975" s="442"/>
      <c r="S975" s="164"/>
      <c r="T975" s="440" t="s">
        <v>91</v>
      </c>
      <c r="U975" s="441"/>
      <c r="V975" s="441"/>
      <c r="W975" s="441"/>
      <c r="X975" s="441"/>
      <c r="Y975" s="442"/>
      <c r="Z975" s="165"/>
      <c r="AA975" s="153"/>
      <c r="AB975" s="153"/>
      <c r="AC975" s="153"/>
    </row>
    <row r="976" spans="1:29" ht="27.75" customHeight="1" x14ac:dyDescent="0.25">
      <c r="A976" s="166"/>
      <c r="B976" s="152"/>
      <c r="C976" s="152"/>
      <c r="D976" s="152"/>
      <c r="E976" s="152"/>
      <c r="F976" s="152"/>
      <c r="G976" s="152"/>
      <c r="H976" s="190"/>
      <c r="I976" s="152"/>
      <c r="J976" s="152"/>
      <c r="K976" s="152"/>
      <c r="L976" s="191"/>
      <c r="M976" s="170"/>
      <c r="N976" s="171"/>
      <c r="O976" s="172" t="s">
        <v>93</v>
      </c>
      <c r="P976" s="172" t="s">
        <v>94</v>
      </c>
      <c r="Q976" s="172" t="s">
        <v>95</v>
      </c>
      <c r="R976" s="172" t="s">
        <v>96</v>
      </c>
      <c r="S976" s="173"/>
      <c r="T976" s="172" t="s">
        <v>93</v>
      </c>
      <c r="U976" s="172" t="s">
        <v>97</v>
      </c>
      <c r="V976" s="172" t="s">
        <v>9</v>
      </c>
      <c r="W976" s="172" t="s">
        <v>10</v>
      </c>
      <c r="X976" s="172" t="s">
        <v>11</v>
      </c>
      <c r="Y976" s="172" t="s">
        <v>98</v>
      </c>
      <c r="Z976" s="174"/>
      <c r="AA976" s="153"/>
      <c r="AB976" s="153"/>
      <c r="AC976" s="153"/>
    </row>
    <row r="977" spans="1:29" ht="18.75" customHeight="1" x14ac:dyDescent="0.25">
      <c r="A977" s="166"/>
      <c r="B977" s="445" t="s">
        <v>90</v>
      </c>
      <c r="C977" s="413"/>
      <c r="D977" s="152"/>
      <c r="E977" s="152"/>
      <c r="F977" s="192" t="s">
        <v>107</v>
      </c>
      <c r="G977" s="193" t="str">
        <f>IF($J$1="January",U977,IF($J$1="February",U978,IF($J$1="March",U979,IF($J$1="April",U980,IF($J$1="May",U981,IF($J$1="June",U982,IF($J$1="July",U983,IF($J$1="August",U984,IF($J$1="August",U984,IF($J$1="September",U985,IF($J$1="October",U986,IF($J$1="November",U987,IF($J$1="December",U988)))))))))))))</f>
        <v/>
      </c>
      <c r="H977" s="190"/>
      <c r="I977" s="194">
        <f>IF(C981&gt;0,$K$2,C979)</f>
        <v>31</v>
      </c>
      <c r="J977" s="195" t="s">
        <v>108</v>
      </c>
      <c r="K977" s="196">
        <f>K973/$K$2*I977</f>
        <v>30000</v>
      </c>
      <c r="L977" s="197"/>
      <c r="M977" s="161"/>
      <c r="N977" s="178"/>
      <c r="O977" s="179" t="s">
        <v>100</v>
      </c>
      <c r="P977" s="179"/>
      <c r="Q977" s="179"/>
      <c r="R977" s="179"/>
      <c r="S977" s="180"/>
      <c r="T977" s="179" t="s">
        <v>100</v>
      </c>
      <c r="U977" s="181"/>
      <c r="V977" s="181"/>
      <c r="W977" s="181">
        <f>V977+U977</f>
        <v>0</v>
      </c>
      <c r="X977" s="181"/>
      <c r="Y977" s="181">
        <f>W977-X977</f>
        <v>0</v>
      </c>
      <c r="Z977" s="174"/>
      <c r="AA977" s="153"/>
      <c r="AB977" s="153"/>
      <c r="AC977" s="153"/>
    </row>
    <row r="978" spans="1:29" ht="18.75" customHeight="1" x14ac:dyDescent="0.25">
      <c r="A978" s="166"/>
      <c r="B978" s="198"/>
      <c r="C978" s="198"/>
      <c r="D978" s="152"/>
      <c r="E978" s="152"/>
      <c r="F978" s="192" t="s">
        <v>9</v>
      </c>
      <c r="G978" s="193">
        <f>IF($J$1="January",V977,IF($J$1="February",V978,IF($J$1="March",V979,IF($J$1="April",V980,IF($J$1="May",V981,IF($J$1="June",V982,IF($J$1="July",V983,IF($J$1="August",V984,IF($J$1="August",V984,IF($J$1="September",V985,IF($J$1="October",V986,IF($J$1="November",V987,IF($J$1="December",V988)))))))))))))</f>
        <v>0</v>
      </c>
      <c r="H978" s="190"/>
      <c r="I978" s="214">
        <v>58</v>
      </c>
      <c r="J978" s="195" t="s">
        <v>110</v>
      </c>
      <c r="K978" s="193">
        <f>K973/$K$2/8*I978</f>
        <v>7016.1290322580644</v>
      </c>
      <c r="L978" s="199"/>
      <c r="M978" s="162"/>
      <c r="N978" s="184"/>
      <c r="O978" s="179" t="s">
        <v>102</v>
      </c>
      <c r="P978" s="179"/>
      <c r="Q978" s="179"/>
      <c r="R978" s="179" t="str">
        <f t="shared" ref="R978:R979" si="295">IF(Q978="","",R977-Q978)</f>
        <v/>
      </c>
      <c r="S978" s="159"/>
      <c r="T978" s="179" t="s">
        <v>102</v>
      </c>
      <c r="U978" s="185">
        <f>Y977</f>
        <v>0</v>
      </c>
      <c r="V978" s="181"/>
      <c r="W978" s="185">
        <f t="shared" ref="W978:W981" si="296">IF(U978="","",U978+V978)</f>
        <v>0</v>
      </c>
      <c r="X978" s="181"/>
      <c r="Y978" s="185">
        <f t="shared" ref="Y978:Y988" si="297">IF(W978="","",W978-X978)</f>
        <v>0</v>
      </c>
      <c r="Z978" s="186"/>
      <c r="AA978" s="153"/>
      <c r="AB978" s="153"/>
      <c r="AC978" s="153"/>
    </row>
    <row r="979" spans="1:29" ht="18.75" customHeight="1" x14ac:dyDescent="0.25">
      <c r="A979" s="166"/>
      <c r="B979" s="192" t="s">
        <v>94</v>
      </c>
      <c r="C979" s="198">
        <f>IF($J$1="January",P977,IF($J$1="February",P978,IF($J$1="March",P979,IF($J$1="April",P980,IF($J$1="May",P981,IF($J$1="June",P982,IF($J$1="July",P983,IF($J$1="August",P984,IF($J$1="August",P984,IF($J$1="September",P985,IF($J$1="October",P986,IF($J$1="November",P987,IF($J$1="December",P988)))))))))))))</f>
        <v>0</v>
      </c>
      <c r="D979" s="152"/>
      <c r="E979" s="152"/>
      <c r="F979" s="192" t="s">
        <v>111</v>
      </c>
      <c r="G979" s="193" t="str">
        <f>IF($J$1="January",W977,IF($J$1="February",W978,IF($J$1="March",W979,IF($J$1="April",W980,IF($J$1="May",W981,IF($J$1="June",W982,IF($J$1="July",W983,IF($J$1="August",W984,IF($J$1="August",W984,IF($J$1="September",W985,IF($J$1="October",W986,IF($J$1="November",W987,IF($J$1="December",W988)))))))))))))</f>
        <v/>
      </c>
      <c r="H979" s="190"/>
      <c r="I979" s="446" t="s">
        <v>112</v>
      </c>
      <c r="J979" s="413"/>
      <c r="K979" s="193">
        <f>K977+K978</f>
        <v>37016.129032258061</v>
      </c>
      <c r="L979" s="199"/>
      <c r="M979" s="161"/>
      <c r="N979" s="178"/>
      <c r="O979" s="179" t="s">
        <v>105</v>
      </c>
      <c r="P979" s="179"/>
      <c r="Q979" s="179"/>
      <c r="R979" s="179" t="str">
        <f t="shared" si="295"/>
        <v/>
      </c>
      <c r="S979" s="159"/>
      <c r="T979" s="179" t="s">
        <v>105</v>
      </c>
      <c r="U979" s="185">
        <f t="shared" ref="U979:U980" si="298">IF($J$1="April",Y978,Y978)</f>
        <v>0</v>
      </c>
      <c r="V979" s="181"/>
      <c r="W979" s="185">
        <f t="shared" si="296"/>
        <v>0</v>
      </c>
      <c r="X979" s="181"/>
      <c r="Y979" s="185">
        <f t="shared" si="297"/>
        <v>0</v>
      </c>
      <c r="Z979" s="186"/>
      <c r="AA979" s="153"/>
      <c r="AB979" s="153"/>
      <c r="AC979" s="153"/>
    </row>
    <row r="980" spans="1:29" ht="18.75" customHeight="1" x14ac:dyDescent="0.25">
      <c r="A980" s="166"/>
      <c r="B980" s="192" t="s">
        <v>95</v>
      </c>
      <c r="C980" s="198">
        <f>IF($J$1="January",Q977,IF($J$1="February",Q978,IF($J$1="March",Q979,IF($J$1="April",Q980,IF($J$1="May",Q981,IF($J$1="June",Q982,IF($J$1="July",Q983,IF($J$1="August",Q984,IF($J$1="August",Q984,IF($J$1="September",Q985,IF($J$1="October",Q986,IF($J$1="November",Q987,IF($J$1="December",Q988)))))))))))))</f>
        <v>0</v>
      </c>
      <c r="D980" s="152"/>
      <c r="E980" s="152"/>
      <c r="F980" s="192" t="s">
        <v>11</v>
      </c>
      <c r="G980" s="193">
        <f>IF($J$1="January",X977,IF($J$1="February",X978,IF($J$1="March",X979,IF($J$1="April",X980,IF($J$1="May",X981,IF($J$1="June",X982,IF($J$1="July",X983,IF($J$1="August",X984,IF($J$1="August",X984,IF($J$1="September",X985,IF($J$1="October",X986,IF($J$1="November",X987,IF($J$1="December",X988)))))))))))))</f>
        <v>0</v>
      </c>
      <c r="H980" s="190"/>
      <c r="I980" s="446" t="s">
        <v>114</v>
      </c>
      <c r="J980" s="413"/>
      <c r="K980" s="193">
        <f>G980</f>
        <v>0</v>
      </c>
      <c r="L980" s="199"/>
      <c r="M980" s="161"/>
      <c r="N980" s="178"/>
      <c r="O980" s="179" t="s">
        <v>106</v>
      </c>
      <c r="P980" s="179"/>
      <c r="Q980" s="179"/>
      <c r="R980" s="179">
        <v>0</v>
      </c>
      <c r="S980" s="159"/>
      <c r="T980" s="179" t="s">
        <v>106</v>
      </c>
      <c r="U980" s="185">
        <f t="shared" si="298"/>
        <v>0</v>
      </c>
      <c r="V980" s="181"/>
      <c r="W980" s="185">
        <f t="shared" si="296"/>
        <v>0</v>
      </c>
      <c r="X980" s="181"/>
      <c r="Y980" s="185">
        <f t="shared" si="297"/>
        <v>0</v>
      </c>
      <c r="Z980" s="186"/>
      <c r="AA980" s="153"/>
      <c r="AB980" s="153"/>
      <c r="AC980" s="153"/>
    </row>
    <row r="981" spans="1:29" ht="18.75" customHeight="1" x14ac:dyDescent="0.25">
      <c r="A981" s="166"/>
      <c r="B981" s="215" t="s">
        <v>116</v>
      </c>
      <c r="C981" s="198" t="str">
        <f>IF($J$1="January",R977,IF($J$1="February",R978,IF($J$1="March",R979,IF($J$1="April",R980,IF($J$1="May",R981,IF($J$1="June",R982,IF($J$1="July",R983,IF($J$1="August",R984,IF($J$1="August",R984,IF($J$1="September",R985,IF($J$1="October",R986,IF($J$1="November",R987,IF($J$1="December",R988)))))))))))))</f>
        <v/>
      </c>
      <c r="D981" s="152"/>
      <c r="E981" s="152"/>
      <c r="F981" s="192" t="s">
        <v>169</v>
      </c>
      <c r="G981" s="193" t="str">
        <f>IF($J$1="January",Y977,IF($J$1="February",Y978,IF($J$1="March",Y979,IF($J$1="April",Y980,IF($J$1="May",Y981,IF($J$1="June",Y982,IF($J$1="July",Y983,IF($J$1="August",Y984,IF($J$1="August",Y984,IF($J$1="September",Y985,IF($J$1="October",Y986,IF($J$1="November",Y987,IF($J$1="December",Y988)))))))))))))</f>
        <v/>
      </c>
      <c r="H981" s="152"/>
      <c r="I981" s="439" t="s">
        <v>13</v>
      </c>
      <c r="J981" s="413"/>
      <c r="K981" s="37"/>
      <c r="L981" s="183"/>
      <c r="M981" s="161"/>
      <c r="N981" s="178"/>
      <c r="O981" s="179" t="s">
        <v>109</v>
      </c>
      <c r="P981" s="179"/>
      <c r="Q981" s="179"/>
      <c r="R981" s="179">
        <v>0</v>
      </c>
      <c r="S981" s="159"/>
      <c r="T981" s="179" t="s">
        <v>109</v>
      </c>
      <c r="U981" s="185">
        <f t="shared" ref="U981:U982" si="299">IF($J$1="May",Y980,Y980)</f>
        <v>0</v>
      </c>
      <c r="V981" s="181"/>
      <c r="W981" s="185">
        <f t="shared" si="296"/>
        <v>0</v>
      </c>
      <c r="X981" s="181"/>
      <c r="Y981" s="185">
        <f t="shared" si="297"/>
        <v>0</v>
      </c>
      <c r="Z981" s="186"/>
      <c r="AA981" s="153"/>
      <c r="AB981" s="153"/>
      <c r="AC981" s="153"/>
    </row>
    <row r="982" spans="1:29" ht="18.75" customHeight="1" x14ac:dyDescent="0.25">
      <c r="A982" s="166"/>
      <c r="B982" s="152"/>
      <c r="C982" s="152"/>
      <c r="D982" s="152"/>
      <c r="E982" s="152"/>
      <c r="F982" s="152"/>
      <c r="G982" s="152"/>
      <c r="H982" s="152"/>
      <c r="I982" s="434"/>
      <c r="J982" s="435"/>
      <c r="K982" s="154"/>
      <c r="L982" s="189"/>
      <c r="M982" s="161"/>
      <c r="N982" s="178"/>
      <c r="O982" s="179" t="s">
        <v>85</v>
      </c>
      <c r="P982" s="179"/>
      <c r="Q982" s="179"/>
      <c r="R982" s="179">
        <v>0</v>
      </c>
      <c r="S982" s="159"/>
      <c r="T982" s="179" t="s">
        <v>85</v>
      </c>
      <c r="U982" s="185">
        <f t="shared" si="299"/>
        <v>0</v>
      </c>
      <c r="V982" s="181"/>
      <c r="W982" s="185"/>
      <c r="X982" s="181"/>
      <c r="Y982" s="185" t="str">
        <f t="shared" si="297"/>
        <v/>
      </c>
      <c r="Z982" s="186"/>
      <c r="AA982" s="153"/>
      <c r="AB982" s="153"/>
      <c r="AC982" s="153"/>
    </row>
    <row r="983" spans="1:29" ht="18.75" customHeight="1" x14ac:dyDescent="0.3">
      <c r="A983" s="166"/>
      <c r="B983" s="150"/>
      <c r="C983" s="150"/>
      <c r="D983" s="150"/>
      <c r="E983" s="150"/>
      <c r="F983" s="150"/>
      <c r="G983" s="150"/>
      <c r="H983" s="150"/>
      <c r="I983" s="434"/>
      <c r="J983" s="435"/>
      <c r="K983" s="154"/>
      <c r="L983" s="189"/>
      <c r="M983" s="161"/>
      <c r="N983" s="178"/>
      <c r="O983" s="179" t="s">
        <v>113</v>
      </c>
      <c r="P983" s="179">
        <v>24</v>
      </c>
      <c r="Q983" s="179">
        <v>7</v>
      </c>
      <c r="R983" s="179">
        <f t="shared" ref="R983:R988" si="300">IF(Q983="","",R982-Q983)</f>
        <v>-7</v>
      </c>
      <c r="S983" s="159"/>
      <c r="T983" s="179" t="s">
        <v>113</v>
      </c>
      <c r="U983" s="185" t="str">
        <f>Y982</f>
        <v/>
      </c>
      <c r="V983" s="181"/>
      <c r="W983" s="185" t="str">
        <f t="shared" ref="W983:W988" si="301">IF(U983="","",U983+V983)</f>
        <v/>
      </c>
      <c r="X983" s="181"/>
      <c r="Y983" s="185" t="str">
        <f t="shared" si="297"/>
        <v/>
      </c>
      <c r="Z983" s="186"/>
      <c r="AA983" s="153"/>
      <c r="AB983" s="153"/>
      <c r="AC983" s="153"/>
    </row>
    <row r="984" spans="1:29" ht="18.75" customHeight="1" x14ac:dyDescent="0.3">
      <c r="A984" s="166"/>
      <c r="B984" s="150"/>
      <c r="C984" s="150"/>
      <c r="D984" s="150"/>
      <c r="E984" s="150"/>
      <c r="F984" s="150"/>
      <c r="G984" s="150"/>
      <c r="H984" s="150"/>
      <c r="I984" s="150"/>
      <c r="J984" s="150"/>
      <c r="K984" s="150"/>
      <c r="L984" s="189"/>
      <c r="M984" s="161"/>
      <c r="N984" s="178"/>
      <c r="O984" s="179" t="s">
        <v>115</v>
      </c>
      <c r="P984" s="179"/>
      <c r="Q984" s="179"/>
      <c r="R984" s="179" t="str">
        <f t="shared" si="300"/>
        <v/>
      </c>
      <c r="S984" s="159"/>
      <c r="T984" s="179" t="s">
        <v>115</v>
      </c>
      <c r="U984" s="185" t="str">
        <f t="shared" ref="U984:U985" si="302">IF($J$1="September",Y983,"")</f>
        <v/>
      </c>
      <c r="V984" s="181"/>
      <c r="W984" s="185" t="str">
        <f t="shared" si="301"/>
        <v/>
      </c>
      <c r="X984" s="181"/>
      <c r="Y984" s="185" t="str">
        <f t="shared" si="297"/>
        <v/>
      </c>
      <c r="Z984" s="186"/>
      <c r="AA984" s="153"/>
      <c r="AB984" s="153"/>
      <c r="AC984" s="153"/>
    </row>
    <row r="985" spans="1:29" ht="18.75" customHeight="1" thickBot="1" x14ac:dyDescent="0.3">
      <c r="A985" s="200"/>
      <c r="B985" s="216"/>
      <c r="C985" s="216"/>
      <c r="D985" s="216"/>
      <c r="E985" s="216"/>
      <c r="F985" s="216"/>
      <c r="G985" s="216"/>
      <c r="H985" s="216"/>
      <c r="I985" s="216"/>
      <c r="J985" s="216"/>
      <c r="K985" s="216"/>
      <c r="L985" s="202"/>
      <c r="M985" s="161"/>
      <c r="N985" s="178"/>
      <c r="O985" s="179" t="s">
        <v>118</v>
      </c>
      <c r="P985" s="179"/>
      <c r="Q985" s="179"/>
      <c r="R985" s="179" t="str">
        <f t="shared" si="300"/>
        <v/>
      </c>
      <c r="S985" s="159"/>
      <c r="T985" s="179" t="s">
        <v>118</v>
      </c>
      <c r="U985" s="185" t="str">
        <f t="shared" si="302"/>
        <v/>
      </c>
      <c r="V985" s="181"/>
      <c r="W985" s="185" t="str">
        <f t="shared" si="301"/>
        <v/>
      </c>
      <c r="X985" s="181"/>
      <c r="Y985" s="185" t="str">
        <f t="shared" si="297"/>
        <v/>
      </c>
      <c r="Z985" s="186"/>
      <c r="AA985" s="153"/>
      <c r="AB985" s="153"/>
      <c r="AC985" s="153"/>
    </row>
    <row r="986" spans="1:29" ht="18.75" customHeight="1" thickBot="1" x14ac:dyDescent="0.35">
      <c r="A986" s="150"/>
      <c r="B986" s="150"/>
      <c r="C986" s="150"/>
      <c r="D986" s="150"/>
      <c r="E986" s="150"/>
      <c r="F986" s="150"/>
      <c r="G986" s="150"/>
      <c r="H986" s="150"/>
      <c r="I986" s="150"/>
      <c r="J986" s="150"/>
      <c r="K986" s="150"/>
      <c r="L986" s="150"/>
      <c r="M986" s="161"/>
      <c r="N986" s="178"/>
      <c r="O986" s="179" t="s">
        <v>119</v>
      </c>
      <c r="P986" s="179"/>
      <c r="Q986" s="179"/>
      <c r="R986" s="179" t="str">
        <f t="shared" si="300"/>
        <v/>
      </c>
      <c r="S986" s="159"/>
      <c r="T986" s="179" t="s">
        <v>119</v>
      </c>
      <c r="U986" s="185" t="str">
        <f>IF($J$1="October",Y985,"")</f>
        <v/>
      </c>
      <c r="V986" s="181"/>
      <c r="W986" s="185" t="str">
        <f t="shared" si="301"/>
        <v/>
      </c>
      <c r="X986" s="181"/>
      <c r="Y986" s="185" t="str">
        <f t="shared" si="297"/>
        <v/>
      </c>
      <c r="Z986" s="186"/>
      <c r="AA986" s="153"/>
      <c r="AB986" s="153"/>
      <c r="AC986" s="153"/>
    </row>
    <row r="987" spans="1:29" ht="18.75" customHeight="1" x14ac:dyDescent="0.25">
      <c r="A987" s="436" t="s">
        <v>89</v>
      </c>
      <c r="B987" s="437"/>
      <c r="C987" s="437"/>
      <c r="D987" s="437"/>
      <c r="E987" s="437"/>
      <c r="F987" s="437"/>
      <c r="G987" s="437"/>
      <c r="H987" s="437"/>
      <c r="I987" s="437"/>
      <c r="J987" s="437"/>
      <c r="K987" s="437"/>
      <c r="L987" s="438"/>
      <c r="M987" s="161"/>
      <c r="N987" s="178"/>
      <c r="O987" s="179" t="s">
        <v>120</v>
      </c>
      <c r="P987" s="179"/>
      <c r="Q987" s="179"/>
      <c r="R987" s="179" t="str">
        <f t="shared" si="300"/>
        <v/>
      </c>
      <c r="S987" s="159"/>
      <c r="T987" s="179" t="s">
        <v>120</v>
      </c>
      <c r="U987" s="185" t="str">
        <f>IF($J$1="November",Y986,"")</f>
        <v/>
      </c>
      <c r="V987" s="181"/>
      <c r="W987" s="185" t="str">
        <f t="shared" si="301"/>
        <v/>
      </c>
      <c r="X987" s="181"/>
      <c r="Y987" s="185" t="str">
        <f t="shared" si="297"/>
        <v/>
      </c>
      <c r="Z987" s="186"/>
      <c r="AA987" s="153"/>
      <c r="AB987" s="153"/>
      <c r="AC987" s="153"/>
    </row>
    <row r="988" spans="1:29" ht="18.75" customHeight="1" x14ac:dyDescent="0.25">
      <c r="A988" s="166"/>
      <c r="B988" s="152"/>
      <c r="C988" s="443" t="s">
        <v>92</v>
      </c>
      <c r="D988" s="435"/>
      <c r="E988" s="435"/>
      <c r="F988" s="435"/>
      <c r="G988" s="167" t="str">
        <f>$J$1</f>
        <v>August</v>
      </c>
      <c r="H988" s="444">
        <f>$K$1</f>
        <v>2024</v>
      </c>
      <c r="I988" s="435"/>
      <c r="J988" s="152"/>
      <c r="K988" s="168"/>
      <c r="L988" s="169"/>
      <c r="M988" s="161"/>
      <c r="N988" s="178"/>
      <c r="O988" s="179" t="s">
        <v>121</v>
      </c>
      <c r="P988" s="179"/>
      <c r="Q988" s="179"/>
      <c r="R988" s="179" t="str">
        <f t="shared" si="300"/>
        <v/>
      </c>
      <c r="S988" s="159"/>
      <c r="T988" s="179" t="s">
        <v>121</v>
      </c>
      <c r="U988" s="185" t="str">
        <f>IF($J$1="Dec",Y987,"")</f>
        <v/>
      </c>
      <c r="V988" s="181"/>
      <c r="W988" s="185" t="str">
        <f t="shared" si="301"/>
        <v/>
      </c>
      <c r="X988" s="181"/>
      <c r="Y988" s="185" t="str">
        <f t="shared" si="297"/>
        <v/>
      </c>
      <c r="Z988" s="186"/>
      <c r="AA988" s="153"/>
      <c r="AB988" s="153"/>
      <c r="AC988" s="153"/>
    </row>
    <row r="989" spans="1:29" ht="18.75" customHeight="1" thickBot="1" x14ac:dyDescent="0.3">
      <c r="A989" s="166"/>
      <c r="B989" s="152"/>
      <c r="C989" s="152"/>
      <c r="D989" s="175"/>
      <c r="E989" s="175"/>
      <c r="F989" s="175"/>
      <c r="G989" s="175"/>
      <c r="H989" s="175"/>
      <c r="I989" s="152"/>
      <c r="J989" s="176" t="s">
        <v>99</v>
      </c>
      <c r="K989" s="154">
        <v>52000</v>
      </c>
      <c r="L989" s="177"/>
      <c r="M989" s="161"/>
      <c r="N989" s="217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21"/>
      <c r="AA989" s="153"/>
      <c r="AB989" s="153"/>
      <c r="AC989" s="153"/>
    </row>
    <row r="990" spans="1:29" ht="27.75" customHeight="1" thickBot="1" x14ac:dyDescent="0.3">
      <c r="A990" s="166"/>
      <c r="B990" s="152" t="s">
        <v>101</v>
      </c>
      <c r="C990" s="151" t="s">
        <v>294</v>
      </c>
      <c r="D990" s="152"/>
      <c r="E990" s="152"/>
      <c r="F990" s="152"/>
      <c r="G990" s="152"/>
      <c r="H990" s="182"/>
      <c r="I990" s="175"/>
      <c r="J990" s="152"/>
      <c r="K990" s="152"/>
      <c r="L990" s="18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</row>
    <row r="991" spans="1:29" ht="27.75" customHeight="1" x14ac:dyDescent="0.25">
      <c r="A991" s="166"/>
      <c r="B991" s="187" t="s">
        <v>103</v>
      </c>
      <c r="C991" s="213"/>
      <c r="D991" s="152"/>
      <c r="E991" s="152"/>
      <c r="F991" s="439" t="s">
        <v>91</v>
      </c>
      <c r="G991" s="413"/>
      <c r="H991" s="152"/>
      <c r="I991" s="439" t="s">
        <v>104</v>
      </c>
      <c r="J991" s="412"/>
      <c r="K991" s="413"/>
      <c r="L991" s="189"/>
      <c r="M991" s="162"/>
      <c r="N991" s="163"/>
      <c r="O991" s="440" t="s">
        <v>90</v>
      </c>
      <c r="P991" s="441"/>
      <c r="Q991" s="441"/>
      <c r="R991" s="442"/>
      <c r="S991" s="164"/>
      <c r="T991" s="440" t="s">
        <v>91</v>
      </c>
      <c r="U991" s="441"/>
      <c r="V991" s="441"/>
      <c r="W991" s="441"/>
      <c r="X991" s="441"/>
      <c r="Y991" s="442"/>
      <c r="Z991" s="165"/>
      <c r="AA991" s="153"/>
      <c r="AB991" s="153"/>
      <c r="AC991" s="153"/>
    </row>
    <row r="992" spans="1:29" ht="27.75" customHeight="1" x14ac:dyDescent="0.25">
      <c r="A992" s="166"/>
      <c r="B992" s="152"/>
      <c r="C992" s="152"/>
      <c r="D992" s="152"/>
      <c r="E992" s="152"/>
      <c r="F992" s="152"/>
      <c r="G992" s="152"/>
      <c r="H992" s="190"/>
      <c r="I992" s="152"/>
      <c r="J992" s="152"/>
      <c r="K992" s="152"/>
      <c r="L992" s="191"/>
      <c r="M992" s="170"/>
      <c r="N992" s="171"/>
      <c r="O992" s="172" t="s">
        <v>93</v>
      </c>
      <c r="P992" s="172" t="s">
        <v>94</v>
      </c>
      <c r="Q992" s="172" t="s">
        <v>95</v>
      </c>
      <c r="R992" s="172" t="s">
        <v>96</v>
      </c>
      <c r="S992" s="173"/>
      <c r="T992" s="172" t="s">
        <v>93</v>
      </c>
      <c r="U992" s="172" t="s">
        <v>97</v>
      </c>
      <c r="V992" s="172" t="s">
        <v>9</v>
      </c>
      <c r="W992" s="172" t="s">
        <v>10</v>
      </c>
      <c r="X992" s="172" t="s">
        <v>11</v>
      </c>
      <c r="Y992" s="172" t="s">
        <v>98</v>
      </c>
      <c r="Z992" s="174"/>
      <c r="AA992" s="153"/>
      <c r="AB992" s="153"/>
      <c r="AC992" s="153"/>
    </row>
    <row r="993" spans="1:29" ht="18.75" customHeight="1" x14ac:dyDescent="0.25">
      <c r="A993" s="166"/>
      <c r="B993" s="445" t="s">
        <v>90</v>
      </c>
      <c r="C993" s="413"/>
      <c r="D993" s="152"/>
      <c r="E993" s="152"/>
      <c r="F993" s="192" t="s">
        <v>107</v>
      </c>
      <c r="G993" s="193" t="str">
        <f>IF($J$1="January",U993,IF($J$1="February",U994,IF($J$1="March",U995,IF($J$1="April",U996,IF($J$1="May",U997,IF($J$1="June",U998,IF($J$1="July",U999,IF($J$1="August",U1000,IF($J$1="August",U1000,IF($J$1="September",U1001,IF($J$1="October",U1002,IF($J$1="November",U1003,IF($J$1="December",U1004)))))))))))))</f>
        <v/>
      </c>
      <c r="H993" s="190"/>
      <c r="I993" s="194">
        <f>IF(C997&gt;0,$K$2,C995)</f>
        <v>31</v>
      </c>
      <c r="J993" s="195" t="s">
        <v>108</v>
      </c>
      <c r="K993" s="410">
        <f>K989/$K$2*I993</f>
        <v>52000</v>
      </c>
      <c r="L993" s="197"/>
      <c r="M993" s="161"/>
      <c r="N993" s="178"/>
      <c r="O993" s="179" t="s">
        <v>100</v>
      </c>
      <c r="P993" s="179"/>
      <c r="Q993" s="179"/>
      <c r="R993" s="179"/>
      <c r="S993" s="180"/>
      <c r="T993" s="179" t="s">
        <v>100</v>
      </c>
      <c r="U993" s="181"/>
      <c r="V993" s="181"/>
      <c r="W993" s="181">
        <f>V993+U993</f>
        <v>0</v>
      </c>
      <c r="X993" s="181"/>
      <c r="Y993" s="181">
        <f>W993-X993</f>
        <v>0</v>
      </c>
      <c r="Z993" s="174"/>
      <c r="AA993" s="153"/>
      <c r="AB993" s="153"/>
      <c r="AC993" s="153"/>
    </row>
    <row r="994" spans="1:29" ht="18.75" customHeight="1" x14ac:dyDescent="0.25">
      <c r="A994" s="166"/>
      <c r="B994" s="198"/>
      <c r="C994" s="198"/>
      <c r="D994" s="152"/>
      <c r="E994" s="152"/>
      <c r="F994" s="192" t="s">
        <v>9</v>
      </c>
      <c r="G994" s="193">
        <f>IF($J$1="January",V993,IF($J$1="February",V994,IF($J$1="March",V995,IF($J$1="April",V996,IF($J$1="May",V997,IF($J$1="June",V998,IF($J$1="July",V999,IF($J$1="August",V1000,IF($J$1="August",V1000,IF($J$1="September",V1001,IF($J$1="October",V1002,IF($J$1="November",V1003,IF($J$1="December",V1004)))))))))))))</f>
        <v>0</v>
      </c>
      <c r="H994" s="190"/>
      <c r="I994" s="214"/>
      <c r="J994" s="195" t="s">
        <v>110</v>
      </c>
      <c r="K994" s="193">
        <f>K989/$K$2/8*I994</f>
        <v>0</v>
      </c>
      <c r="L994" s="199"/>
      <c r="M994" s="162"/>
      <c r="N994" s="184"/>
      <c r="O994" s="179" t="s">
        <v>102</v>
      </c>
      <c r="P994" s="179"/>
      <c r="Q994" s="179"/>
      <c r="R994" s="179" t="str">
        <f t="shared" ref="R994:R995" si="303">IF(Q994="","",R993-Q994)</f>
        <v/>
      </c>
      <c r="S994" s="159"/>
      <c r="T994" s="179" t="s">
        <v>102</v>
      </c>
      <c r="U994" s="185">
        <f>Y993</f>
        <v>0</v>
      </c>
      <c r="V994" s="181"/>
      <c r="W994" s="185">
        <f t="shared" ref="W994:W997" si="304">IF(U994="","",U994+V994)</f>
        <v>0</v>
      </c>
      <c r="X994" s="181"/>
      <c r="Y994" s="185">
        <f t="shared" ref="Y994:Y1004" si="305">IF(W994="","",W994-X994)</f>
        <v>0</v>
      </c>
      <c r="Z994" s="186"/>
      <c r="AA994" s="153"/>
      <c r="AB994" s="153"/>
      <c r="AC994" s="153"/>
    </row>
    <row r="995" spans="1:29" ht="18.75" customHeight="1" x14ac:dyDescent="0.25">
      <c r="A995" s="166"/>
      <c r="B995" s="192" t="s">
        <v>94</v>
      </c>
      <c r="C995" s="198">
        <f>IF($J$1="January",P993,IF($J$1="February",P994,IF($J$1="March",P995,IF($J$1="April",P996,IF($J$1="May",P997,IF($J$1="June",P998,IF($J$1="July",P999,IF($J$1="August",P1000,IF($J$1="August",P1000,IF($J$1="September",P1001,IF($J$1="October",P1002,IF($J$1="November",P1003,IF($J$1="December",P1004)))))))))))))</f>
        <v>0</v>
      </c>
      <c r="D995" s="152"/>
      <c r="E995" s="152"/>
      <c r="F995" s="192" t="s">
        <v>111</v>
      </c>
      <c r="G995" s="193" t="str">
        <f>IF($J$1="January",W993,IF($J$1="February",W994,IF($J$1="March",W995,IF($J$1="April",W996,IF($J$1="May",W997,IF($J$1="June",W998,IF($J$1="July",W999,IF($J$1="August",W1000,IF($J$1="August",W1000,IF($J$1="September",W1001,IF($J$1="October",W1002,IF($J$1="November",W1003,IF($J$1="December",W1004)))))))))))))</f>
        <v/>
      </c>
      <c r="H995" s="190"/>
      <c r="I995" s="446" t="s">
        <v>112</v>
      </c>
      <c r="J995" s="413"/>
      <c r="K995" s="193">
        <f>K993+K994</f>
        <v>52000</v>
      </c>
      <c r="L995" s="199"/>
      <c r="M995" s="161"/>
      <c r="N995" s="178"/>
      <c r="O995" s="179" t="s">
        <v>105</v>
      </c>
      <c r="P995" s="179"/>
      <c r="Q995" s="179"/>
      <c r="R995" s="179" t="str">
        <f t="shared" si="303"/>
        <v/>
      </c>
      <c r="S995" s="159"/>
      <c r="T995" s="179" t="s">
        <v>105</v>
      </c>
      <c r="U995" s="185">
        <f t="shared" ref="U995:U996" si="306">IF($J$1="April",Y994,Y994)</f>
        <v>0</v>
      </c>
      <c r="V995" s="181"/>
      <c r="W995" s="185">
        <f t="shared" si="304"/>
        <v>0</v>
      </c>
      <c r="X995" s="181"/>
      <c r="Y995" s="185">
        <f t="shared" si="305"/>
        <v>0</v>
      </c>
      <c r="Z995" s="186"/>
      <c r="AA995" s="153"/>
      <c r="AB995" s="153"/>
      <c r="AC995" s="153"/>
    </row>
    <row r="996" spans="1:29" ht="18.75" customHeight="1" x14ac:dyDescent="0.25">
      <c r="A996" s="166"/>
      <c r="B996" s="192" t="s">
        <v>95</v>
      </c>
      <c r="C996" s="198">
        <f>IF($J$1="January",Q993,IF($J$1="February",Q994,IF($J$1="March",Q995,IF($J$1="April",Q996,IF($J$1="May",Q997,IF($J$1="June",Q998,IF($J$1="July",Q999,IF($J$1="August",Q1000,IF($J$1="August",Q1000,IF($J$1="September",Q1001,IF($J$1="October",Q1002,IF($J$1="November",Q1003,IF($J$1="December",Q1004)))))))))))))</f>
        <v>0</v>
      </c>
      <c r="D996" s="152"/>
      <c r="E996" s="152"/>
      <c r="F996" s="192" t="s">
        <v>11</v>
      </c>
      <c r="G996" s="193">
        <f>IF($J$1="January",X993,IF($J$1="February",X994,IF($J$1="March",X995,IF($J$1="April",X996,IF($J$1="May",X997,IF($J$1="June",X998,IF($J$1="July",X999,IF($J$1="August",X1000,IF($J$1="August",X1000,IF($J$1="September",X1001,IF($J$1="October",X1002,IF($J$1="November",X1003,IF($J$1="December",X1004)))))))))))))</f>
        <v>0</v>
      </c>
      <c r="H996" s="190"/>
      <c r="I996" s="446" t="s">
        <v>114</v>
      </c>
      <c r="J996" s="413"/>
      <c r="K996" s="193">
        <f>G996</f>
        <v>0</v>
      </c>
      <c r="L996" s="199"/>
      <c r="M996" s="161"/>
      <c r="N996" s="178"/>
      <c r="O996" s="179" t="s">
        <v>106</v>
      </c>
      <c r="P996" s="179"/>
      <c r="Q996" s="179"/>
      <c r="R996" s="179">
        <v>0</v>
      </c>
      <c r="S996" s="159"/>
      <c r="T996" s="179" t="s">
        <v>106</v>
      </c>
      <c r="U996" s="185">
        <f t="shared" si="306"/>
        <v>0</v>
      </c>
      <c r="V996" s="181"/>
      <c r="W996" s="185">
        <f t="shared" si="304"/>
        <v>0</v>
      </c>
      <c r="X996" s="181"/>
      <c r="Y996" s="185">
        <f t="shared" si="305"/>
        <v>0</v>
      </c>
      <c r="Z996" s="186"/>
      <c r="AA996" s="153"/>
      <c r="AB996" s="153"/>
      <c r="AC996" s="153"/>
    </row>
    <row r="997" spans="1:29" ht="18.75" customHeight="1" x14ac:dyDescent="0.25">
      <c r="A997" s="166"/>
      <c r="B997" s="215" t="s">
        <v>116</v>
      </c>
      <c r="C997" s="198" t="str">
        <f>IF($J$1="January",R993,IF($J$1="February",R994,IF($J$1="March",R995,IF($J$1="April",R996,IF($J$1="May",R997,IF($J$1="June",R998,IF($J$1="July",R999,IF($J$1="August",R1000,IF($J$1="August",R1000,IF($J$1="September",R1001,IF($J$1="October",R1002,IF($J$1="November",R1003,IF($J$1="December",R1004)))))))))))))</f>
        <v/>
      </c>
      <c r="D997" s="152"/>
      <c r="E997" s="152"/>
      <c r="F997" s="192" t="s">
        <v>169</v>
      </c>
      <c r="G997" s="193" t="str">
        <f>IF($J$1="January",Y993,IF($J$1="February",Y994,IF($J$1="March",Y995,IF($J$1="April",Y996,IF($J$1="May",Y997,IF($J$1="June",Y998,IF($J$1="July",Y999,IF($J$1="August",Y1000,IF($J$1="August",Y1000,IF($J$1="September",Y1001,IF($J$1="October",Y1002,IF($J$1="November",Y1003,IF($J$1="December",Y1004)))))))))))))</f>
        <v/>
      </c>
      <c r="H997" s="152"/>
      <c r="I997" s="439" t="s">
        <v>13</v>
      </c>
      <c r="J997" s="413"/>
      <c r="K997" s="37">
        <f>K995-K996</f>
        <v>52000</v>
      </c>
      <c r="L997" s="183"/>
      <c r="M997" s="161"/>
      <c r="N997" s="178"/>
      <c r="O997" s="179" t="s">
        <v>109</v>
      </c>
      <c r="P997" s="179"/>
      <c r="Q997" s="179"/>
      <c r="R997" s="179">
        <v>0</v>
      </c>
      <c r="S997" s="159"/>
      <c r="T997" s="179" t="s">
        <v>109</v>
      </c>
      <c r="U997" s="185">
        <f t="shared" ref="U997:U998" si="307">IF($J$1="May",Y996,Y996)</f>
        <v>0</v>
      </c>
      <c r="V997" s="181"/>
      <c r="W997" s="185">
        <f t="shared" si="304"/>
        <v>0</v>
      </c>
      <c r="X997" s="181"/>
      <c r="Y997" s="185">
        <f t="shared" si="305"/>
        <v>0</v>
      </c>
      <c r="Z997" s="186"/>
      <c r="AA997" s="153"/>
      <c r="AB997" s="153"/>
      <c r="AC997" s="153"/>
    </row>
    <row r="998" spans="1:29" ht="18.75" customHeight="1" x14ac:dyDescent="0.25">
      <c r="A998" s="166"/>
      <c r="B998" s="152"/>
      <c r="C998" s="152"/>
      <c r="D998" s="152"/>
      <c r="E998" s="152"/>
      <c r="F998" s="152"/>
      <c r="G998" s="152"/>
      <c r="H998" s="152"/>
      <c r="I998" s="434"/>
      <c r="J998" s="435"/>
      <c r="K998" s="154"/>
      <c r="L998" s="189"/>
      <c r="M998" s="161"/>
      <c r="N998" s="178"/>
      <c r="O998" s="179" t="s">
        <v>85</v>
      </c>
      <c r="P998" s="179"/>
      <c r="Q998" s="179"/>
      <c r="R998" s="179">
        <v>0</v>
      </c>
      <c r="S998" s="159"/>
      <c r="T998" s="179" t="s">
        <v>85</v>
      </c>
      <c r="U998" s="185">
        <f t="shared" si="307"/>
        <v>0</v>
      </c>
      <c r="V998" s="181"/>
      <c r="W998" s="185"/>
      <c r="X998" s="181"/>
      <c r="Y998" s="185" t="str">
        <f t="shared" si="305"/>
        <v/>
      </c>
      <c r="Z998" s="186"/>
      <c r="AA998" s="153"/>
      <c r="AB998" s="153"/>
      <c r="AC998" s="153"/>
    </row>
    <row r="999" spans="1:29" ht="18.75" customHeight="1" x14ac:dyDescent="0.3">
      <c r="A999" s="166"/>
      <c r="B999" s="150"/>
      <c r="C999" s="150"/>
      <c r="D999" s="150"/>
      <c r="E999" s="150"/>
      <c r="F999" s="150"/>
      <c r="G999" s="150"/>
      <c r="H999" s="150"/>
      <c r="I999" s="434"/>
      <c r="J999" s="435"/>
      <c r="K999" s="154"/>
      <c r="L999" s="189"/>
      <c r="M999" s="161"/>
      <c r="N999" s="178"/>
      <c r="O999" s="179" t="s">
        <v>113</v>
      </c>
      <c r="P999" s="179">
        <v>9</v>
      </c>
      <c r="Q999" s="179">
        <v>21</v>
      </c>
      <c r="R999" s="179">
        <v>0</v>
      </c>
      <c r="S999" s="159"/>
      <c r="T999" s="179" t="s">
        <v>113</v>
      </c>
      <c r="U999" s="185" t="str">
        <f>Y998</f>
        <v/>
      </c>
      <c r="V999" s="181"/>
      <c r="W999" s="185" t="str">
        <f t="shared" ref="W999:W1004" si="308">IF(U999="","",U999+V999)</f>
        <v/>
      </c>
      <c r="X999" s="181"/>
      <c r="Y999" s="185" t="str">
        <f t="shared" si="305"/>
        <v/>
      </c>
      <c r="Z999" s="186"/>
      <c r="AA999" s="153"/>
      <c r="AB999" s="153"/>
      <c r="AC999" s="153"/>
    </row>
    <row r="1000" spans="1:29" ht="18.75" customHeight="1" x14ac:dyDescent="0.3">
      <c r="A1000" s="166"/>
      <c r="B1000" s="150"/>
      <c r="C1000" s="150"/>
      <c r="D1000" s="150"/>
      <c r="E1000" s="150"/>
      <c r="F1000" s="150"/>
      <c r="G1000" s="150"/>
      <c r="H1000" s="150"/>
      <c r="I1000" s="150"/>
      <c r="J1000" s="150"/>
      <c r="K1000" s="150"/>
      <c r="L1000" s="189"/>
      <c r="M1000" s="161"/>
      <c r="N1000" s="178"/>
      <c r="O1000" s="179" t="s">
        <v>115</v>
      </c>
      <c r="P1000" s="179"/>
      <c r="Q1000" s="179"/>
      <c r="R1000" s="179" t="str">
        <f t="shared" ref="R1000:R1004" si="309">IF(Q1000="","",R999-Q1000)</f>
        <v/>
      </c>
      <c r="S1000" s="159"/>
      <c r="T1000" s="179" t="s">
        <v>115</v>
      </c>
      <c r="U1000" s="185" t="str">
        <f t="shared" ref="U1000:U1001" si="310">IF($J$1="September",Y999,"")</f>
        <v/>
      </c>
      <c r="V1000" s="181"/>
      <c r="W1000" s="185" t="str">
        <f t="shared" si="308"/>
        <v/>
      </c>
      <c r="X1000" s="181"/>
      <c r="Y1000" s="185" t="str">
        <f t="shared" si="305"/>
        <v/>
      </c>
      <c r="Z1000" s="186"/>
      <c r="AA1000" s="153"/>
      <c r="AB1000" s="153"/>
      <c r="AC1000" s="153"/>
    </row>
    <row r="1001" spans="1:29" ht="18.75" customHeight="1" thickBot="1" x14ac:dyDescent="0.3">
      <c r="A1001" s="200"/>
      <c r="B1001" s="216"/>
      <c r="C1001" s="216"/>
      <c r="D1001" s="216"/>
      <c r="E1001" s="216"/>
      <c r="F1001" s="216"/>
      <c r="G1001" s="216"/>
      <c r="H1001" s="216"/>
      <c r="I1001" s="216"/>
      <c r="J1001" s="216"/>
      <c r="K1001" s="216"/>
      <c r="L1001" s="202"/>
      <c r="M1001" s="161"/>
      <c r="N1001" s="178"/>
      <c r="O1001" s="179" t="s">
        <v>118</v>
      </c>
      <c r="P1001" s="179"/>
      <c r="Q1001" s="179"/>
      <c r="R1001" s="179" t="str">
        <f t="shared" si="309"/>
        <v/>
      </c>
      <c r="S1001" s="159"/>
      <c r="T1001" s="179" t="s">
        <v>118</v>
      </c>
      <c r="U1001" s="185" t="str">
        <f t="shared" si="310"/>
        <v/>
      </c>
      <c r="V1001" s="181"/>
      <c r="W1001" s="185" t="str">
        <f t="shared" si="308"/>
        <v/>
      </c>
      <c r="X1001" s="181"/>
      <c r="Y1001" s="185" t="str">
        <f t="shared" si="305"/>
        <v/>
      </c>
      <c r="Z1001" s="186"/>
      <c r="AA1001" s="153"/>
      <c r="AB1001" s="153"/>
      <c r="AC1001" s="153"/>
    </row>
    <row r="1002" spans="1:29" ht="18.75" customHeight="1" x14ac:dyDescent="0.25">
      <c r="M1002" s="161"/>
      <c r="N1002" s="178"/>
      <c r="O1002" s="179" t="s">
        <v>119</v>
      </c>
      <c r="P1002" s="179"/>
      <c r="Q1002" s="179"/>
      <c r="R1002" s="179" t="str">
        <f t="shared" si="309"/>
        <v/>
      </c>
      <c r="S1002" s="159"/>
      <c r="T1002" s="179" t="s">
        <v>119</v>
      </c>
      <c r="U1002" s="185" t="str">
        <f>IF($J$1="October",Y1001,"")</f>
        <v/>
      </c>
      <c r="V1002" s="181"/>
      <c r="W1002" s="185" t="str">
        <f t="shared" si="308"/>
        <v/>
      </c>
      <c r="X1002" s="181"/>
      <c r="Y1002" s="185" t="str">
        <f t="shared" si="305"/>
        <v/>
      </c>
      <c r="Z1002" s="186"/>
      <c r="AA1002" s="153"/>
      <c r="AB1002" s="153"/>
      <c r="AC1002" s="153"/>
    </row>
    <row r="1003" spans="1:29" ht="18.75" customHeight="1" x14ac:dyDescent="0.25">
      <c r="M1003" s="161"/>
      <c r="N1003" s="178"/>
      <c r="O1003" s="179" t="s">
        <v>120</v>
      </c>
      <c r="P1003" s="179"/>
      <c r="Q1003" s="179"/>
      <c r="R1003" s="179" t="str">
        <f t="shared" si="309"/>
        <v/>
      </c>
      <c r="S1003" s="159"/>
      <c r="T1003" s="179" t="s">
        <v>120</v>
      </c>
      <c r="U1003" s="185" t="str">
        <f>IF($J$1="November",Y1002,"")</f>
        <v/>
      </c>
      <c r="V1003" s="181"/>
      <c r="W1003" s="185" t="str">
        <f t="shared" si="308"/>
        <v/>
      </c>
      <c r="X1003" s="181"/>
      <c r="Y1003" s="185" t="str">
        <f t="shared" si="305"/>
        <v/>
      </c>
      <c r="Z1003" s="186"/>
      <c r="AA1003" s="153"/>
      <c r="AB1003" s="153"/>
      <c r="AC1003" s="153"/>
    </row>
    <row r="1004" spans="1:29" ht="18.75" customHeight="1" x14ac:dyDescent="0.25">
      <c r="M1004" s="161"/>
      <c r="N1004" s="178"/>
      <c r="O1004" s="179" t="s">
        <v>121</v>
      </c>
      <c r="P1004" s="179"/>
      <c r="Q1004" s="179"/>
      <c r="R1004" s="179" t="str">
        <f t="shared" si="309"/>
        <v/>
      </c>
      <c r="S1004" s="159"/>
      <c r="T1004" s="179" t="s">
        <v>121</v>
      </c>
      <c r="U1004" s="185" t="str">
        <f>IF($J$1="Dec",Y1003,"")</f>
        <v/>
      </c>
      <c r="V1004" s="181"/>
      <c r="W1004" s="185" t="str">
        <f t="shared" si="308"/>
        <v/>
      </c>
      <c r="X1004" s="181"/>
      <c r="Y1004" s="185" t="str">
        <f t="shared" si="305"/>
        <v/>
      </c>
      <c r="Z1004" s="186"/>
      <c r="AA1004" s="153"/>
      <c r="AB1004" s="153"/>
      <c r="AC1004" s="153"/>
    </row>
    <row r="1005" spans="1:29" ht="18.75" customHeight="1" thickBot="1" x14ac:dyDescent="0.3">
      <c r="M1005" s="161"/>
      <c r="N1005" s="217"/>
      <c r="O1005" s="218"/>
      <c r="P1005" s="218"/>
      <c r="Q1005" s="218"/>
      <c r="R1005" s="218"/>
      <c r="S1005" s="218"/>
      <c r="T1005" s="218"/>
      <c r="U1005" s="218"/>
      <c r="V1005" s="218"/>
      <c r="W1005" s="218"/>
      <c r="X1005" s="218"/>
      <c r="Y1005" s="218"/>
      <c r="Z1005" s="221"/>
      <c r="AA1005" s="153"/>
      <c r="AB1005" s="153"/>
      <c r="AC1005" s="153"/>
    </row>
    <row r="1006" spans="1:29" ht="18.75" customHeight="1" thickBot="1" x14ac:dyDescent="0.3">
      <c r="A1006" s="436" t="s">
        <v>89</v>
      </c>
      <c r="B1006" s="437"/>
      <c r="C1006" s="437"/>
      <c r="D1006" s="437"/>
      <c r="E1006" s="437"/>
      <c r="F1006" s="437"/>
      <c r="G1006" s="437"/>
      <c r="H1006" s="437"/>
      <c r="I1006" s="437"/>
      <c r="J1006" s="437"/>
      <c r="K1006" s="437"/>
      <c r="L1006" s="438"/>
      <c r="M1006" s="161"/>
      <c r="N1006" s="178"/>
      <c r="O1006" s="153"/>
      <c r="P1006" s="153"/>
      <c r="Q1006" s="153"/>
      <c r="R1006" s="153"/>
      <c r="S1006" s="153"/>
      <c r="T1006" s="153"/>
      <c r="U1006" s="153"/>
      <c r="V1006" s="153"/>
      <c r="W1006" s="153"/>
      <c r="X1006" s="153"/>
      <c r="Y1006" s="153"/>
      <c r="Z1006" s="153"/>
      <c r="AA1006" s="153"/>
      <c r="AB1006" s="153"/>
      <c r="AC1006" s="153"/>
    </row>
    <row r="1007" spans="1:29" ht="18.75" customHeight="1" x14ac:dyDescent="0.25">
      <c r="A1007" s="166"/>
      <c r="B1007" s="152"/>
      <c r="C1007" s="443" t="s">
        <v>92</v>
      </c>
      <c r="D1007" s="435"/>
      <c r="E1007" s="435"/>
      <c r="F1007" s="435"/>
      <c r="G1007" s="167" t="str">
        <f>$J$1</f>
        <v>August</v>
      </c>
      <c r="H1007" s="444">
        <f>$K$1</f>
        <v>2024</v>
      </c>
      <c r="I1007" s="435"/>
      <c r="J1007" s="152"/>
      <c r="K1007" s="168"/>
      <c r="L1007" s="169"/>
      <c r="M1007" s="161"/>
      <c r="N1007" s="178"/>
      <c r="O1007" s="440" t="s">
        <v>90</v>
      </c>
      <c r="P1007" s="441"/>
      <c r="Q1007" s="441"/>
      <c r="R1007" s="442"/>
      <c r="S1007" s="164"/>
      <c r="T1007" s="440" t="s">
        <v>91</v>
      </c>
      <c r="U1007" s="441"/>
      <c r="V1007" s="441"/>
      <c r="W1007" s="441"/>
      <c r="X1007" s="441"/>
      <c r="Y1007" s="442"/>
      <c r="Z1007" s="165"/>
      <c r="AA1007" s="153"/>
      <c r="AB1007" s="153"/>
      <c r="AC1007" s="153"/>
    </row>
    <row r="1008" spans="1:29" ht="18.75" customHeight="1" thickBot="1" x14ac:dyDescent="0.3">
      <c r="A1008" s="166"/>
      <c r="B1008" s="152"/>
      <c r="C1008" s="152"/>
      <c r="D1008" s="175"/>
      <c r="E1008" s="175"/>
      <c r="F1008" s="175"/>
      <c r="G1008" s="175"/>
      <c r="H1008" s="175"/>
      <c r="I1008" s="152"/>
      <c r="J1008" s="176" t="s">
        <v>99</v>
      </c>
      <c r="K1008" s="154">
        <f>25000+3000</f>
        <v>28000</v>
      </c>
      <c r="L1008" s="177"/>
      <c r="M1008" s="161"/>
      <c r="N1008" s="217"/>
      <c r="O1008" s="172" t="s">
        <v>93</v>
      </c>
      <c r="P1008" s="172" t="s">
        <v>94</v>
      </c>
      <c r="Q1008" s="172" t="s">
        <v>95</v>
      </c>
      <c r="R1008" s="172" t="s">
        <v>96</v>
      </c>
      <c r="S1008" s="173"/>
      <c r="T1008" s="172" t="s">
        <v>93</v>
      </c>
      <c r="U1008" s="172" t="s">
        <v>97</v>
      </c>
      <c r="V1008" s="172" t="s">
        <v>9</v>
      </c>
      <c r="W1008" s="172" t="s">
        <v>10</v>
      </c>
      <c r="X1008" s="172" t="s">
        <v>11</v>
      </c>
      <c r="Y1008" s="172" t="s">
        <v>98</v>
      </c>
      <c r="Z1008" s="174"/>
      <c r="AA1008" s="153"/>
      <c r="AB1008" s="153"/>
      <c r="AC1008" s="153"/>
    </row>
    <row r="1009" spans="1:29" ht="27.75" customHeight="1" thickBot="1" x14ac:dyDescent="0.3">
      <c r="A1009" s="166"/>
      <c r="B1009" s="152" t="s">
        <v>101</v>
      </c>
      <c r="C1009" s="151" t="s">
        <v>314</v>
      </c>
      <c r="D1009" s="152"/>
      <c r="E1009" s="152"/>
      <c r="F1009" s="152"/>
      <c r="G1009" s="152"/>
      <c r="H1009" s="182"/>
      <c r="I1009" s="175"/>
      <c r="J1009" s="152"/>
      <c r="K1009" s="152"/>
      <c r="L1009" s="183"/>
      <c r="M1009" s="153"/>
      <c r="N1009" s="153"/>
      <c r="O1009" s="179" t="s">
        <v>100</v>
      </c>
      <c r="P1009" s="179"/>
      <c r="Q1009" s="179"/>
      <c r="R1009" s="179"/>
      <c r="S1009" s="180"/>
      <c r="T1009" s="179" t="s">
        <v>100</v>
      </c>
      <c r="U1009" s="181"/>
      <c r="V1009" s="181"/>
      <c r="W1009" s="181">
        <f>V1009+U1009</f>
        <v>0</v>
      </c>
      <c r="X1009" s="181"/>
      <c r="Y1009" s="181">
        <f>W1009-X1009</f>
        <v>0</v>
      </c>
      <c r="Z1009" s="174"/>
      <c r="AA1009" s="153"/>
      <c r="AB1009" s="153"/>
      <c r="AC1009" s="153"/>
    </row>
    <row r="1010" spans="1:29" ht="27.75" customHeight="1" x14ac:dyDescent="0.25">
      <c r="A1010" s="166"/>
      <c r="B1010" s="187" t="s">
        <v>103</v>
      </c>
      <c r="C1010" s="213"/>
      <c r="D1010" s="152"/>
      <c r="E1010" s="152"/>
      <c r="F1010" s="439" t="s">
        <v>91</v>
      </c>
      <c r="G1010" s="413"/>
      <c r="H1010" s="152"/>
      <c r="I1010" s="439" t="s">
        <v>104</v>
      </c>
      <c r="J1010" s="412"/>
      <c r="K1010" s="413"/>
      <c r="L1010" s="189"/>
      <c r="M1010" s="162"/>
      <c r="N1010" s="163"/>
      <c r="O1010" s="179" t="s">
        <v>102</v>
      </c>
      <c r="P1010" s="179"/>
      <c r="Q1010" s="179"/>
      <c r="R1010" s="179" t="str">
        <f t="shared" ref="R1010:R1011" si="311">IF(Q1010="","",R1009-Q1010)</f>
        <v/>
      </c>
      <c r="S1010" s="159"/>
      <c r="T1010" s="179" t="s">
        <v>102</v>
      </c>
      <c r="U1010" s="185">
        <f>Y1009</f>
        <v>0</v>
      </c>
      <c r="V1010" s="181"/>
      <c r="W1010" s="185">
        <f t="shared" ref="W1010:W1013" si="312">IF(U1010="","",U1010+V1010)</f>
        <v>0</v>
      </c>
      <c r="X1010" s="181"/>
      <c r="Y1010" s="185">
        <f t="shared" ref="Y1010:Y1020" si="313">IF(W1010="","",W1010-X1010)</f>
        <v>0</v>
      </c>
      <c r="Z1010" s="186"/>
      <c r="AA1010" s="153"/>
      <c r="AB1010" s="153"/>
      <c r="AC1010" s="153"/>
    </row>
    <row r="1011" spans="1:29" ht="27.75" customHeight="1" x14ac:dyDescent="0.25">
      <c r="A1011" s="166"/>
      <c r="B1011" s="152"/>
      <c r="C1011" s="152"/>
      <c r="D1011" s="152"/>
      <c r="E1011" s="152"/>
      <c r="F1011" s="152"/>
      <c r="G1011" s="152"/>
      <c r="H1011" s="190"/>
      <c r="I1011" s="152"/>
      <c r="J1011" s="152"/>
      <c r="K1011" s="152"/>
      <c r="L1011" s="191"/>
      <c r="M1011" s="170"/>
      <c r="N1011" s="171"/>
      <c r="O1011" s="179" t="s">
        <v>105</v>
      </c>
      <c r="P1011" s="179"/>
      <c r="Q1011" s="179"/>
      <c r="R1011" s="179" t="str">
        <f t="shared" si="311"/>
        <v/>
      </c>
      <c r="S1011" s="159"/>
      <c r="T1011" s="179" t="s">
        <v>105</v>
      </c>
      <c r="U1011" s="185">
        <f t="shared" ref="U1011:U1012" si="314">IF($J$1="April",Y1010,Y1010)</f>
        <v>0</v>
      </c>
      <c r="V1011" s="181"/>
      <c r="W1011" s="185">
        <f t="shared" si="312"/>
        <v>0</v>
      </c>
      <c r="X1011" s="181"/>
      <c r="Y1011" s="185">
        <f t="shared" si="313"/>
        <v>0</v>
      </c>
      <c r="Z1011" s="186"/>
      <c r="AA1011" s="153"/>
      <c r="AB1011" s="153"/>
      <c r="AC1011" s="153"/>
    </row>
    <row r="1012" spans="1:29" ht="18.75" customHeight="1" x14ac:dyDescent="0.25">
      <c r="A1012" s="166"/>
      <c r="B1012" s="445" t="s">
        <v>90</v>
      </c>
      <c r="C1012" s="413"/>
      <c r="D1012" s="152"/>
      <c r="E1012" s="152"/>
      <c r="F1012" s="192" t="s">
        <v>107</v>
      </c>
      <c r="G1012" s="193" t="str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/>
      </c>
      <c r="H1012" s="190"/>
      <c r="I1012" s="194">
        <f>IF(C1016&gt;0,$K$2,C1014)</f>
        <v>31</v>
      </c>
      <c r="J1012" s="195" t="s">
        <v>108</v>
      </c>
      <c r="K1012" s="196">
        <f>K1008/$K$2*I1012</f>
        <v>28000</v>
      </c>
      <c r="L1012" s="197"/>
      <c r="M1012" s="161"/>
      <c r="N1012" s="178"/>
      <c r="O1012" s="179" t="s">
        <v>106</v>
      </c>
      <c r="P1012" s="179"/>
      <c r="Q1012" s="179"/>
      <c r="R1012" s="179">
        <v>0</v>
      </c>
      <c r="S1012" s="159"/>
      <c r="T1012" s="179" t="s">
        <v>106</v>
      </c>
      <c r="U1012" s="185">
        <f t="shared" si="314"/>
        <v>0</v>
      </c>
      <c r="V1012" s="181"/>
      <c r="W1012" s="185">
        <f t="shared" si="312"/>
        <v>0</v>
      </c>
      <c r="X1012" s="181"/>
      <c r="Y1012" s="185">
        <f t="shared" si="313"/>
        <v>0</v>
      </c>
      <c r="Z1012" s="186"/>
      <c r="AA1012" s="153"/>
      <c r="AB1012" s="153"/>
      <c r="AC1012" s="153"/>
    </row>
    <row r="1013" spans="1:29" ht="18.75" customHeight="1" x14ac:dyDescent="0.25">
      <c r="A1013" s="166"/>
      <c r="B1013" s="198"/>
      <c r="C1013" s="198"/>
      <c r="D1013" s="152"/>
      <c r="E1013" s="152"/>
      <c r="F1013" s="192" t="s">
        <v>9</v>
      </c>
      <c r="G1013" s="193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3" s="190"/>
      <c r="I1013" s="214"/>
      <c r="J1013" s="195" t="s">
        <v>110</v>
      </c>
      <c r="K1013" s="193">
        <f>K1008/$K$2/8*I1013</f>
        <v>0</v>
      </c>
      <c r="L1013" s="199"/>
      <c r="M1013" s="162"/>
      <c r="N1013" s="184"/>
      <c r="O1013" s="179" t="s">
        <v>109</v>
      </c>
      <c r="P1013" s="179"/>
      <c r="Q1013" s="179"/>
      <c r="R1013" s="179">
        <v>0</v>
      </c>
      <c r="S1013" s="159"/>
      <c r="T1013" s="179" t="s">
        <v>109</v>
      </c>
      <c r="U1013" s="185">
        <f t="shared" ref="U1013:U1014" si="315">IF($J$1="May",Y1012,Y1012)</f>
        <v>0</v>
      </c>
      <c r="V1013" s="181"/>
      <c r="W1013" s="185">
        <f t="shared" si="312"/>
        <v>0</v>
      </c>
      <c r="X1013" s="181"/>
      <c r="Y1013" s="185">
        <f t="shared" si="313"/>
        <v>0</v>
      </c>
      <c r="Z1013" s="186"/>
      <c r="AA1013" s="153"/>
      <c r="AB1013" s="153"/>
      <c r="AC1013" s="153"/>
    </row>
    <row r="1014" spans="1:29" ht="18.75" customHeight="1" x14ac:dyDescent="0.25">
      <c r="A1014" s="166"/>
      <c r="B1014" s="192" t="s">
        <v>94</v>
      </c>
      <c r="C1014" s="198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0</v>
      </c>
      <c r="D1014" s="152"/>
      <c r="E1014" s="152"/>
      <c r="F1014" s="192" t="s">
        <v>111</v>
      </c>
      <c r="G1014" s="193" t="str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/>
      </c>
      <c r="H1014" s="190"/>
      <c r="I1014" s="446" t="s">
        <v>112</v>
      </c>
      <c r="J1014" s="413"/>
      <c r="K1014" s="193">
        <f>K1012+K1013</f>
        <v>28000</v>
      </c>
      <c r="L1014" s="199"/>
      <c r="M1014" s="161"/>
      <c r="N1014" s="178"/>
      <c r="O1014" s="179" t="s">
        <v>85</v>
      </c>
      <c r="P1014" s="179"/>
      <c r="Q1014" s="179"/>
      <c r="R1014" s="179">
        <v>0</v>
      </c>
      <c r="S1014" s="159"/>
      <c r="T1014" s="179" t="s">
        <v>85</v>
      </c>
      <c r="U1014" s="185">
        <f t="shared" si="315"/>
        <v>0</v>
      </c>
      <c r="V1014" s="181"/>
      <c r="W1014" s="185"/>
      <c r="X1014" s="181"/>
      <c r="Y1014" s="185" t="str">
        <f t="shared" si="313"/>
        <v/>
      </c>
      <c r="Z1014" s="186"/>
      <c r="AA1014" s="153"/>
      <c r="AB1014" s="153"/>
      <c r="AC1014" s="153"/>
    </row>
    <row r="1015" spans="1:29" ht="18.75" customHeight="1" x14ac:dyDescent="0.25">
      <c r="A1015" s="166"/>
      <c r="B1015" s="192" t="s">
        <v>95</v>
      </c>
      <c r="C1015" s="198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5" s="152"/>
      <c r="E1015" s="152"/>
      <c r="F1015" s="192" t="s">
        <v>11</v>
      </c>
      <c r="G1015" s="193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5" s="190"/>
      <c r="I1015" s="446" t="s">
        <v>114</v>
      </c>
      <c r="J1015" s="413"/>
      <c r="K1015" s="193">
        <f>G1015</f>
        <v>0</v>
      </c>
      <c r="L1015" s="199"/>
      <c r="M1015" s="161"/>
      <c r="N1015" s="178"/>
      <c r="O1015" s="179" t="s">
        <v>113</v>
      </c>
      <c r="P1015" s="179">
        <v>9</v>
      </c>
      <c r="Q1015" s="179">
        <v>0</v>
      </c>
      <c r="R1015" s="179">
        <v>0</v>
      </c>
      <c r="S1015" s="159"/>
      <c r="T1015" s="179" t="s">
        <v>113</v>
      </c>
      <c r="U1015" s="185" t="str">
        <f>Y1014</f>
        <v/>
      </c>
      <c r="V1015" s="181"/>
      <c r="W1015" s="185" t="str">
        <f t="shared" ref="W1015:W1020" si="316">IF(U1015="","",U1015+V1015)</f>
        <v/>
      </c>
      <c r="X1015" s="181"/>
      <c r="Y1015" s="185" t="str">
        <f t="shared" si="313"/>
        <v/>
      </c>
      <c r="Z1015" s="186"/>
      <c r="AA1015" s="153"/>
      <c r="AB1015" s="153"/>
      <c r="AC1015" s="153"/>
    </row>
    <row r="1016" spans="1:29" ht="18.75" customHeight="1" x14ac:dyDescent="0.25">
      <c r="A1016" s="166"/>
      <c r="B1016" s="215" t="s">
        <v>116</v>
      </c>
      <c r="C1016" s="198" t="str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/>
      </c>
      <c r="D1016" s="152"/>
      <c r="E1016" s="152"/>
      <c r="F1016" s="192" t="s">
        <v>169</v>
      </c>
      <c r="G1016" s="193" t="str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/>
      </c>
      <c r="H1016" s="152"/>
      <c r="I1016" s="439" t="s">
        <v>13</v>
      </c>
      <c r="J1016" s="413"/>
      <c r="K1016" s="37">
        <f>K1014-K1015</f>
        <v>28000</v>
      </c>
      <c r="L1016" s="183"/>
      <c r="M1016" s="161"/>
      <c r="N1016" s="178"/>
      <c r="O1016" s="179" t="s">
        <v>115</v>
      </c>
      <c r="P1016" s="179"/>
      <c r="Q1016" s="179"/>
      <c r="R1016" s="179" t="str">
        <f t="shared" ref="R1016:R1020" si="317">IF(Q1016="","",R1015-Q1016)</f>
        <v/>
      </c>
      <c r="S1016" s="159"/>
      <c r="T1016" s="179" t="s">
        <v>115</v>
      </c>
      <c r="U1016" s="185" t="str">
        <f t="shared" ref="U1016:U1017" si="318">IF($J$1="September",Y1015,"")</f>
        <v/>
      </c>
      <c r="V1016" s="181"/>
      <c r="W1016" s="185" t="str">
        <f t="shared" si="316"/>
        <v/>
      </c>
      <c r="X1016" s="181"/>
      <c r="Y1016" s="185" t="str">
        <f t="shared" si="313"/>
        <v/>
      </c>
      <c r="Z1016" s="186"/>
      <c r="AA1016" s="153"/>
      <c r="AB1016" s="153"/>
      <c r="AC1016" s="153"/>
    </row>
    <row r="1017" spans="1:29" ht="18.75" customHeight="1" x14ac:dyDescent="0.25">
      <c r="A1017" s="166"/>
      <c r="B1017" s="152"/>
      <c r="C1017" s="152"/>
      <c r="D1017" s="152"/>
      <c r="E1017" s="152"/>
      <c r="F1017" s="152"/>
      <c r="G1017" s="152"/>
      <c r="H1017" s="152"/>
      <c r="I1017" s="434"/>
      <c r="J1017" s="435"/>
      <c r="K1017" s="154"/>
      <c r="L1017" s="189"/>
      <c r="M1017" s="161"/>
      <c r="N1017" s="178"/>
      <c r="O1017" s="179" t="s">
        <v>118</v>
      </c>
      <c r="P1017" s="179"/>
      <c r="Q1017" s="179"/>
      <c r="R1017" s="179" t="str">
        <f t="shared" si="317"/>
        <v/>
      </c>
      <c r="S1017" s="159"/>
      <c r="T1017" s="179" t="s">
        <v>118</v>
      </c>
      <c r="U1017" s="185" t="str">
        <f t="shared" si="318"/>
        <v/>
      </c>
      <c r="V1017" s="181"/>
      <c r="W1017" s="185" t="str">
        <f t="shared" si="316"/>
        <v/>
      </c>
      <c r="X1017" s="181"/>
      <c r="Y1017" s="185" t="str">
        <f t="shared" si="313"/>
        <v/>
      </c>
      <c r="Z1017" s="186"/>
      <c r="AA1017" s="153"/>
      <c r="AB1017" s="153"/>
      <c r="AC1017" s="153"/>
    </row>
    <row r="1018" spans="1:29" ht="18.75" customHeight="1" x14ac:dyDescent="0.3">
      <c r="A1018" s="166"/>
      <c r="B1018" s="150"/>
      <c r="C1018" s="150"/>
      <c r="D1018" s="150"/>
      <c r="E1018" s="150"/>
      <c r="F1018" s="150"/>
      <c r="G1018" s="150"/>
      <c r="H1018" s="150"/>
      <c r="I1018" s="434"/>
      <c r="J1018" s="435"/>
      <c r="K1018" s="154"/>
      <c r="L1018" s="189"/>
      <c r="M1018" s="161"/>
      <c r="N1018" s="178"/>
      <c r="O1018" s="179" t="s">
        <v>119</v>
      </c>
      <c r="P1018" s="179"/>
      <c r="Q1018" s="179"/>
      <c r="R1018" s="179" t="str">
        <f t="shared" si="317"/>
        <v/>
      </c>
      <c r="S1018" s="159"/>
      <c r="T1018" s="179" t="s">
        <v>119</v>
      </c>
      <c r="U1018" s="185" t="str">
        <f>IF($J$1="October",Y1017,"")</f>
        <v/>
      </c>
      <c r="V1018" s="181"/>
      <c r="W1018" s="185" t="str">
        <f t="shared" si="316"/>
        <v/>
      </c>
      <c r="X1018" s="181"/>
      <c r="Y1018" s="185" t="str">
        <f t="shared" si="313"/>
        <v/>
      </c>
      <c r="Z1018" s="186"/>
      <c r="AA1018" s="153"/>
      <c r="AB1018" s="153"/>
      <c r="AC1018" s="153"/>
    </row>
    <row r="1019" spans="1:29" ht="18.75" customHeight="1" x14ac:dyDescent="0.3">
      <c r="A1019" s="166"/>
      <c r="B1019" s="150"/>
      <c r="C1019" s="150"/>
      <c r="D1019" s="150"/>
      <c r="E1019" s="150"/>
      <c r="F1019" s="150"/>
      <c r="G1019" s="150"/>
      <c r="H1019" s="150"/>
      <c r="I1019" s="150"/>
      <c r="J1019" s="150"/>
      <c r="K1019" s="150"/>
      <c r="L1019" s="189"/>
      <c r="M1019" s="161"/>
      <c r="N1019" s="178"/>
      <c r="O1019" s="179" t="s">
        <v>120</v>
      </c>
      <c r="P1019" s="179"/>
      <c r="Q1019" s="179"/>
      <c r="R1019" s="179" t="str">
        <f t="shared" si="317"/>
        <v/>
      </c>
      <c r="S1019" s="159"/>
      <c r="T1019" s="179" t="s">
        <v>120</v>
      </c>
      <c r="U1019" s="185" t="str">
        <f>IF($J$1="November",Y1018,"")</f>
        <v/>
      </c>
      <c r="V1019" s="181"/>
      <c r="W1019" s="185" t="str">
        <f t="shared" si="316"/>
        <v/>
      </c>
      <c r="X1019" s="181"/>
      <c r="Y1019" s="185" t="str">
        <f t="shared" si="313"/>
        <v/>
      </c>
      <c r="Z1019" s="186"/>
      <c r="AA1019" s="153"/>
      <c r="AB1019" s="153"/>
      <c r="AC1019" s="153"/>
    </row>
    <row r="1020" spans="1:29" ht="18.75" customHeight="1" thickBot="1" x14ac:dyDescent="0.3">
      <c r="A1020" s="200"/>
      <c r="B1020" s="216"/>
      <c r="C1020" s="216"/>
      <c r="D1020" s="216"/>
      <c r="E1020" s="216"/>
      <c r="F1020" s="216"/>
      <c r="G1020" s="216"/>
      <c r="H1020" s="216"/>
      <c r="I1020" s="216"/>
      <c r="J1020" s="216"/>
      <c r="K1020" s="216"/>
      <c r="L1020" s="202"/>
      <c r="M1020" s="161"/>
      <c r="N1020" s="178"/>
      <c r="O1020" s="179" t="s">
        <v>121</v>
      </c>
      <c r="P1020" s="179"/>
      <c r="Q1020" s="179"/>
      <c r="R1020" s="179" t="str">
        <f t="shared" si="317"/>
        <v/>
      </c>
      <c r="S1020" s="159"/>
      <c r="T1020" s="179" t="s">
        <v>121</v>
      </c>
      <c r="U1020" s="185" t="str">
        <f>IF($J$1="Dec",Y1019,"")</f>
        <v/>
      </c>
      <c r="V1020" s="181"/>
      <c r="W1020" s="185" t="str">
        <f t="shared" si="316"/>
        <v/>
      </c>
      <c r="X1020" s="181"/>
      <c r="Y1020" s="185" t="str">
        <f t="shared" si="313"/>
        <v/>
      </c>
      <c r="Z1020" s="186"/>
      <c r="AA1020" s="153"/>
      <c r="AB1020" s="153"/>
      <c r="AC1020" s="153"/>
    </row>
    <row r="1021" spans="1:29" ht="18.75" customHeight="1" thickBot="1" x14ac:dyDescent="0.3">
      <c r="M1021" s="161"/>
      <c r="N1021" s="178"/>
      <c r="O1021" s="218"/>
      <c r="P1021" s="218"/>
      <c r="Q1021" s="218"/>
      <c r="R1021" s="218"/>
      <c r="S1021" s="218"/>
      <c r="T1021" s="218"/>
      <c r="U1021" s="218"/>
      <c r="V1021" s="218"/>
      <c r="W1021" s="218"/>
      <c r="X1021" s="218"/>
      <c r="Y1021" s="218"/>
      <c r="Z1021" s="221"/>
      <c r="AA1021" s="153"/>
      <c r="AB1021" s="153"/>
      <c r="AC1021" s="153"/>
    </row>
    <row r="1022" spans="1:29" ht="18.75" customHeight="1" thickBot="1" x14ac:dyDescent="0.3">
      <c r="A1022" s="485" t="s">
        <v>89</v>
      </c>
      <c r="B1022" s="437"/>
      <c r="C1022" s="437"/>
      <c r="D1022" s="437"/>
      <c r="E1022" s="437"/>
      <c r="F1022" s="437"/>
      <c r="G1022" s="437"/>
      <c r="H1022" s="437"/>
      <c r="I1022" s="437"/>
      <c r="J1022" s="437"/>
      <c r="K1022" s="437"/>
      <c r="L1022" s="438"/>
      <c r="M1022" s="161"/>
      <c r="N1022" s="178"/>
      <c r="O1022" s="153"/>
      <c r="P1022" s="153"/>
      <c r="Q1022" s="153"/>
      <c r="R1022" s="153"/>
      <c r="S1022" s="153"/>
      <c r="T1022" s="153"/>
      <c r="U1022" s="153"/>
      <c r="V1022" s="153"/>
      <c r="W1022" s="153"/>
      <c r="X1022" s="153"/>
      <c r="Y1022" s="153"/>
      <c r="Z1022" s="153"/>
      <c r="AA1022" s="153"/>
      <c r="AB1022" s="153"/>
      <c r="AC1022" s="153"/>
    </row>
    <row r="1023" spans="1:29" ht="18.75" customHeight="1" x14ac:dyDescent="0.25">
      <c r="A1023" s="166"/>
      <c r="B1023" s="152"/>
      <c r="C1023" s="443" t="s">
        <v>92</v>
      </c>
      <c r="D1023" s="435"/>
      <c r="E1023" s="435"/>
      <c r="F1023" s="435"/>
      <c r="G1023" s="167" t="str">
        <f>$J$1</f>
        <v>August</v>
      </c>
      <c r="H1023" s="444">
        <f>$K$1</f>
        <v>2024</v>
      </c>
      <c r="I1023" s="435"/>
      <c r="J1023" s="152"/>
      <c r="K1023" s="168"/>
      <c r="L1023" s="169"/>
      <c r="M1023" s="161"/>
      <c r="N1023" s="178"/>
      <c r="O1023" s="440" t="s">
        <v>90</v>
      </c>
      <c r="P1023" s="441"/>
      <c r="Q1023" s="441"/>
      <c r="R1023" s="442"/>
      <c r="S1023" s="164"/>
      <c r="T1023" s="440" t="s">
        <v>91</v>
      </c>
      <c r="U1023" s="441"/>
      <c r="V1023" s="441"/>
      <c r="W1023" s="441"/>
      <c r="X1023" s="441"/>
      <c r="Y1023" s="442"/>
      <c r="Z1023" s="165"/>
      <c r="AA1023" s="153"/>
      <c r="AB1023" s="153"/>
      <c r="AC1023" s="153"/>
    </row>
    <row r="1024" spans="1:29" ht="18.75" customHeight="1" thickBot="1" x14ac:dyDescent="0.3">
      <c r="A1024" s="166"/>
      <c r="B1024" s="152"/>
      <c r="C1024" s="152"/>
      <c r="D1024" s="175"/>
      <c r="E1024" s="175"/>
      <c r="F1024" s="175"/>
      <c r="G1024" s="175"/>
      <c r="H1024" s="175"/>
      <c r="I1024" s="152"/>
      <c r="J1024" s="176" t="s">
        <v>99</v>
      </c>
      <c r="K1024" s="154">
        <v>75000</v>
      </c>
      <c r="L1024" s="177"/>
      <c r="M1024" s="161"/>
      <c r="N1024" s="217"/>
      <c r="O1024" s="172" t="s">
        <v>93</v>
      </c>
      <c r="P1024" s="172" t="s">
        <v>94</v>
      </c>
      <c r="Q1024" s="172" t="s">
        <v>95</v>
      </c>
      <c r="R1024" s="172" t="s">
        <v>96</v>
      </c>
      <c r="S1024" s="173"/>
      <c r="T1024" s="172" t="s">
        <v>93</v>
      </c>
      <c r="U1024" s="172" t="s">
        <v>97</v>
      </c>
      <c r="V1024" s="172" t="s">
        <v>9</v>
      </c>
      <c r="W1024" s="172" t="s">
        <v>10</v>
      </c>
      <c r="X1024" s="172" t="s">
        <v>11</v>
      </c>
      <c r="Y1024" s="172" t="s">
        <v>98</v>
      </c>
      <c r="Z1024" s="174"/>
      <c r="AA1024" s="153"/>
      <c r="AB1024" s="153"/>
      <c r="AC1024" s="153"/>
    </row>
    <row r="1025" spans="1:29" ht="27.75" customHeight="1" thickBot="1" x14ac:dyDescent="0.3">
      <c r="A1025" s="166"/>
      <c r="B1025" s="152" t="s">
        <v>101</v>
      </c>
      <c r="C1025" s="151" t="s">
        <v>308</v>
      </c>
      <c r="D1025" s="152"/>
      <c r="E1025" s="152"/>
      <c r="F1025" s="152"/>
      <c r="G1025" s="152"/>
      <c r="H1025" s="182"/>
      <c r="I1025" s="175"/>
      <c r="J1025" s="152"/>
      <c r="K1025" s="152"/>
      <c r="L1025" s="183"/>
      <c r="M1025" s="153"/>
      <c r="N1025" s="153"/>
      <c r="O1025" s="179" t="s">
        <v>100</v>
      </c>
      <c r="P1025" s="179"/>
      <c r="Q1025" s="179"/>
      <c r="R1025" s="179"/>
      <c r="S1025" s="180"/>
      <c r="T1025" s="179" t="s">
        <v>100</v>
      </c>
      <c r="U1025" s="181"/>
      <c r="V1025" s="181"/>
      <c r="W1025" s="181">
        <f>V1025+U1025</f>
        <v>0</v>
      </c>
      <c r="X1025" s="181"/>
      <c r="Y1025" s="181">
        <f>W1025-X1025</f>
        <v>0</v>
      </c>
      <c r="Z1025" s="174"/>
      <c r="AA1025" s="153"/>
      <c r="AB1025" s="153"/>
      <c r="AC1025" s="153"/>
    </row>
    <row r="1026" spans="1:29" ht="27.75" customHeight="1" x14ac:dyDescent="0.25">
      <c r="A1026" s="166"/>
      <c r="B1026" s="187" t="s">
        <v>103</v>
      </c>
      <c r="C1026" s="213"/>
      <c r="D1026" s="152"/>
      <c r="E1026" s="152"/>
      <c r="F1026" s="439" t="s">
        <v>91</v>
      </c>
      <c r="G1026" s="413"/>
      <c r="H1026" s="152"/>
      <c r="I1026" s="439" t="s">
        <v>104</v>
      </c>
      <c r="J1026" s="412"/>
      <c r="K1026" s="413"/>
      <c r="L1026" s="189"/>
      <c r="M1026" s="162"/>
      <c r="N1026" s="163"/>
      <c r="O1026" s="179" t="s">
        <v>102</v>
      </c>
      <c r="P1026" s="179"/>
      <c r="Q1026" s="179"/>
      <c r="R1026" s="179" t="str">
        <f t="shared" ref="R1026:R1027" si="319">IF(Q1026="","",R1025-Q1026)</f>
        <v/>
      </c>
      <c r="S1026" s="159"/>
      <c r="T1026" s="179" t="s">
        <v>102</v>
      </c>
      <c r="U1026" s="185">
        <f>Y1025</f>
        <v>0</v>
      </c>
      <c r="V1026" s="181"/>
      <c r="W1026" s="185">
        <f t="shared" ref="W1026:W1029" si="320">IF(U1026="","",U1026+V1026)</f>
        <v>0</v>
      </c>
      <c r="X1026" s="181"/>
      <c r="Y1026" s="185">
        <f t="shared" ref="Y1026:Y1036" si="321">IF(W1026="","",W1026-X1026)</f>
        <v>0</v>
      </c>
      <c r="Z1026" s="186"/>
      <c r="AA1026" s="153"/>
      <c r="AB1026" s="153"/>
      <c r="AC1026" s="153"/>
    </row>
    <row r="1027" spans="1:29" ht="27.75" customHeight="1" x14ac:dyDescent="0.25">
      <c r="A1027" s="166"/>
      <c r="B1027" s="152"/>
      <c r="C1027" s="152"/>
      <c r="D1027" s="152"/>
      <c r="E1027" s="152"/>
      <c r="F1027" s="152"/>
      <c r="G1027" s="152"/>
      <c r="H1027" s="190"/>
      <c r="I1027" s="152"/>
      <c r="J1027" s="152"/>
      <c r="K1027" s="152"/>
      <c r="L1027" s="191"/>
      <c r="M1027" s="170"/>
      <c r="N1027" s="171"/>
      <c r="O1027" s="179" t="s">
        <v>105</v>
      </c>
      <c r="P1027" s="179"/>
      <c r="Q1027" s="179"/>
      <c r="R1027" s="179" t="str">
        <f t="shared" si="319"/>
        <v/>
      </c>
      <c r="S1027" s="159"/>
      <c r="T1027" s="179" t="s">
        <v>105</v>
      </c>
      <c r="U1027" s="185">
        <f t="shared" ref="U1027:U1028" si="322">IF($J$1="April",Y1026,Y1026)</f>
        <v>0</v>
      </c>
      <c r="V1027" s="181"/>
      <c r="W1027" s="185">
        <f t="shared" si="320"/>
        <v>0</v>
      </c>
      <c r="X1027" s="181"/>
      <c r="Y1027" s="185">
        <f t="shared" si="321"/>
        <v>0</v>
      </c>
      <c r="Z1027" s="186"/>
      <c r="AA1027" s="153"/>
      <c r="AB1027" s="153"/>
      <c r="AC1027" s="153"/>
    </row>
    <row r="1028" spans="1:29" ht="18.75" customHeight="1" x14ac:dyDescent="0.25">
      <c r="A1028" s="166"/>
      <c r="B1028" s="445" t="s">
        <v>90</v>
      </c>
      <c r="C1028" s="413"/>
      <c r="D1028" s="152"/>
      <c r="E1028" s="152"/>
      <c r="F1028" s="192" t="s">
        <v>107</v>
      </c>
      <c r="G1028" s="193" t="str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/>
      </c>
      <c r="H1028" s="190"/>
      <c r="I1028" s="194">
        <f>IF(C1032&gt;0,$K$2,C1030)</f>
        <v>31</v>
      </c>
      <c r="J1028" s="195" t="s">
        <v>108</v>
      </c>
      <c r="K1028" s="196">
        <f>K1024/$K$2*I1028</f>
        <v>75000</v>
      </c>
      <c r="L1028" s="197"/>
      <c r="M1028" s="161"/>
      <c r="N1028" s="178"/>
      <c r="O1028" s="179" t="s">
        <v>106</v>
      </c>
      <c r="P1028" s="179"/>
      <c r="Q1028" s="179"/>
      <c r="R1028" s="179">
        <v>0</v>
      </c>
      <c r="S1028" s="159"/>
      <c r="T1028" s="179" t="s">
        <v>106</v>
      </c>
      <c r="U1028" s="185">
        <f t="shared" si="322"/>
        <v>0</v>
      </c>
      <c r="V1028" s="181"/>
      <c r="W1028" s="185">
        <f t="shared" si="320"/>
        <v>0</v>
      </c>
      <c r="X1028" s="181"/>
      <c r="Y1028" s="185">
        <f t="shared" si="321"/>
        <v>0</v>
      </c>
      <c r="Z1028" s="186"/>
      <c r="AA1028" s="153"/>
      <c r="AB1028" s="153"/>
      <c r="AC1028" s="153"/>
    </row>
    <row r="1029" spans="1:29" ht="18.75" customHeight="1" x14ac:dyDescent="0.25">
      <c r="A1029" s="166"/>
      <c r="B1029" s="198"/>
      <c r="C1029" s="198"/>
      <c r="D1029" s="152"/>
      <c r="E1029" s="152"/>
      <c r="F1029" s="192" t="s">
        <v>9</v>
      </c>
      <c r="G1029" s="193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29" s="190"/>
      <c r="I1029" s="214"/>
      <c r="J1029" s="195" t="s">
        <v>110</v>
      </c>
      <c r="K1029" s="193">
        <f>K1024/$K$2/8*I1029</f>
        <v>0</v>
      </c>
      <c r="L1029" s="199"/>
      <c r="M1029" s="162"/>
      <c r="N1029" s="184"/>
      <c r="O1029" s="179" t="s">
        <v>109</v>
      </c>
      <c r="P1029" s="179"/>
      <c r="Q1029" s="179"/>
      <c r="R1029" s="179">
        <v>0</v>
      </c>
      <c r="S1029" s="159"/>
      <c r="T1029" s="179" t="s">
        <v>109</v>
      </c>
      <c r="U1029" s="185">
        <f t="shared" ref="U1029:U1030" si="323">IF($J$1="May",Y1028,Y1028)</f>
        <v>0</v>
      </c>
      <c r="V1029" s="181"/>
      <c r="W1029" s="185">
        <f t="shared" si="320"/>
        <v>0</v>
      </c>
      <c r="X1029" s="181"/>
      <c r="Y1029" s="185">
        <f t="shared" si="321"/>
        <v>0</v>
      </c>
      <c r="Z1029" s="186"/>
      <c r="AA1029" s="153"/>
      <c r="AB1029" s="153"/>
      <c r="AC1029" s="153"/>
    </row>
    <row r="1030" spans="1:29" ht="18.75" customHeight="1" x14ac:dyDescent="0.25">
      <c r="A1030" s="166"/>
      <c r="B1030" s="192" t="s">
        <v>94</v>
      </c>
      <c r="C1030" s="198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0</v>
      </c>
      <c r="D1030" s="152"/>
      <c r="E1030" s="152"/>
      <c r="F1030" s="192" t="s">
        <v>111</v>
      </c>
      <c r="G1030" s="193" t="str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/>
      </c>
      <c r="H1030" s="190"/>
      <c r="I1030" s="446" t="s">
        <v>112</v>
      </c>
      <c r="J1030" s="413"/>
      <c r="K1030" s="193">
        <f>K1028+K1029</f>
        <v>75000</v>
      </c>
      <c r="L1030" s="199"/>
      <c r="M1030" s="161"/>
      <c r="N1030" s="178"/>
      <c r="O1030" s="179" t="s">
        <v>85</v>
      </c>
      <c r="P1030" s="179"/>
      <c r="Q1030" s="179"/>
      <c r="R1030" s="179">
        <v>0</v>
      </c>
      <c r="S1030" s="159"/>
      <c r="T1030" s="179" t="s">
        <v>85</v>
      </c>
      <c r="U1030" s="185">
        <f t="shared" si="323"/>
        <v>0</v>
      </c>
      <c r="V1030" s="181"/>
      <c r="W1030" s="185"/>
      <c r="X1030" s="181"/>
      <c r="Y1030" s="185" t="str">
        <f t="shared" si="321"/>
        <v/>
      </c>
      <c r="Z1030" s="186"/>
      <c r="AA1030" s="153"/>
      <c r="AB1030" s="153"/>
      <c r="AC1030" s="153"/>
    </row>
    <row r="1031" spans="1:29" ht="18.75" customHeight="1" x14ac:dyDescent="0.25">
      <c r="A1031" s="166"/>
      <c r="B1031" s="192" t="s">
        <v>95</v>
      </c>
      <c r="C1031" s="198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0</v>
      </c>
      <c r="D1031" s="152"/>
      <c r="E1031" s="152"/>
      <c r="F1031" s="192" t="s">
        <v>11</v>
      </c>
      <c r="G1031" s="193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0</v>
      </c>
      <c r="H1031" s="190"/>
      <c r="I1031" s="446" t="s">
        <v>114</v>
      </c>
      <c r="J1031" s="413"/>
      <c r="K1031" s="193">
        <f>G1031</f>
        <v>0</v>
      </c>
      <c r="L1031" s="199"/>
      <c r="M1031" s="161"/>
      <c r="N1031" s="178"/>
      <c r="O1031" s="179" t="s">
        <v>113</v>
      </c>
      <c r="P1031" s="179">
        <v>28</v>
      </c>
      <c r="Q1031" s="179">
        <v>2</v>
      </c>
      <c r="R1031" s="179">
        <v>0</v>
      </c>
      <c r="S1031" s="159"/>
      <c r="T1031" s="179" t="s">
        <v>113</v>
      </c>
      <c r="U1031" s="185" t="str">
        <f>Y1030</f>
        <v/>
      </c>
      <c r="V1031" s="181"/>
      <c r="W1031" s="185" t="str">
        <f t="shared" ref="W1031:W1036" si="324">IF(U1031="","",U1031+V1031)</f>
        <v/>
      </c>
      <c r="X1031" s="181"/>
      <c r="Y1031" s="185" t="str">
        <f t="shared" si="321"/>
        <v/>
      </c>
      <c r="Z1031" s="186"/>
      <c r="AA1031" s="153"/>
      <c r="AB1031" s="153"/>
      <c r="AC1031" s="153"/>
    </row>
    <row r="1032" spans="1:29" ht="18.75" customHeight="1" x14ac:dyDescent="0.25">
      <c r="A1032" s="166"/>
      <c r="B1032" s="215" t="s">
        <v>116</v>
      </c>
      <c r="C1032" s="198" t="str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/>
      </c>
      <c r="D1032" s="152"/>
      <c r="E1032" s="152"/>
      <c r="F1032" s="192" t="s">
        <v>169</v>
      </c>
      <c r="G1032" s="193" t="str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/>
      </c>
      <c r="H1032" s="152"/>
      <c r="I1032" s="439" t="s">
        <v>13</v>
      </c>
      <c r="J1032" s="413"/>
      <c r="K1032" s="37">
        <f>K1030-K1031</f>
        <v>75000</v>
      </c>
      <c r="L1032" s="183"/>
      <c r="M1032" s="161"/>
      <c r="N1032" s="178"/>
      <c r="O1032" s="179" t="s">
        <v>115</v>
      </c>
      <c r="P1032" s="179"/>
      <c r="Q1032" s="179"/>
      <c r="R1032" s="179" t="str">
        <f t="shared" ref="R1032:R1036" si="325">IF(Q1032="","",R1031-Q1032)</f>
        <v/>
      </c>
      <c r="S1032" s="159"/>
      <c r="T1032" s="179" t="s">
        <v>115</v>
      </c>
      <c r="U1032" s="185" t="str">
        <f t="shared" ref="U1032:U1033" si="326">IF($J$1="September",Y1031,"")</f>
        <v/>
      </c>
      <c r="V1032" s="181"/>
      <c r="W1032" s="185" t="str">
        <f t="shared" si="324"/>
        <v/>
      </c>
      <c r="X1032" s="181"/>
      <c r="Y1032" s="185" t="str">
        <f t="shared" si="321"/>
        <v/>
      </c>
      <c r="Z1032" s="186"/>
      <c r="AA1032" s="153"/>
      <c r="AB1032" s="153"/>
      <c r="AC1032" s="153"/>
    </row>
    <row r="1033" spans="1:29" ht="18.75" customHeight="1" x14ac:dyDescent="0.25">
      <c r="A1033" s="166"/>
      <c r="B1033" s="152"/>
      <c r="C1033" s="152"/>
      <c r="D1033" s="152"/>
      <c r="E1033" s="152"/>
      <c r="F1033" s="152"/>
      <c r="G1033" s="152"/>
      <c r="H1033" s="152"/>
      <c r="I1033" s="434"/>
      <c r="J1033" s="435"/>
      <c r="K1033" s="154"/>
      <c r="L1033" s="189"/>
      <c r="M1033" s="161"/>
      <c r="N1033" s="178"/>
      <c r="O1033" s="179" t="s">
        <v>118</v>
      </c>
      <c r="P1033" s="179"/>
      <c r="Q1033" s="179"/>
      <c r="R1033" s="179" t="str">
        <f t="shared" si="325"/>
        <v/>
      </c>
      <c r="S1033" s="159"/>
      <c r="T1033" s="179" t="s">
        <v>118</v>
      </c>
      <c r="U1033" s="185" t="str">
        <f t="shared" si="326"/>
        <v/>
      </c>
      <c r="V1033" s="181"/>
      <c r="W1033" s="185" t="str">
        <f t="shared" si="324"/>
        <v/>
      </c>
      <c r="X1033" s="181"/>
      <c r="Y1033" s="185" t="str">
        <f t="shared" si="321"/>
        <v/>
      </c>
      <c r="Z1033" s="186"/>
      <c r="AA1033" s="153"/>
      <c r="AB1033" s="153"/>
      <c r="AC1033" s="153"/>
    </row>
    <row r="1034" spans="1:29" ht="18.75" customHeight="1" x14ac:dyDescent="0.3">
      <c r="A1034" s="166"/>
      <c r="B1034" s="150"/>
      <c r="C1034" s="150"/>
      <c r="D1034" s="150"/>
      <c r="E1034" s="150"/>
      <c r="F1034" s="150"/>
      <c r="G1034" s="150"/>
      <c r="H1034" s="150"/>
      <c r="I1034" s="434"/>
      <c r="J1034" s="435"/>
      <c r="K1034" s="154"/>
      <c r="L1034" s="189"/>
      <c r="M1034" s="161"/>
      <c r="N1034" s="178"/>
      <c r="O1034" s="179" t="s">
        <v>119</v>
      </c>
      <c r="P1034" s="179"/>
      <c r="Q1034" s="179"/>
      <c r="R1034" s="179" t="str">
        <f t="shared" si="325"/>
        <v/>
      </c>
      <c r="S1034" s="159"/>
      <c r="T1034" s="179" t="s">
        <v>119</v>
      </c>
      <c r="U1034" s="185" t="str">
        <f>IF($J$1="October",Y1033,"")</f>
        <v/>
      </c>
      <c r="V1034" s="181"/>
      <c r="W1034" s="185" t="str">
        <f t="shared" si="324"/>
        <v/>
      </c>
      <c r="X1034" s="181"/>
      <c r="Y1034" s="185" t="str">
        <f t="shared" si="321"/>
        <v/>
      </c>
      <c r="Z1034" s="186"/>
      <c r="AA1034" s="153"/>
      <c r="AB1034" s="153"/>
      <c r="AC1034" s="153"/>
    </row>
    <row r="1035" spans="1:29" ht="18.75" customHeight="1" x14ac:dyDescent="0.3">
      <c r="A1035" s="166"/>
      <c r="B1035" s="150"/>
      <c r="C1035" s="150"/>
      <c r="D1035" s="150"/>
      <c r="E1035" s="150"/>
      <c r="F1035" s="150"/>
      <c r="G1035" s="150"/>
      <c r="H1035" s="150"/>
      <c r="I1035" s="150"/>
      <c r="J1035" s="150"/>
      <c r="K1035" s="150"/>
      <c r="L1035" s="189"/>
      <c r="M1035" s="161"/>
      <c r="N1035" s="178"/>
      <c r="O1035" s="179" t="s">
        <v>120</v>
      </c>
      <c r="P1035" s="179"/>
      <c r="Q1035" s="179"/>
      <c r="R1035" s="179" t="str">
        <f t="shared" si="325"/>
        <v/>
      </c>
      <c r="S1035" s="159"/>
      <c r="T1035" s="179" t="s">
        <v>120</v>
      </c>
      <c r="U1035" s="185" t="str">
        <f>IF($J$1="November",Y1034,"")</f>
        <v/>
      </c>
      <c r="V1035" s="181"/>
      <c r="W1035" s="185" t="str">
        <f t="shared" si="324"/>
        <v/>
      </c>
      <c r="X1035" s="181"/>
      <c r="Y1035" s="185" t="str">
        <f t="shared" si="321"/>
        <v/>
      </c>
      <c r="Z1035" s="186"/>
      <c r="AA1035" s="153"/>
      <c r="AB1035" s="153"/>
      <c r="AC1035" s="153"/>
    </row>
    <row r="1036" spans="1:29" ht="18.75" customHeight="1" thickBot="1" x14ac:dyDescent="0.3">
      <c r="A1036" s="200"/>
      <c r="B1036" s="216"/>
      <c r="C1036" s="216"/>
      <c r="D1036" s="216"/>
      <c r="E1036" s="216"/>
      <c r="F1036" s="216"/>
      <c r="G1036" s="216"/>
      <c r="H1036" s="216"/>
      <c r="I1036" s="216"/>
      <c r="J1036" s="216"/>
      <c r="K1036" s="216"/>
      <c r="L1036" s="202"/>
      <c r="M1036" s="161"/>
      <c r="N1036" s="178"/>
      <c r="O1036" s="179" t="s">
        <v>121</v>
      </c>
      <c r="P1036" s="179"/>
      <c r="Q1036" s="179"/>
      <c r="R1036" s="179" t="str">
        <f t="shared" si="325"/>
        <v/>
      </c>
      <c r="S1036" s="159"/>
      <c r="T1036" s="179" t="s">
        <v>121</v>
      </c>
      <c r="U1036" s="185" t="str">
        <f>IF($J$1="Dec",Y1035,"")</f>
        <v/>
      </c>
      <c r="V1036" s="181"/>
      <c r="W1036" s="185" t="str">
        <f t="shared" si="324"/>
        <v/>
      </c>
      <c r="X1036" s="181"/>
      <c r="Y1036" s="185" t="str">
        <f t="shared" si="321"/>
        <v/>
      </c>
      <c r="Z1036" s="186"/>
      <c r="AA1036" s="153"/>
      <c r="AB1036" s="153"/>
      <c r="AC1036" s="153"/>
    </row>
    <row r="1037" spans="1:29" ht="18.75" customHeight="1" thickBot="1" x14ac:dyDescent="0.3">
      <c r="M1037" s="161"/>
      <c r="N1037" s="178"/>
      <c r="O1037" s="218"/>
      <c r="P1037" s="218"/>
      <c r="Q1037" s="218"/>
      <c r="R1037" s="218"/>
      <c r="S1037" s="218"/>
      <c r="T1037" s="218"/>
      <c r="U1037" s="218"/>
      <c r="V1037" s="218"/>
      <c r="W1037" s="218"/>
      <c r="X1037" s="218"/>
      <c r="Y1037" s="218"/>
      <c r="Z1037" s="221"/>
      <c r="AA1037" s="153"/>
      <c r="AB1037" s="153"/>
      <c r="AC1037" s="153"/>
    </row>
  </sheetData>
  <mergeCells count="870">
    <mergeCell ref="F1026:G1026"/>
    <mergeCell ref="I1026:K1026"/>
    <mergeCell ref="B1028:C1028"/>
    <mergeCell ref="I1030:J1030"/>
    <mergeCell ref="I1031:J1031"/>
    <mergeCell ref="I1032:J1032"/>
    <mergeCell ref="I1033:J1033"/>
    <mergeCell ref="I1034:J1034"/>
    <mergeCell ref="I1015:J1015"/>
    <mergeCell ref="I1016:J1016"/>
    <mergeCell ref="I1017:J1017"/>
    <mergeCell ref="I1018:J1018"/>
    <mergeCell ref="A1022:L1022"/>
    <mergeCell ref="C1023:F1023"/>
    <mergeCell ref="H1023:I1023"/>
    <mergeCell ref="O1023:R1023"/>
    <mergeCell ref="T1023:Y1023"/>
    <mergeCell ref="A1006:L1006"/>
    <mergeCell ref="C1007:F1007"/>
    <mergeCell ref="H1007:I1007"/>
    <mergeCell ref="F1010:G1010"/>
    <mergeCell ref="I1010:K1010"/>
    <mergeCell ref="O1007:R1007"/>
    <mergeCell ref="T1007:Y1007"/>
    <mergeCell ref="B1012:C1012"/>
    <mergeCell ref="I1014:J1014"/>
    <mergeCell ref="B993:C993"/>
    <mergeCell ref="I995:J995"/>
    <mergeCell ref="I996:J996"/>
    <mergeCell ref="I997:J997"/>
    <mergeCell ref="I998:J998"/>
    <mergeCell ref="I999:J999"/>
    <mergeCell ref="I980:J980"/>
    <mergeCell ref="I981:J981"/>
    <mergeCell ref="I982:J982"/>
    <mergeCell ref="I983:J983"/>
    <mergeCell ref="A987:L987"/>
    <mergeCell ref="O991:R991"/>
    <mergeCell ref="T991:Y991"/>
    <mergeCell ref="C988:F988"/>
    <mergeCell ref="H988:I988"/>
    <mergeCell ref="A971:L971"/>
    <mergeCell ref="O975:R975"/>
    <mergeCell ref="T975:Y975"/>
    <mergeCell ref="C972:F972"/>
    <mergeCell ref="H972:I972"/>
    <mergeCell ref="F975:G975"/>
    <mergeCell ref="I975:K975"/>
    <mergeCell ref="B977:C977"/>
    <mergeCell ref="I979:J979"/>
    <mergeCell ref="F991:G991"/>
    <mergeCell ref="I991:K991"/>
    <mergeCell ref="I915:J915"/>
    <mergeCell ref="I916:J916"/>
    <mergeCell ref="I917:J917"/>
    <mergeCell ref="I918:J918"/>
    <mergeCell ref="I919:J919"/>
    <mergeCell ref="A907:L907"/>
    <mergeCell ref="O911:R911"/>
    <mergeCell ref="T911:Y911"/>
    <mergeCell ref="C908:F908"/>
    <mergeCell ref="H908:I908"/>
    <mergeCell ref="F911:G911"/>
    <mergeCell ref="I911:K911"/>
    <mergeCell ref="B913:C913"/>
    <mergeCell ref="B897:C897"/>
    <mergeCell ref="I899:J899"/>
    <mergeCell ref="I900:J900"/>
    <mergeCell ref="I901:J901"/>
    <mergeCell ref="I902:J902"/>
    <mergeCell ref="I903:J903"/>
    <mergeCell ref="I885:J885"/>
    <mergeCell ref="I886:J886"/>
    <mergeCell ref="I887:J887"/>
    <mergeCell ref="A891:L891"/>
    <mergeCell ref="B865:C865"/>
    <mergeCell ref="I867:J867"/>
    <mergeCell ref="I868:J868"/>
    <mergeCell ref="I869:J869"/>
    <mergeCell ref="I870:J870"/>
    <mergeCell ref="I871:J871"/>
    <mergeCell ref="A875:L875"/>
    <mergeCell ref="O895:R895"/>
    <mergeCell ref="T895:Y895"/>
    <mergeCell ref="C892:F892"/>
    <mergeCell ref="H892:I892"/>
    <mergeCell ref="F895:G895"/>
    <mergeCell ref="I895:K895"/>
    <mergeCell ref="O879:R879"/>
    <mergeCell ref="T879:Y879"/>
    <mergeCell ref="C876:F876"/>
    <mergeCell ref="H876:I876"/>
    <mergeCell ref="F879:G879"/>
    <mergeCell ref="I879:K879"/>
    <mergeCell ref="B881:C881"/>
    <mergeCell ref="I883:J883"/>
    <mergeCell ref="I884:J884"/>
    <mergeCell ref="I852:J852"/>
    <mergeCell ref="I853:J853"/>
    <mergeCell ref="I854:J854"/>
    <mergeCell ref="I855:J855"/>
    <mergeCell ref="A859:L859"/>
    <mergeCell ref="O863:R863"/>
    <mergeCell ref="T863:Y863"/>
    <mergeCell ref="C860:F860"/>
    <mergeCell ref="H860:I860"/>
    <mergeCell ref="F863:G863"/>
    <mergeCell ref="I863:K863"/>
    <mergeCell ref="A843:L843"/>
    <mergeCell ref="O847:R847"/>
    <mergeCell ref="T847:Y847"/>
    <mergeCell ref="C844:F844"/>
    <mergeCell ref="H844:I844"/>
    <mergeCell ref="F847:G847"/>
    <mergeCell ref="I847:K847"/>
    <mergeCell ref="B849:C849"/>
    <mergeCell ref="I851:J851"/>
    <mergeCell ref="O413:R413"/>
    <mergeCell ref="T413:Y413"/>
    <mergeCell ref="C410:F410"/>
    <mergeCell ref="H410:I410"/>
    <mergeCell ref="I413:K413"/>
    <mergeCell ref="A424:L424"/>
    <mergeCell ref="O428:R428"/>
    <mergeCell ref="T428:Y428"/>
    <mergeCell ref="C425:F425"/>
    <mergeCell ref="H425:I425"/>
    <mergeCell ref="F413:G413"/>
    <mergeCell ref="B415:C415"/>
    <mergeCell ref="I417:J417"/>
    <mergeCell ref="I418:J418"/>
    <mergeCell ref="I419:J419"/>
    <mergeCell ref="I420:J420"/>
    <mergeCell ref="I421:J421"/>
    <mergeCell ref="F428:G428"/>
    <mergeCell ref="I428:K428"/>
    <mergeCell ref="C349:F349"/>
    <mergeCell ref="H349:I349"/>
    <mergeCell ref="I352:K352"/>
    <mergeCell ref="A364:L364"/>
    <mergeCell ref="O368:R368"/>
    <mergeCell ref="O398:R398"/>
    <mergeCell ref="T398:Y398"/>
    <mergeCell ref="F383:G383"/>
    <mergeCell ref="B385:C385"/>
    <mergeCell ref="I387:J387"/>
    <mergeCell ref="I388:J388"/>
    <mergeCell ref="I389:J389"/>
    <mergeCell ref="I390:J390"/>
    <mergeCell ref="I391:J391"/>
    <mergeCell ref="I376:J376"/>
    <mergeCell ref="A379:L379"/>
    <mergeCell ref="O383:R383"/>
    <mergeCell ref="T383:Y383"/>
    <mergeCell ref="C380:F380"/>
    <mergeCell ref="H380:I380"/>
    <mergeCell ref="F368:G368"/>
    <mergeCell ref="I368:K368"/>
    <mergeCell ref="I373:J373"/>
    <mergeCell ref="I374:J374"/>
    <mergeCell ref="I375:J375"/>
    <mergeCell ref="A273:L273"/>
    <mergeCell ref="O277:R277"/>
    <mergeCell ref="T277:Y277"/>
    <mergeCell ref="C274:F274"/>
    <mergeCell ref="H274:I274"/>
    <mergeCell ref="O292:R292"/>
    <mergeCell ref="T292:Y292"/>
    <mergeCell ref="C289:F289"/>
    <mergeCell ref="H289:I289"/>
    <mergeCell ref="T368:Y368"/>
    <mergeCell ref="C365:F365"/>
    <mergeCell ref="H365:I365"/>
    <mergeCell ref="F352:G352"/>
    <mergeCell ref="B354:C354"/>
    <mergeCell ref="I356:J356"/>
    <mergeCell ref="I357:J357"/>
    <mergeCell ref="I358:J358"/>
    <mergeCell ref="I359:J359"/>
    <mergeCell ref="I360:J360"/>
    <mergeCell ref="O352:R352"/>
    <mergeCell ref="T352:Y352"/>
    <mergeCell ref="F322:G322"/>
    <mergeCell ref="I322:K322"/>
    <mergeCell ref="A243:L243"/>
    <mergeCell ref="A228:L228"/>
    <mergeCell ref="T217:Y217"/>
    <mergeCell ref="O217:R217"/>
    <mergeCell ref="A213:L213"/>
    <mergeCell ref="I222:J222"/>
    <mergeCell ref="I221:J221"/>
    <mergeCell ref="B219:C219"/>
    <mergeCell ref="I217:K217"/>
    <mergeCell ref="F217:G217"/>
    <mergeCell ref="H214:I214"/>
    <mergeCell ref="C214:F214"/>
    <mergeCell ref="I225:J225"/>
    <mergeCell ref="I224:J224"/>
    <mergeCell ref="I223:J223"/>
    <mergeCell ref="B204:C204"/>
    <mergeCell ref="I206:J206"/>
    <mergeCell ref="I207:J207"/>
    <mergeCell ref="O247:R247"/>
    <mergeCell ref="T247:Y247"/>
    <mergeCell ref="F232:G232"/>
    <mergeCell ref="B234:C234"/>
    <mergeCell ref="I236:J236"/>
    <mergeCell ref="I237:J237"/>
    <mergeCell ref="I238:J238"/>
    <mergeCell ref="I239:J239"/>
    <mergeCell ref="I240:J240"/>
    <mergeCell ref="C244:F244"/>
    <mergeCell ref="H244:I244"/>
    <mergeCell ref="F247:G247"/>
    <mergeCell ref="I247:K247"/>
    <mergeCell ref="I208:J208"/>
    <mergeCell ref="I209:J209"/>
    <mergeCell ref="I210:J210"/>
    <mergeCell ref="O232:R232"/>
    <mergeCell ref="T232:Y232"/>
    <mergeCell ref="C229:F229"/>
    <mergeCell ref="H229:I229"/>
    <mergeCell ref="I232:K232"/>
    <mergeCell ref="B189:C189"/>
    <mergeCell ref="I191:J191"/>
    <mergeCell ref="I192:J192"/>
    <mergeCell ref="I193:J193"/>
    <mergeCell ref="I194:J194"/>
    <mergeCell ref="I195:J195"/>
    <mergeCell ref="A198:L198"/>
    <mergeCell ref="O202:R202"/>
    <mergeCell ref="T202:Y202"/>
    <mergeCell ref="C199:F199"/>
    <mergeCell ref="H199:I199"/>
    <mergeCell ref="I202:K202"/>
    <mergeCell ref="F202:G202"/>
    <mergeCell ref="A183:L183"/>
    <mergeCell ref="O187:R187"/>
    <mergeCell ref="T187:Y187"/>
    <mergeCell ref="C184:F184"/>
    <mergeCell ref="H184:I184"/>
    <mergeCell ref="F172:G172"/>
    <mergeCell ref="B174:C174"/>
    <mergeCell ref="I176:J176"/>
    <mergeCell ref="I177:J177"/>
    <mergeCell ref="I178:J178"/>
    <mergeCell ref="I179:J179"/>
    <mergeCell ref="I180:J180"/>
    <mergeCell ref="F187:G187"/>
    <mergeCell ref="I187:K187"/>
    <mergeCell ref="B159:C159"/>
    <mergeCell ref="I161:J161"/>
    <mergeCell ref="I162:J162"/>
    <mergeCell ref="I163:J163"/>
    <mergeCell ref="I164:J164"/>
    <mergeCell ref="I165:J165"/>
    <mergeCell ref="A168:L168"/>
    <mergeCell ref="O172:R172"/>
    <mergeCell ref="T172:Y172"/>
    <mergeCell ref="C169:F169"/>
    <mergeCell ref="H169:I169"/>
    <mergeCell ref="I172:K172"/>
    <mergeCell ref="A153:L153"/>
    <mergeCell ref="O157:R157"/>
    <mergeCell ref="T157:Y157"/>
    <mergeCell ref="C154:F154"/>
    <mergeCell ref="H154:I154"/>
    <mergeCell ref="F142:G142"/>
    <mergeCell ref="B144:C144"/>
    <mergeCell ref="I146:J146"/>
    <mergeCell ref="I147:J147"/>
    <mergeCell ref="I148:J148"/>
    <mergeCell ref="I149:J149"/>
    <mergeCell ref="I150:J150"/>
    <mergeCell ref="F157:G157"/>
    <mergeCell ref="I157:K157"/>
    <mergeCell ref="B129:C129"/>
    <mergeCell ref="I131:J131"/>
    <mergeCell ref="I132:J132"/>
    <mergeCell ref="I133:J133"/>
    <mergeCell ref="I134:J134"/>
    <mergeCell ref="I135:J135"/>
    <mergeCell ref="A138:L138"/>
    <mergeCell ref="O142:R142"/>
    <mergeCell ref="T142:Y142"/>
    <mergeCell ref="C139:F139"/>
    <mergeCell ref="H139:I139"/>
    <mergeCell ref="I142:K142"/>
    <mergeCell ref="A123:L123"/>
    <mergeCell ref="O127:R127"/>
    <mergeCell ref="T127:Y127"/>
    <mergeCell ref="C124:F124"/>
    <mergeCell ref="H124:I124"/>
    <mergeCell ref="F112:G112"/>
    <mergeCell ref="B114:C114"/>
    <mergeCell ref="I116:J116"/>
    <mergeCell ref="I117:J117"/>
    <mergeCell ref="I118:J118"/>
    <mergeCell ref="I119:J119"/>
    <mergeCell ref="I120:J120"/>
    <mergeCell ref="F127:G127"/>
    <mergeCell ref="I127:K127"/>
    <mergeCell ref="B99:C99"/>
    <mergeCell ref="I101:J101"/>
    <mergeCell ref="I102:J102"/>
    <mergeCell ref="I103:J103"/>
    <mergeCell ref="I104:J104"/>
    <mergeCell ref="I105:J105"/>
    <mergeCell ref="A108:L108"/>
    <mergeCell ref="O112:R112"/>
    <mergeCell ref="T112:Y112"/>
    <mergeCell ref="C109:F109"/>
    <mergeCell ref="H109:I109"/>
    <mergeCell ref="I112:K112"/>
    <mergeCell ref="O82:R82"/>
    <mergeCell ref="T82:Y82"/>
    <mergeCell ref="C79:F79"/>
    <mergeCell ref="H79:I79"/>
    <mergeCell ref="I82:K82"/>
    <mergeCell ref="A93:L93"/>
    <mergeCell ref="O97:R97"/>
    <mergeCell ref="T97:Y97"/>
    <mergeCell ref="C94:F94"/>
    <mergeCell ref="H94:I94"/>
    <mergeCell ref="F82:G82"/>
    <mergeCell ref="B84:C84"/>
    <mergeCell ref="I86:J86"/>
    <mergeCell ref="I87:J87"/>
    <mergeCell ref="I88:J88"/>
    <mergeCell ref="I89:J89"/>
    <mergeCell ref="I90:J90"/>
    <mergeCell ref="F97:G97"/>
    <mergeCell ref="I97:K97"/>
    <mergeCell ref="F69:G69"/>
    <mergeCell ref="I69:K69"/>
    <mergeCell ref="B71:C71"/>
    <mergeCell ref="I73:J73"/>
    <mergeCell ref="I74:J74"/>
    <mergeCell ref="I75:J75"/>
    <mergeCell ref="I76:J76"/>
    <mergeCell ref="A78:L78"/>
    <mergeCell ref="I60:J60"/>
    <mergeCell ref="I61:J61"/>
    <mergeCell ref="I62:J62"/>
    <mergeCell ref="I63:J63"/>
    <mergeCell ref="A65:L65"/>
    <mergeCell ref="O67:R67"/>
    <mergeCell ref="T67:Y67"/>
    <mergeCell ref="C66:F66"/>
    <mergeCell ref="H66:I66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T767:Y767"/>
    <mergeCell ref="C764:F764"/>
    <mergeCell ref="H764:I764"/>
    <mergeCell ref="F767:G767"/>
    <mergeCell ref="I767:K767"/>
    <mergeCell ref="B769:C76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T734:Y734"/>
    <mergeCell ref="C731:F731"/>
    <mergeCell ref="H731:I731"/>
    <mergeCell ref="I734:K734"/>
    <mergeCell ref="F734:G734"/>
    <mergeCell ref="B736:C736"/>
    <mergeCell ref="I738:J738"/>
    <mergeCell ref="I739:J739"/>
    <mergeCell ref="I740:J740"/>
    <mergeCell ref="T704:Y704"/>
    <mergeCell ref="C701:F701"/>
    <mergeCell ref="H701:I701"/>
    <mergeCell ref="I704:K704"/>
    <mergeCell ref="A715:L715"/>
    <mergeCell ref="O719:R719"/>
    <mergeCell ref="T719:Y719"/>
    <mergeCell ref="C716:F716"/>
    <mergeCell ref="H716:I716"/>
    <mergeCell ref="F704:G704"/>
    <mergeCell ref="B706:C706"/>
    <mergeCell ref="I708:J708"/>
    <mergeCell ref="I709:J709"/>
    <mergeCell ref="I710:J710"/>
    <mergeCell ref="I711:J711"/>
    <mergeCell ref="I712:J712"/>
    <mergeCell ref="F719:G719"/>
    <mergeCell ref="I837:J837"/>
    <mergeCell ref="I838:J838"/>
    <mergeCell ref="I839:J839"/>
    <mergeCell ref="I822:J822"/>
    <mergeCell ref="I823:J823"/>
    <mergeCell ref="A827:L827"/>
    <mergeCell ref="O831:R831"/>
    <mergeCell ref="T831:Y831"/>
    <mergeCell ref="C828:F828"/>
    <mergeCell ref="H828:I828"/>
    <mergeCell ref="B817:C817"/>
    <mergeCell ref="I819:J819"/>
    <mergeCell ref="I820:J820"/>
    <mergeCell ref="I821:J821"/>
    <mergeCell ref="F831:G831"/>
    <mergeCell ref="I831:K831"/>
    <mergeCell ref="B833:C833"/>
    <mergeCell ref="I835:J835"/>
    <mergeCell ref="I836:J836"/>
    <mergeCell ref="B801:C801"/>
    <mergeCell ref="I803:J803"/>
    <mergeCell ref="I804:J804"/>
    <mergeCell ref="I805:J805"/>
    <mergeCell ref="I806:J806"/>
    <mergeCell ref="I807:J807"/>
    <mergeCell ref="A811:L811"/>
    <mergeCell ref="O815:R815"/>
    <mergeCell ref="T815:Y815"/>
    <mergeCell ref="C812:F812"/>
    <mergeCell ref="H812:I812"/>
    <mergeCell ref="F815:G815"/>
    <mergeCell ref="I815:K815"/>
    <mergeCell ref="I789:J789"/>
    <mergeCell ref="I790:J790"/>
    <mergeCell ref="I791:J791"/>
    <mergeCell ref="A795:L795"/>
    <mergeCell ref="O799:R799"/>
    <mergeCell ref="T799:Y799"/>
    <mergeCell ref="C796:F796"/>
    <mergeCell ref="H796:I796"/>
    <mergeCell ref="F799:G799"/>
    <mergeCell ref="I799:K799"/>
    <mergeCell ref="T783:Y783"/>
    <mergeCell ref="A779:L779"/>
    <mergeCell ref="C780:F780"/>
    <mergeCell ref="H780:I780"/>
    <mergeCell ref="F783:G783"/>
    <mergeCell ref="I783:K783"/>
    <mergeCell ref="B785:C785"/>
    <mergeCell ref="I787:J787"/>
    <mergeCell ref="I788:J788"/>
    <mergeCell ref="I758:J758"/>
    <mergeCell ref="I759:J759"/>
    <mergeCell ref="A763:L763"/>
    <mergeCell ref="I771:J771"/>
    <mergeCell ref="I772:J772"/>
    <mergeCell ref="I773:J773"/>
    <mergeCell ref="I774:J774"/>
    <mergeCell ref="I775:J775"/>
    <mergeCell ref="O783:R783"/>
    <mergeCell ref="O767:R767"/>
    <mergeCell ref="T751:Y751"/>
    <mergeCell ref="C748:F748"/>
    <mergeCell ref="H748:I748"/>
    <mergeCell ref="F751:G751"/>
    <mergeCell ref="B753:C753"/>
    <mergeCell ref="I751:K751"/>
    <mergeCell ref="I755:J755"/>
    <mergeCell ref="I756:J756"/>
    <mergeCell ref="I757:J757"/>
    <mergeCell ref="B690:C690"/>
    <mergeCell ref="I692:J692"/>
    <mergeCell ref="I693:J693"/>
    <mergeCell ref="I694:J694"/>
    <mergeCell ref="I695:J695"/>
    <mergeCell ref="A747:L747"/>
    <mergeCell ref="O751:R751"/>
    <mergeCell ref="I719:K719"/>
    <mergeCell ref="B721:C721"/>
    <mergeCell ref="I723:J723"/>
    <mergeCell ref="I724:J724"/>
    <mergeCell ref="I725:J725"/>
    <mergeCell ref="I726:J726"/>
    <mergeCell ref="I727:J727"/>
    <mergeCell ref="A730:L730"/>
    <mergeCell ref="O734:R734"/>
    <mergeCell ref="I741:J741"/>
    <mergeCell ref="I742:J742"/>
    <mergeCell ref="I696:J696"/>
    <mergeCell ref="A700:L700"/>
    <mergeCell ref="O704:R704"/>
    <mergeCell ref="A684:L684"/>
    <mergeCell ref="O688:R688"/>
    <mergeCell ref="T688:Y688"/>
    <mergeCell ref="C685:F685"/>
    <mergeCell ref="H685:I685"/>
    <mergeCell ref="F672:G672"/>
    <mergeCell ref="B674:C674"/>
    <mergeCell ref="I676:J676"/>
    <mergeCell ref="I677:J677"/>
    <mergeCell ref="I678:J678"/>
    <mergeCell ref="I679:J679"/>
    <mergeCell ref="I680:J680"/>
    <mergeCell ref="F688:G688"/>
    <mergeCell ref="I688:K688"/>
    <mergeCell ref="B659:C659"/>
    <mergeCell ref="I661:J661"/>
    <mergeCell ref="I662:J662"/>
    <mergeCell ref="I663:J663"/>
    <mergeCell ref="I664:J664"/>
    <mergeCell ref="I665:J665"/>
    <mergeCell ref="A668:L668"/>
    <mergeCell ref="O672:R672"/>
    <mergeCell ref="T672:Y672"/>
    <mergeCell ref="C669:F669"/>
    <mergeCell ref="H669:I669"/>
    <mergeCell ref="I672:K672"/>
    <mergeCell ref="B644:C644"/>
    <mergeCell ref="I646:J646"/>
    <mergeCell ref="I647:J647"/>
    <mergeCell ref="I648:J648"/>
    <mergeCell ref="I649:J649"/>
    <mergeCell ref="I650:J650"/>
    <mergeCell ref="A653:L653"/>
    <mergeCell ref="O657:R657"/>
    <mergeCell ref="T657:Y657"/>
    <mergeCell ref="C654:F654"/>
    <mergeCell ref="H654:I654"/>
    <mergeCell ref="F657:G657"/>
    <mergeCell ref="I657:K657"/>
    <mergeCell ref="A638:L638"/>
    <mergeCell ref="O642:R642"/>
    <mergeCell ref="T642:Y642"/>
    <mergeCell ref="C639:F639"/>
    <mergeCell ref="H639:I639"/>
    <mergeCell ref="F626:G626"/>
    <mergeCell ref="B628:C628"/>
    <mergeCell ref="I630:J630"/>
    <mergeCell ref="I631:J631"/>
    <mergeCell ref="I632:J632"/>
    <mergeCell ref="I633:J633"/>
    <mergeCell ref="I634:J634"/>
    <mergeCell ref="C642:E642"/>
    <mergeCell ref="F642:G642"/>
    <mergeCell ref="I642:K642"/>
    <mergeCell ref="B612:C612"/>
    <mergeCell ref="I614:J614"/>
    <mergeCell ref="I615:J615"/>
    <mergeCell ref="I616:J616"/>
    <mergeCell ref="I617:J617"/>
    <mergeCell ref="I618:J618"/>
    <mergeCell ref="A622:L622"/>
    <mergeCell ref="O626:R626"/>
    <mergeCell ref="T626:Y626"/>
    <mergeCell ref="C623:F623"/>
    <mergeCell ref="H623:I623"/>
    <mergeCell ref="I626:K626"/>
    <mergeCell ref="A606:L606"/>
    <mergeCell ref="O610:R610"/>
    <mergeCell ref="T610:Y610"/>
    <mergeCell ref="C607:F607"/>
    <mergeCell ref="H607:I607"/>
    <mergeCell ref="F594:G594"/>
    <mergeCell ref="B596:C596"/>
    <mergeCell ref="I598:J598"/>
    <mergeCell ref="I599:J599"/>
    <mergeCell ref="I600:J600"/>
    <mergeCell ref="I601:J601"/>
    <mergeCell ref="I602:J602"/>
    <mergeCell ref="F610:G610"/>
    <mergeCell ref="I610:K610"/>
    <mergeCell ref="B581:C581"/>
    <mergeCell ref="I583:J583"/>
    <mergeCell ref="I584:J584"/>
    <mergeCell ref="I585:J585"/>
    <mergeCell ref="I586:J586"/>
    <mergeCell ref="I587:J587"/>
    <mergeCell ref="A590:L590"/>
    <mergeCell ref="O594:R594"/>
    <mergeCell ref="T594:Y594"/>
    <mergeCell ref="C591:F591"/>
    <mergeCell ref="H591:I591"/>
    <mergeCell ref="I594:K594"/>
    <mergeCell ref="A575:L575"/>
    <mergeCell ref="O579:R579"/>
    <mergeCell ref="T579:Y579"/>
    <mergeCell ref="C576:F576"/>
    <mergeCell ref="H576:I576"/>
    <mergeCell ref="F564:G564"/>
    <mergeCell ref="B566:C566"/>
    <mergeCell ref="I568:J568"/>
    <mergeCell ref="I569:J569"/>
    <mergeCell ref="I570:J570"/>
    <mergeCell ref="I571:J571"/>
    <mergeCell ref="I572:J572"/>
    <mergeCell ref="F579:G579"/>
    <mergeCell ref="I579:K579"/>
    <mergeCell ref="I554:J554"/>
    <mergeCell ref="I555:J555"/>
    <mergeCell ref="I556:J556"/>
    <mergeCell ref="A560:L560"/>
    <mergeCell ref="O564:R564"/>
    <mergeCell ref="T564:Y564"/>
    <mergeCell ref="C561:F561"/>
    <mergeCell ref="H561:I561"/>
    <mergeCell ref="I564:K564"/>
    <mergeCell ref="I540:J540"/>
    <mergeCell ref="I541:J541"/>
    <mergeCell ref="I526:J526"/>
    <mergeCell ref="A529:L529"/>
    <mergeCell ref="F548:G548"/>
    <mergeCell ref="I548:K548"/>
    <mergeCell ref="B550:C550"/>
    <mergeCell ref="I552:J552"/>
    <mergeCell ref="I553:J553"/>
    <mergeCell ref="O533:R533"/>
    <mergeCell ref="T533:Y533"/>
    <mergeCell ref="C530:F530"/>
    <mergeCell ref="H530:I530"/>
    <mergeCell ref="I533:K533"/>
    <mergeCell ref="A544:L544"/>
    <mergeCell ref="O548:R548"/>
    <mergeCell ref="T548:Y548"/>
    <mergeCell ref="O503:R503"/>
    <mergeCell ref="T503:Y503"/>
    <mergeCell ref="C545:F545"/>
    <mergeCell ref="H545:I545"/>
    <mergeCell ref="F518:G518"/>
    <mergeCell ref="I518:K518"/>
    <mergeCell ref="B520:C520"/>
    <mergeCell ref="I522:J522"/>
    <mergeCell ref="I523:J523"/>
    <mergeCell ref="I524:J524"/>
    <mergeCell ref="I525:J525"/>
    <mergeCell ref="F533:G533"/>
    <mergeCell ref="B535:C535"/>
    <mergeCell ref="I537:J537"/>
    <mergeCell ref="I538:J538"/>
    <mergeCell ref="I539:J539"/>
    <mergeCell ref="I503:K503"/>
    <mergeCell ref="A514:L514"/>
    <mergeCell ref="O518:R518"/>
    <mergeCell ref="T518:Y518"/>
    <mergeCell ref="C515:F515"/>
    <mergeCell ref="H515:I515"/>
    <mergeCell ref="F503:G503"/>
    <mergeCell ref="B505:C505"/>
    <mergeCell ref="I507:J507"/>
    <mergeCell ref="I508:J508"/>
    <mergeCell ref="I509:J509"/>
    <mergeCell ref="I510:J510"/>
    <mergeCell ref="I511:J511"/>
    <mergeCell ref="B490:C490"/>
    <mergeCell ref="I492:J492"/>
    <mergeCell ref="I493:J493"/>
    <mergeCell ref="I494:J494"/>
    <mergeCell ref="I495:J495"/>
    <mergeCell ref="I496:J496"/>
    <mergeCell ref="A499:L499"/>
    <mergeCell ref="C500:F500"/>
    <mergeCell ref="H500:I500"/>
    <mergeCell ref="A484:L484"/>
    <mergeCell ref="O488:R488"/>
    <mergeCell ref="T488:Y488"/>
    <mergeCell ref="C485:F485"/>
    <mergeCell ref="H485:I485"/>
    <mergeCell ref="F473:G473"/>
    <mergeCell ref="B475:C475"/>
    <mergeCell ref="I477:J477"/>
    <mergeCell ref="I478:J478"/>
    <mergeCell ref="I479:J479"/>
    <mergeCell ref="I480:J480"/>
    <mergeCell ref="I481:J481"/>
    <mergeCell ref="F488:G488"/>
    <mergeCell ref="I488:K488"/>
    <mergeCell ref="B460:C460"/>
    <mergeCell ref="I462:J462"/>
    <mergeCell ref="I463:J463"/>
    <mergeCell ref="I464:J464"/>
    <mergeCell ref="I465:J465"/>
    <mergeCell ref="I466:J466"/>
    <mergeCell ref="A469:L469"/>
    <mergeCell ref="O473:R473"/>
    <mergeCell ref="T473:Y473"/>
    <mergeCell ref="C470:F470"/>
    <mergeCell ref="H470:I470"/>
    <mergeCell ref="I473:K473"/>
    <mergeCell ref="A454:L454"/>
    <mergeCell ref="O458:R458"/>
    <mergeCell ref="T458:Y458"/>
    <mergeCell ref="C455:F455"/>
    <mergeCell ref="H455:I455"/>
    <mergeCell ref="F443:G443"/>
    <mergeCell ref="B445:C445"/>
    <mergeCell ref="I447:J447"/>
    <mergeCell ref="I448:J448"/>
    <mergeCell ref="I449:J449"/>
    <mergeCell ref="I450:J450"/>
    <mergeCell ref="I451:J451"/>
    <mergeCell ref="F458:G458"/>
    <mergeCell ref="I458:K458"/>
    <mergeCell ref="B430:C430"/>
    <mergeCell ref="I432:J432"/>
    <mergeCell ref="I433:J433"/>
    <mergeCell ref="I434:J434"/>
    <mergeCell ref="I435:J435"/>
    <mergeCell ref="I436:J436"/>
    <mergeCell ref="A439:L439"/>
    <mergeCell ref="O443:R443"/>
    <mergeCell ref="T443:Y443"/>
    <mergeCell ref="C440:F440"/>
    <mergeCell ref="H440:I440"/>
    <mergeCell ref="I443:K443"/>
    <mergeCell ref="I406:J406"/>
    <mergeCell ref="A409:L409"/>
    <mergeCell ref="C395:F395"/>
    <mergeCell ref="H395:I395"/>
    <mergeCell ref="F337:G337"/>
    <mergeCell ref="I337:K337"/>
    <mergeCell ref="B339:C339"/>
    <mergeCell ref="I341:J341"/>
    <mergeCell ref="I342:J342"/>
    <mergeCell ref="I343:J343"/>
    <mergeCell ref="I344:J344"/>
    <mergeCell ref="I345:J345"/>
    <mergeCell ref="A348:L348"/>
    <mergeCell ref="I383:K383"/>
    <mergeCell ref="A394:L394"/>
    <mergeCell ref="F398:G398"/>
    <mergeCell ref="I398:K398"/>
    <mergeCell ref="B400:C400"/>
    <mergeCell ref="I402:J402"/>
    <mergeCell ref="I403:J403"/>
    <mergeCell ref="I404:J404"/>
    <mergeCell ref="I405:J405"/>
    <mergeCell ref="B370:C370"/>
    <mergeCell ref="I372:J372"/>
    <mergeCell ref="I326:J326"/>
    <mergeCell ref="I327:J327"/>
    <mergeCell ref="I328:J328"/>
    <mergeCell ref="I329:J329"/>
    <mergeCell ref="I330:J330"/>
    <mergeCell ref="A333:L333"/>
    <mergeCell ref="I299:J299"/>
    <mergeCell ref="I300:J300"/>
    <mergeCell ref="A303:L303"/>
    <mergeCell ref="I269:J269"/>
    <mergeCell ref="I270:J270"/>
    <mergeCell ref="O307:R307"/>
    <mergeCell ref="T307:Y307"/>
    <mergeCell ref="O337:R337"/>
    <mergeCell ref="T337:Y337"/>
    <mergeCell ref="C304:F304"/>
    <mergeCell ref="H304:I304"/>
    <mergeCell ref="I307:K307"/>
    <mergeCell ref="A318:L318"/>
    <mergeCell ref="O322:R322"/>
    <mergeCell ref="T322:Y322"/>
    <mergeCell ref="C319:F319"/>
    <mergeCell ref="H319:I319"/>
    <mergeCell ref="F307:G307"/>
    <mergeCell ref="B309:C309"/>
    <mergeCell ref="I311:J311"/>
    <mergeCell ref="I312:J312"/>
    <mergeCell ref="I313:J313"/>
    <mergeCell ref="I314:J314"/>
    <mergeCell ref="I315:J315"/>
    <mergeCell ref="C334:F334"/>
    <mergeCell ref="H334:I334"/>
    <mergeCell ref="B324:C324"/>
    <mergeCell ref="I283:J283"/>
    <mergeCell ref="I284:J284"/>
    <mergeCell ref="O927:R927"/>
    <mergeCell ref="T927:Y927"/>
    <mergeCell ref="C924:F924"/>
    <mergeCell ref="H924:I924"/>
    <mergeCell ref="I255:J255"/>
    <mergeCell ref="I256:J256"/>
    <mergeCell ref="A258:L258"/>
    <mergeCell ref="O262:R262"/>
    <mergeCell ref="T262:Y262"/>
    <mergeCell ref="C259:F259"/>
    <mergeCell ref="I285:J285"/>
    <mergeCell ref="F292:G292"/>
    <mergeCell ref="I292:K292"/>
    <mergeCell ref="I277:K277"/>
    <mergeCell ref="A288:L288"/>
    <mergeCell ref="H259:I259"/>
    <mergeCell ref="F262:G262"/>
    <mergeCell ref="I262:K262"/>
    <mergeCell ref="B264:C264"/>
    <mergeCell ref="I266:J266"/>
    <mergeCell ref="I267:J267"/>
    <mergeCell ref="I268:J268"/>
    <mergeCell ref="I949:J949"/>
    <mergeCell ref="I950:J950"/>
    <mergeCell ref="B249:C249"/>
    <mergeCell ref="F927:G927"/>
    <mergeCell ref="I927:K927"/>
    <mergeCell ref="B929:C929"/>
    <mergeCell ref="I931:J931"/>
    <mergeCell ref="I932:J932"/>
    <mergeCell ref="I933:J933"/>
    <mergeCell ref="I934:J934"/>
    <mergeCell ref="I935:J935"/>
    <mergeCell ref="A923:L923"/>
    <mergeCell ref="I251:J251"/>
    <mergeCell ref="I252:J252"/>
    <mergeCell ref="I253:J253"/>
    <mergeCell ref="I254:J254"/>
    <mergeCell ref="B294:C294"/>
    <mergeCell ref="I296:J296"/>
    <mergeCell ref="I297:J297"/>
    <mergeCell ref="I298:J298"/>
    <mergeCell ref="F277:G277"/>
    <mergeCell ref="B279:C279"/>
    <mergeCell ref="I281:J281"/>
    <mergeCell ref="I282:J282"/>
    <mergeCell ref="I951:J951"/>
    <mergeCell ref="A955:L955"/>
    <mergeCell ref="I965:J965"/>
    <mergeCell ref="I966:J966"/>
    <mergeCell ref="I967:J967"/>
    <mergeCell ref="O959:R959"/>
    <mergeCell ref="A939:L939"/>
    <mergeCell ref="O943:R943"/>
    <mergeCell ref="T943:Y943"/>
    <mergeCell ref="C940:F940"/>
    <mergeCell ref="H940:I940"/>
    <mergeCell ref="F943:G943"/>
    <mergeCell ref="I943:K943"/>
    <mergeCell ref="B945:C945"/>
    <mergeCell ref="I947:J947"/>
    <mergeCell ref="T959:Y959"/>
    <mergeCell ref="C956:F956"/>
    <mergeCell ref="H956:I956"/>
    <mergeCell ref="F959:G959"/>
    <mergeCell ref="I959:K959"/>
    <mergeCell ref="B961:C961"/>
    <mergeCell ref="I963:J963"/>
    <mergeCell ref="I964:J964"/>
    <mergeCell ref="I948:J948"/>
  </mergeCells>
  <printOptions horizontalCentered="1"/>
  <pageMargins left="0" right="0" top="0" bottom="0" header="0.3" footer="0.3"/>
  <pageSetup paperSize="9" scale="99" fitToHeight="0" orientation="portrait" horizontalDpi="4294967295" verticalDpi="4294967295" r:id="rId1"/>
  <rowBreaks count="1" manualBreakCount="1">
    <brk id="9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486" t="s">
        <v>231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3"/>
    </row>
    <row r="2" spans="1:26" ht="48.75" customHeight="1" x14ac:dyDescent="0.2">
      <c r="A2" s="236" t="s">
        <v>71</v>
      </c>
      <c r="B2" s="237" t="s">
        <v>72</v>
      </c>
      <c r="C2" s="237" t="s">
        <v>73</v>
      </c>
      <c r="D2" s="237" t="s">
        <v>232</v>
      </c>
      <c r="E2" s="237" t="s">
        <v>233</v>
      </c>
      <c r="F2" s="237" t="s">
        <v>234</v>
      </c>
      <c r="G2" s="237" t="s">
        <v>235</v>
      </c>
      <c r="H2" s="238" t="s">
        <v>236</v>
      </c>
      <c r="I2" s="238" t="s">
        <v>237</v>
      </c>
      <c r="J2" s="238" t="s">
        <v>238</v>
      </c>
      <c r="K2" s="238" t="s">
        <v>239</v>
      </c>
      <c r="L2" s="238" t="s">
        <v>240</v>
      </c>
      <c r="M2" s="238" t="s">
        <v>241</v>
      </c>
      <c r="N2" s="238" t="s">
        <v>242</v>
      </c>
      <c r="O2" s="238" t="s">
        <v>243</v>
      </c>
      <c r="P2" s="238" t="s">
        <v>244</v>
      </c>
      <c r="Q2" s="238" t="s">
        <v>245</v>
      </c>
      <c r="R2" s="239" t="s">
        <v>246</v>
      </c>
      <c r="S2" s="13"/>
      <c r="T2" s="132"/>
      <c r="U2" s="13"/>
      <c r="V2" s="13"/>
      <c r="W2" s="13"/>
      <c r="X2" s="13"/>
      <c r="Y2" s="13"/>
    </row>
    <row r="3" spans="1:26" ht="20.25" customHeight="1" x14ac:dyDescent="0.25">
      <c r="A3" s="240" t="s">
        <v>247</v>
      </c>
      <c r="B3" s="141">
        <v>100000</v>
      </c>
      <c r="C3" s="141">
        <v>100000</v>
      </c>
      <c r="D3" s="141">
        <v>100000</v>
      </c>
      <c r="E3" s="141">
        <v>100000</v>
      </c>
      <c r="F3" s="141">
        <v>100000</v>
      </c>
      <c r="G3" s="141">
        <v>100000</v>
      </c>
      <c r="H3" s="241">
        <v>100000</v>
      </c>
      <c r="I3" s="241">
        <v>100000</v>
      </c>
      <c r="J3" s="241">
        <v>100000</v>
      </c>
      <c r="K3" s="241">
        <v>0</v>
      </c>
      <c r="L3" s="241">
        <v>100000</v>
      </c>
      <c r="M3" s="241">
        <v>100000</v>
      </c>
      <c r="N3" s="241">
        <v>100000</v>
      </c>
      <c r="O3" s="241">
        <v>100000</v>
      </c>
      <c r="P3" s="241">
        <v>100000</v>
      </c>
      <c r="Q3" s="241">
        <v>100000</v>
      </c>
      <c r="R3" s="241">
        <f t="shared" ref="R3:R15" si="0">Q3-P3</f>
        <v>0</v>
      </c>
      <c r="S3" s="13"/>
      <c r="T3" s="132"/>
      <c r="U3" s="13"/>
      <c r="V3" s="13"/>
      <c r="W3" s="13"/>
      <c r="X3" s="13"/>
      <c r="Y3" s="13"/>
      <c r="Z3" s="13"/>
    </row>
    <row r="4" spans="1:26" ht="20.25" customHeight="1" x14ac:dyDescent="0.25">
      <c r="A4" s="242" t="s">
        <v>19</v>
      </c>
      <c r="B4" s="243">
        <v>60000</v>
      </c>
      <c r="C4" s="145">
        <v>60000</v>
      </c>
      <c r="D4" s="145">
        <v>60000</v>
      </c>
      <c r="E4" s="145">
        <v>60000</v>
      </c>
      <c r="F4" s="145">
        <v>60000</v>
      </c>
      <c r="G4" s="145">
        <v>60000</v>
      </c>
      <c r="H4" s="244">
        <v>60000</v>
      </c>
      <c r="I4" s="244">
        <v>60000</v>
      </c>
      <c r="J4" s="244">
        <v>60000</v>
      </c>
      <c r="K4" s="244">
        <v>60000</v>
      </c>
      <c r="L4" s="241">
        <v>60000</v>
      </c>
      <c r="M4" s="241">
        <v>60000</v>
      </c>
      <c r="N4" s="241">
        <v>60000</v>
      </c>
      <c r="O4" s="241">
        <v>62000</v>
      </c>
      <c r="P4" s="241">
        <v>62000</v>
      </c>
      <c r="Q4" s="241">
        <v>62000</v>
      </c>
      <c r="R4" s="241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5" t="s">
        <v>27</v>
      </c>
      <c r="B5" s="145">
        <v>73206</v>
      </c>
      <c r="C5" s="145">
        <v>87000</v>
      </c>
      <c r="D5" s="145">
        <v>65000</v>
      </c>
      <c r="E5" s="145">
        <v>67000</v>
      </c>
      <c r="F5" s="145">
        <v>65000</v>
      </c>
      <c r="G5" s="145">
        <v>66000</v>
      </c>
      <c r="H5" s="244">
        <v>88000</v>
      </c>
      <c r="I5" s="244">
        <v>103489.58333333333</v>
      </c>
      <c r="J5" s="244">
        <v>87822.580645161288</v>
      </c>
      <c r="K5" s="244">
        <v>84933.333333333328</v>
      </c>
      <c r="L5" s="241">
        <v>66000</v>
      </c>
      <c r="M5" s="241">
        <v>103483.87096774194</v>
      </c>
      <c r="N5" s="241">
        <v>118000</v>
      </c>
      <c r="O5" s="241">
        <v>117387.09677419355</v>
      </c>
      <c r="P5" s="241">
        <v>119000</v>
      </c>
      <c r="Q5" s="241">
        <v>94000</v>
      </c>
      <c r="R5" s="241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5" t="s">
        <v>248</v>
      </c>
      <c r="B6" s="145">
        <v>147448.27586206896</v>
      </c>
      <c r="C6" s="145">
        <v>116709.67741935482</v>
      </c>
      <c r="D6" s="145">
        <v>32250</v>
      </c>
      <c r="E6" s="145">
        <v>32250</v>
      </c>
      <c r="F6" s="145">
        <v>32250</v>
      </c>
      <c r="G6" s="145">
        <v>32250</v>
      </c>
      <c r="H6" s="244">
        <v>32250</v>
      </c>
      <c r="I6" s="244">
        <v>29300</v>
      </c>
      <c r="J6" s="244">
        <v>31750</v>
      </c>
      <c r="K6" s="244">
        <v>40875</v>
      </c>
      <c r="L6" s="241">
        <v>31500</v>
      </c>
      <c r="M6" s="241">
        <v>31500</v>
      </c>
      <c r="N6" s="241">
        <v>31500</v>
      </c>
      <c r="O6" s="241">
        <v>31500</v>
      </c>
      <c r="P6" s="241">
        <f>'Salary Sheets'!Q30</f>
        <v>148550.40322580645</v>
      </c>
      <c r="Q6" s="241">
        <v>37258.06451612903</v>
      </c>
      <c r="R6" s="241">
        <f t="shared" si="0"/>
        <v>-111292.33870967742</v>
      </c>
      <c r="S6" s="13"/>
      <c r="T6" s="132"/>
      <c r="U6" s="13"/>
      <c r="V6" s="13"/>
      <c r="W6" s="13"/>
      <c r="X6" s="13"/>
      <c r="Y6" s="13"/>
    </row>
    <row r="7" spans="1:26" ht="20.25" customHeight="1" x14ac:dyDescent="0.25">
      <c r="A7" s="245" t="s">
        <v>249</v>
      </c>
      <c r="B7" s="145">
        <v>132799.31034482759</v>
      </c>
      <c r="C7" s="145">
        <v>63387.096774193546</v>
      </c>
      <c r="D7" s="145">
        <v>41481.25</v>
      </c>
      <c r="E7" s="145">
        <v>53254.032258064515</v>
      </c>
      <c r="F7" s="145">
        <v>42143.75</v>
      </c>
      <c r="G7" s="145">
        <v>30919.354838709678</v>
      </c>
      <c r="H7" s="244">
        <v>35761.088709677424</v>
      </c>
      <c r="I7" s="244">
        <v>99415.625</v>
      </c>
      <c r="J7" s="244">
        <v>97959.677419354834</v>
      </c>
      <c r="K7" s="244">
        <v>54868.75</v>
      </c>
      <c r="L7" s="241">
        <v>52703.629032258061</v>
      </c>
      <c r="M7" s="241">
        <v>53987.145161290318</v>
      </c>
      <c r="N7" s="241">
        <v>92420.758928571435</v>
      </c>
      <c r="O7" s="241">
        <v>81163.548387096773</v>
      </c>
      <c r="P7" s="241">
        <v>72583.333333333328</v>
      </c>
      <c r="Q7" s="241">
        <v>75645.161290322576</v>
      </c>
      <c r="R7" s="241">
        <f t="shared" si="0"/>
        <v>3061.8279569892475</v>
      </c>
      <c r="S7" s="13"/>
      <c r="T7" s="132"/>
      <c r="U7" s="88"/>
      <c r="V7" s="88"/>
      <c r="W7" s="88"/>
      <c r="X7" s="88"/>
      <c r="Y7" s="13"/>
    </row>
    <row r="8" spans="1:26" ht="20.25" customHeight="1" x14ac:dyDescent="0.25">
      <c r="A8" s="245" t="s">
        <v>31</v>
      </c>
      <c r="B8" s="145">
        <v>372668.96551724145</v>
      </c>
      <c r="C8" s="145">
        <v>306071.05846774194</v>
      </c>
      <c r="D8" s="145">
        <v>205928.33333333331</v>
      </c>
      <c r="E8" s="145">
        <v>255428.46774193548</v>
      </c>
      <c r="F8" s="145">
        <v>285739.58333333343</v>
      </c>
      <c r="G8" s="145">
        <v>169628.98387096776</v>
      </c>
      <c r="H8" s="244">
        <v>214618.54838709679</v>
      </c>
      <c r="I8" s="244">
        <v>263865.91666666669</v>
      </c>
      <c r="J8" s="244">
        <v>288039.31451612909</v>
      </c>
      <c r="K8" s="244">
        <v>261683.95833333337</v>
      </c>
      <c r="L8" s="241">
        <v>193254.97580645161</v>
      </c>
      <c r="M8" s="241">
        <v>212582.85483870967</v>
      </c>
      <c r="N8" s="241">
        <v>232213.1696428571</v>
      </c>
      <c r="O8" s="241">
        <v>241484.47580645161</v>
      </c>
      <c r="P8" s="241">
        <f>'Salary Sheets'!Q48</f>
        <v>409120.96774193546</v>
      </c>
      <c r="Q8" s="241">
        <v>201483.87096774194</v>
      </c>
      <c r="R8" s="241">
        <f t="shared" si="0"/>
        <v>-207637.09677419352</v>
      </c>
      <c r="S8" s="13"/>
      <c r="T8" s="132"/>
      <c r="U8" s="13"/>
      <c r="V8" s="13"/>
      <c r="W8" s="13"/>
      <c r="X8" s="13"/>
      <c r="Y8" s="13"/>
    </row>
    <row r="9" spans="1:26" ht="20.25" customHeight="1" x14ac:dyDescent="0.25">
      <c r="A9" s="245" t="s">
        <v>250</v>
      </c>
      <c r="B9" s="145">
        <v>120506.03448275861</v>
      </c>
      <c r="C9" s="145">
        <v>131841.12903225809</v>
      </c>
      <c r="D9" s="145">
        <v>104362.49999999999</v>
      </c>
      <c r="E9" s="145">
        <v>104752.41935483871</v>
      </c>
      <c r="F9" s="145">
        <v>113883.33333333334</v>
      </c>
      <c r="G9" s="145">
        <v>105737.90322580645</v>
      </c>
      <c r="H9" s="244">
        <v>103883.06451612903</v>
      </c>
      <c r="I9" s="244">
        <v>109841.66666666667</v>
      </c>
      <c r="J9" s="244">
        <v>117032.25806451612</v>
      </c>
      <c r="K9" s="244">
        <v>105759.16666666667</v>
      </c>
      <c r="L9" s="241">
        <v>119633.06451612904</v>
      </c>
      <c r="M9" s="241">
        <v>122745.96774193548</v>
      </c>
      <c r="N9" s="241">
        <v>113383.92857142855</v>
      </c>
      <c r="O9" s="241">
        <v>100282.25806451612</v>
      </c>
      <c r="P9" s="241">
        <v>116254.16666666666</v>
      </c>
      <c r="Q9" s="241">
        <v>121334.67741935483</v>
      </c>
      <c r="R9" s="241">
        <f t="shared" si="0"/>
        <v>5080.5107526881766</v>
      </c>
      <c r="S9" s="13"/>
      <c r="T9" s="132"/>
      <c r="U9" s="13"/>
      <c r="V9" s="13"/>
      <c r="W9" s="13"/>
      <c r="X9" s="13"/>
      <c r="Y9" s="13"/>
      <c r="Z9" s="132"/>
    </row>
    <row r="10" spans="1:26" ht="20.25" customHeight="1" x14ac:dyDescent="0.25">
      <c r="A10" s="245" t="s">
        <v>251</v>
      </c>
      <c r="B10" s="145">
        <v>93330.732758620696</v>
      </c>
      <c r="C10" s="145">
        <v>87991.93548387097</v>
      </c>
      <c r="D10" s="145">
        <v>61687.5</v>
      </c>
      <c r="E10" s="145">
        <v>72469.354838709682</v>
      </c>
      <c r="F10" s="145">
        <v>92054.166666666672</v>
      </c>
      <c r="G10" s="145">
        <v>92983.870967741939</v>
      </c>
      <c r="H10" s="244">
        <v>95745.967741935485</v>
      </c>
      <c r="I10" s="244">
        <v>91266.666666666657</v>
      </c>
      <c r="J10" s="244">
        <v>82338.709677419363</v>
      </c>
      <c r="K10" s="244">
        <v>87658.333333333328</v>
      </c>
      <c r="L10" s="241">
        <v>98245.967741935485</v>
      </c>
      <c r="M10" s="241">
        <v>104427.41935483871</v>
      </c>
      <c r="N10" s="241">
        <v>89080.357142857145</v>
      </c>
      <c r="O10" s="241">
        <v>87447.580645161288</v>
      </c>
      <c r="P10" s="241">
        <v>92458.333333333343</v>
      </c>
      <c r="Q10" s="241">
        <v>89770.161290322576</v>
      </c>
      <c r="R10" s="241">
        <f t="shared" si="0"/>
        <v>-2688.1720430107671</v>
      </c>
      <c r="S10" s="13"/>
      <c r="T10" s="132"/>
      <c r="U10" s="13"/>
      <c r="V10" s="13"/>
      <c r="W10" s="13"/>
      <c r="X10" s="13"/>
      <c r="Y10" s="13"/>
      <c r="Z10" s="132"/>
    </row>
    <row r="11" spans="1:26" ht="20.25" customHeight="1" x14ac:dyDescent="0.25">
      <c r="A11" s="245" t="s">
        <v>252</v>
      </c>
      <c r="B11" s="145">
        <v>47469.310344827587</v>
      </c>
      <c r="C11" s="145">
        <v>29145.16129032258</v>
      </c>
      <c r="D11" s="145">
        <v>27083.333333333332</v>
      </c>
      <c r="E11" s="145">
        <v>28830.645161290322</v>
      </c>
      <c r="F11" s="145">
        <v>27083.333333333332</v>
      </c>
      <c r="G11" s="145">
        <v>29145.16129032258</v>
      </c>
      <c r="H11" s="244">
        <v>45596.774193548386</v>
      </c>
      <c r="I11" s="244">
        <v>45641.666666666672</v>
      </c>
      <c r="J11" s="244">
        <v>48903.225806451621</v>
      </c>
      <c r="K11" s="244">
        <v>39968.75</v>
      </c>
      <c r="L11" s="241">
        <v>48483.870967741939</v>
      </c>
      <c r="M11" s="241">
        <v>52201.612903225803</v>
      </c>
      <c r="N11" s="241">
        <v>67227.678571428565</v>
      </c>
      <c r="O11" s="241">
        <v>107939.51612903226</v>
      </c>
      <c r="P11" s="241">
        <v>81066.666666666672</v>
      </c>
      <c r="Q11" s="241">
        <v>84967.741935483878</v>
      </c>
      <c r="R11" s="241">
        <f t="shared" si="0"/>
        <v>3901.075268817207</v>
      </c>
      <c r="S11" s="13"/>
      <c r="T11" s="132"/>
      <c r="U11" s="13"/>
      <c r="V11" s="13"/>
      <c r="W11" s="13"/>
      <c r="X11" s="13"/>
      <c r="Y11" s="13"/>
    </row>
    <row r="12" spans="1:26" ht="36" customHeight="1" x14ac:dyDescent="0.25">
      <c r="A12" s="246" t="s">
        <v>253</v>
      </c>
      <c r="B12" s="145"/>
      <c r="C12" s="145"/>
      <c r="D12" s="145"/>
      <c r="E12" s="145"/>
      <c r="F12" s="145"/>
      <c r="G12" s="145"/>
      <c r="H12" s="244"/>
      <c r="I12" s="244"/>
      <c r="J12" s="244"/>
      <c r="K12" s="244"/>
      <c r="L12" s="241"/>
      <c r="M12" s="241"/>
      <c r="N12" s="241"/>
      <c r="O12" s="241"/>
      <c r="P12" s="241">
        <f>'Salary Sheets'!Q97</f>
        <v>846930.6451612903</v>
      </c>
      <c r="Q12" s="241">
        <v>254832.25806451612</v>
      </c>
      <c r="R12" s="241">
        <f t="shared" si="0"/>
        <v>-592098.38709677418</v>
      </c>
      <c r="S12" s="13"/>
      <c r="T12" s="132"/>
      <c r="U12" s="13"/>
      <c r="V12" s="13"/>
      <c r="W12" s="13"/>
      <c r="X12" s="13"/>
      <c r="Y12" s="13"/>
    </row>
    <row r="13" spans="1:26" ht="20.25" customHeight="1" x14ac:dyDescent="0.25">
      <c r="A13" s="245" t="s">
        <v>254</v>
      </c>
      <c r="B13" s="145"/>
      <c r="C13" s="145"/>
      <c r="D13" s="145"/>
      <c r="E13" s="145"/>
      <c r="F13" s="145"/>
      <c r="G13" s="145"/>
      <c r="H13" s="244"/>
      <c r="I13" s="244"/>
      <c r="J13" s="244"/>
      <c r="K13" s="244"/>
      <c r="L13" s="241"/>
      <c r="M13" s="241"/>
      <c r="N13" s="241"/>
      <c r="O13" s="241"/>
      <c r="P13" s="241" t="e">
        <f>'Salary Sheets'!#REF!</f>
        <v>#REF!</v>
      </c>
      <c r="Q13" s="241" t="e">
        <f>'Salary Sheets'!#REF!</f>
        <v>#REF!</v>
      </c>
      <c r="R13" s="241" t="e">
        <f t="shared" si="0"/>
        <v>#REF!</v>
      </c>
      <c r="S13" s="13"/>
      <c r="T13" s="132"/>
      <c r="U13" s="13"/>
      <c r="V13" s="13"/>
      <c r="W13" s="13"/>
      <c r="X13" s="13"/>
      <c r="Y13" s="13"/>
    </row>
    <row r="14" spans="1:26" ht="20.25" customHeight="1" x14ac:dyDescent="0.25">
      <c r="A14" s="245" t="s">
        <v>255</v>
      </c>
      <c r="B14" s="145">
        <v>160366.37931034484</v>
      </c>
      <c r="C14" s="145">
        <v>169366.93548387097</v>
      </c>
      <c r="D14" s="145">
        <v>177360</v>
      </c>
      <c r="E14" s="145">
        <v>201414.11290322582</v>
      </c>
      <c r="F14" s="145">
        <v>185683.33333333334</v>
      </c>
      <c r="G14" s="145">
        <v>178671.93548387097</v>
      </c>
      <c r="H14" s="244">
        <v>186343.54838709679</v>
      </c>
      <c r="I14" s="244">
        <v>183710</v>
      </c>
      <c r="J14" s="244">
        <v>208798.38709677421</v>
      </c>
      <c r="K14" s="244">
        <v>172205.83333333334</v>
      </c>
      <c r="L14" s="241">
        <v>99483.870967741939</v>
      </c>
      <c r="M14" s="241">
        <v>104608.87096774192</v>
      </c>
      <c r="N14" s="241">
        <v>156408.92857142858</v>
      </c>
      <c r="O14" s="241">
        <v>106806.45161290321</v>
      </c>
      <c r="P14" s="241">
        <v>127450</v>
      </c>
      <c r="Q14" s="241">
        <v>0</v>
      </c>
      <c r="R14" s="241">
        <f t="shared" si="0"/>
        <v>-127450</v>
      </c>
      <c r="S14" s="13"/>
      <c r="T14" s="132"/>
      <c r="U14" s="13"/>
      <c r="V14" s="13"/>
      <c r="W14" s="13"/>
      <c r="X14" s="13"/>
      <c r="Y14" s="13"/>
      <c r="Z14" s="132"/>
    </row>
    <row r="15" spans="1:26" ht="12.75" customHeight="1" x14ac:dyDescent="0.2">
      <c r="A15" s="247" t="s">
        <v>256</v>
      </c>
      <c r="B15" s="248">
        <v>214942.75862068965</v>
      </c>
      <c r="C15" s="145">
        <v>204628.70967741933</v>
      </c>
      <c r="D15" s="145">
        <v>91566.666666666672</v>
      </c>
      <c r="E15" s="145">
        <v>100387.09677419355</v>
      </c>
      <c r="F15" s="145">
        <v>41733.333333333336</v>
      </c>
      <c r="G15" s="145">
        <v>2580.6451612903224</v>
      </c>
      <c r="H15" s="244">
        <v>34870.967741935485</v>
      </c>
      <c r="I15" s="244">
        <v>61920.833333333336</v>
      </c>
      <c r="J15" s="244">
        <v>44959.677419354841</v>
      </c>
      <c r="K15" s="244">
        <v>38666.666666666672</v>
      </c>
      <c r="L15" s="241">
        <v>39516.129032258061</v>
      </c>
      <c r="M15" s="241">
        <v>43000</v>
      </c>
      <c r="N15" s="241">
        <v>50142.857142857145</v>
      </c>
      <c r="O15" s="241">
        <v>102443.54838709676</v>
      </c>
      <c r="P15" s="241" t="e">
        <f>'Salary Sheets'!#REF!</f>
        <v>#REF!</v>
      </c>
      <c r="Q15" s="241" t="e">
        <f>'Salary Sheets'!#REF!</f>
        <v>#REF!</v>
      </c>
      <c r="R15" s="241" t="e">
        <f t="shared" si="0"/>
        <v>#REF!</v>
      </c>
      <c r="S15" s="13"/>
      <c r="U15" s="13"/>
      <c r="V15" s="13"/>
      <c r="W15" s="13"/>
      <c r="X15" s="13"/>
      <c r="Y15" s="13"/>
      <c r="Z15" s="132"/>
    </row>
    <row r="16" spans="1:26" ht="29.25" customHeight="1" x14ac:dyDescent="0.2">
      <c r="A16" s="249" t="s">
        <v>83</v>
      </c>
      <c r="B16" s="249">
        <f t="shared" ref="B16:R16" si="1">SUM(B3:B15)</f>
        <v>1522737.7672413792</v>
      </c>
      <c r="C16" s="249">
        <f t="shared" si="1"/>
        <v>1356141.7036290322</v>
      </c>
      <c r="D16" s="249">
        <f t="shared" si="1"/>
        <v>966719.58333333326</v>
      </c>
      <c r="E16" s="249">
        <f t="shared" si="1"/>
        <v>1075786.1290322579</v>
      </c>
      <c r="F16" s="249">
        <f t="shared" si="1"/>
        <v>1045570.8333333336</v>
      </c>
      <c r="G16" s="249">
        <f t="shared" si="1"/>
        <v>867917.8548387097</v>
      </c>
      <c r="H16" s="249">
        <f t="shared" si="1"/>
        <v>997069.95967741939</v>
      </c>
      <c r="I16" s="249">
        <f t="shared" si="1"/>
        <v>1148451.9583333333</v>
      </c>
      <c r="J16" s="249">
        <f t="shared" si="1"/>
        <v>1167603.8306451614</v>
      </c>
      <c r="K16" s="249">
        <f t="shared" si="1"/>
        <v>946619.79166666674</v>
      </c>
      <c r="L16" s="249">
        <f t="shared" si="1"/>
        <v>908821.50806451624</v>
      </c>
      <c r="M16" s="249">
        <f t="shared" si="1"/>
        <v>988537.74193548388</v>
      </c>
      <c r="N16" s="249">
        <f t="shared" si="1"/>
        <v>1110377.6785714284</v>
      </c>
      <c r="O16" s="249">
        <f t="shared" si="1"/>
        <v>1138454.4758064516</v>
      </c>
      <c r="P16" s="249" t="e">
        <f t="shared" si="1"/>
        <v>#REF!</v>
      </c>
      <c r="Q16" s="249" t="e">
        <f t="shared" si="1"/>
        <v>#REF!</v>
      </c>
      <c r="R16" s="249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58" workbookViewId="0">
      <selection activeCell="E78" sqref="E78"/>
    </sheetView>
  </sheetViews>
  <sheetFormatPr defaultColWidth="12.7109375" defaultRowHeight="15" customHeight="1" x14ac:dyDescent="0.2"/>
  <cols>
    <col min="1" max="1" width="25.7109375" customWidth="1"/>
    <col min="2" max="2" width="10.85546875" customWidth="1"/>
    <col min="3" max="3" width="12.7109375" customWidth="1"/>
    <col min="4" max="4" width="12.85546875" customWidth="1"/>
    <col min="5" max="5" width="13.7109375" customWidth="1"/>
    <col min="6" max="26" width="8.7109375" customWidth="1"/>
  </cols>
  <sheetData>
    <row r="1" spans="1:5" ht="34.15" customHeight="1" x14ac:dyDescent="0.4">
      <c r="A1" s="486" t="s">
        <v>257</v>
      </c>
      <c r="B1" s="412"/>
      <c r="C1" s="412"/>
      <c r="D1" s="412"/>
      <c r="E1" s="413"/>
    </row>
    <row r="2" spans="1:5" ht="29.45" customHeight="1" x14ac:dyDescent="0.2">
      <c r="A2" s="390" t="s">
        <v>258</v>
      </c>
      <c r="B2" s="250"/>
      <c r="C2" s="251" t="s">
        <v>259</v>
      </c>
      <c r="D2" s="251" t="s">
        <v>260</v>
      </c>
      <c r="E2" s="251" t="s">
        <v>23</v>
      </c>
    </row>
    <row r="3" spans="1:5" ht="18" customHeight="1" x14ac:dyDescent="0.25">
      <c r="A3" s="240" t="s">
        <v>187</v>
      </c>
      <c r="B3" s="496" t="s">
        <v>261</v>
      </c>
      <c r="C3" s="104">
        <v>24500</v>
      </c>
      <c r="D3" s="104">
        <v>2000</v>
      </c>
      <c r="E3" s="241">
        <f t="shared" ref="E3:E78" si="0">D3+C3</f>
        <v>26500</v>
      </c>
    </row>
    <row r="4" spans="1:5" ht="18" customHeight="1" x14ac:dyDescent="0.25">
      <c r="A4" s="240" t="s">
        <v>183</v>
      </c>
      <c r="B4" s="497"/>
      <c r="C4" s="104">
        <v>25000</v>
      </c>
      <c r="D4" s="104">
        <v>2000</v>
      </c>
      <c r="E4" s="241">
        <f t="shared" si="0"/>
        <v>27000</v>
      </c>
    </row>
    <row r="5" spans="1:5" ht="18" customHeight="1" x14ac:dyDescent="0.25">
      <c r="A5" s="240" t="s">
        <v>262</v>
      </c>
      <c r="B5" s="497"/>
      <c r="C5" s="104">
        <v>32500</v>
      </c>
      <c r="D5" s="104">
        <v>2000</v>
      </c>
      <c r="E5" s="241">
        <f t="shared" si="0"/>
        <v>34500</v>
      </c>
    </row>
    <row r="6" spans="1:5" ht="18" customHeight="1" x14ac:dyDescent="0.25">
      <c r="A6" s="240" t="s">
        <v>189</v>
      </c>
      <c r="B6" s="498"/>
      <c r="C6" s="104">
        <v>21000</v>
      </c>
      <c r="D6" s="104">
        <v>1000</v>
      </c>
      <c r="E6" s="241">
        <f t="shared" si="0"/>
        <v>22000</v>
      </c>
    </row>
    <row r="7" spans="1:5" ht="18" customHeight="1" x14ac:dyDescent="0.25">
      <c r="A7" s="240" t="s">
        <v>217</v>
      </c>
      <c r="B7" s="499" t="s">
        <v>263</v>
      </c>
      <c r="C7" s="241">
        <v>40000</v>
      </c>
      <c r="D7" s="241">
        <v>5000</v>
      </c>
      <c r="E7" s="241">
        <f t="shared" si="0"/>
        <v>45000</v>
      </c>
    </row>
    <row r="8" spans="1:5" ht="18" customHeight="1" x14ac:dyDescent="0.25">
      <c r="A8" s="242" t="s">
        <v>264</v>
      </c>
      <c r="B8" s="500"/>
      <c r="C8" s="244">
        <v>55000</v>
      </c>
      <c r="D8" s="244">
        <v>5000</v>
      </c>
      <c r="E8" s="241">
        <f t="shared" si="0"/>
        <v>60000</v>
      </c>
    </row>
    <row r="9" spans="1:5" ht="18" customHeight="1" x14ac:dyDescent="0.25">
      <c r="A9" s="245" t="s">
        <v>192</v>
      </c>
      <c r="B9" s="500"/>
      <c r="C9" s="244">
        <v>30000</v>
      </c>
      <c r="D9" s="244">
        <v>5000</v>
      </c>
      <c r="E9" s="241">
        <f t="shared" si="0"/>
        <v>35000</v>
      </c>
    </row>
    <row r="10" spans="1:5" ht="18" customHeight="1" x14ac:dyDescent="0.25">
      <c r="A10" s="245" t="s">
        <v>265</v>
      </c>
      <c r="B10" s="500"/>
      <c r="C10" s="244">
        <v>38000</v>
      </c>
      <c r="D10" s="244">
        <v>5000</v>
      </c>
      <c r="E10" s="241">
        <f t="shared" si="0"/>
        <v>43000</v>
      </c>
    </row>
    <row r="11" spans="1:5" ht="18" customHeight="1" x14ac:dyDescent="0.25">
      <c r="A11" s="245" t="s">
        <v>266</v>
      </c>
      <c r="B11" s="500"/>
      <c r="C11" s="244">
        <v>28000</v>
      </c>
      <c r="D11" s="244">
        <v>3000</v>
      </c>
      <c r="E11" s="241">
        <f t="shared" si="0"/>
        <v>31000</v>
      </c>
    </row>
    <row r="12" spans="1:5" ht="18" customHeight="1" x14ac:dyDescent="0.25">
      <c r="A12" s="245" t="s">
        <v>267</v>
      </c>
      <c r="B12" s="500"/>
      <c r="C12" s="244">
        <v>22000</v>
      </c>
      <c r="D12" s="244">
        <v>3000</v>
      </c>
      <c r="E12" s="241">
        <f t="shared" si="0"/>
        <v>25000</v>
      </c>
    </row>
    <row r="13" spans="1:5" ht="18" customHeight="1" x14ac:dyDescent="0.25">
      <c r="A13" s="245" t="s">
        <v>268</v>
      </c>
      <c r="B13" s="500"/>
      <c r="C13" s="244">
        <v>24000</v>
      </c>
      <c r="D13" s="244">
        <v>2000</v>
      </c>
      <c r="E13" s="241">
        <f t="shared" si="0"/>
        <v>26000</v>
      </c>
    </row>
    <row r="14" spans="1:5" ht="18" customHeight="1" x14ac:dyDescent="0.25">
      <c r="A14" s="252" t="s">
        <v>146</v>
      </c>
      <c r="B14" s="500"/>
      <c r="C14" s="253">
        <v>27000</v>
      </c>
      <c r="D14" s="253">
        <v>3000</v>
      </c>
      <c r="E14" s="254">
        <f t="shared" si="0"/>
        <v>30000</v>
      </c>
    </row>
    <row r="15" spans="1:5" ht="18" customHeight="1" x14ac:dyDescent="0.25">
      <c r="A15" s="255" t="s">
        <v>269</v>
      </c>
      <c r="B15" s="501" t="s">
        <v>270</v>
      </c>
      <c r="C15" s="256">
        <v>54000</v>
      </c>
      <c r="D15" s="256">
        <v>5000</v>
      </c>
      <c r="E15" s="256">
        <f t="shared" si="0"/>
        <v>59000</v>
      </c>
    </row>
    <row r="16" spans="1:5" ht="18" customHeight="1" x14ac:dyDescent="0.25">
      <c r="A16" s="257" t="s">
        <v>271</v>
      </c>
      <c r="B16" s="502"/>
      <c r="C16" s="256">
        <v>27500</v>
      </c>
      <c r="D16" s="256">
        <v>2000</v>
      </c>
      <c r="E16" s="256">
        <f t="shared" si="0"/>
        <v>29500</v>
      </c>
    </row>
    <row r="17" spans="1:5" ht="18" customHeight="1" x14ac:dyDescent="0.25">
      <c r="A17" s="255" t="s">
        <v>272</v>
      </c>
      <c r="B17" s="502"/>
      <c r="C17" s="256">
        <v>22500</v>
      </c>
      <c r="D17" s="256">
        <v>2000</v>
      </c>
      <c r="E17" s="256">
        <f t="shared" si="0"/>
        <v>24500</v>
      </c>
    </row>
    <row r="18" spans="1:5" ht="18" customHeight="1" x14ac:dyDescent="0.25">
      <c r="A18" s="255" t="s">
        <v>273</v>
      </c>
      <c r="B18" s="503"/>
      <c r="C18" s="256">
        <v>22500</v>
      </c>
      <c r="D18" s="256">
        <v>2000</v>
      </c>
      <c r="E18" s="256">
        <f t="shared" si="0"/>
        <v>24500</v>
      </c>
    </row>
    <row r="19" spans="1:5" ht="18" customHeight="1" x14ac:dyDescent="0.25">
      <c r="A19" s="255" t="s">
        <v>130</v>
      </c>
      <c r="B19" s="504">
        <v>45017</v>
      </c>
      <c r="C19" s="256">
        <v>45000</v>
      </c>
      <c r="D19" s="256">
        <v>5000</v>
      </c>
      <c r="E19" s="256">
        <f t="shared" si="0"/>
        <v>50000</v>
      </c>
    </row>
    <row r="20" spans="1:5" ht="18" customHeight="1" x14ac:dyDescent="0.25">
      <c r="A20" s="255" t="s">
        <v>274</v>
      </c>
      <c r="B20" s="505"/>
      <c r="C20" s="256">
        <v>19000</v>
      </c>
      <c r="D20" s="256">
        <v>3000</v>
      </c>
      <c r="E20" s="256">
        <f t="shared" si="0"/>
        <v>22000</v>
      </c>
    </row>
    <row r="21" spans="1:5" ht="18" customHeight="1" x14ac:dyDescent="0.25">
      <c r="A21" s="255" t="s">
        <v>144</v>
      </c>
      <c r="B21" s="506"/>
      <c r="C21" s="256">
        <v>47000</v>
      </c>
      <c r="D21" s="256">
        <v>3000</v>
      </c>
      <c r="E21" s="256">
        <f t="shared" si="0"/>
        <v>50000</v>
      </c>
    </row>
    <row r="22" spans="1:5" ht="18" customHeight="1" x14ac:dyDescent="0.25">
      <c r="A22" s="255" t="s">
        <v>275</v>
      </c>
      <c r="B22" s="388">
        <v>45047</v>
      </c>
      <c r="C22" s="256">
        <v>25000</v>
      </c>
      <c r="D22" s="256">
        <v>30000</v>
      </c>
      <c r="E22" s="256">
        <f t="shared" si="0"/>
        <v>55000</v>
      </c>
    </row>
    <row r="23" spans="1:5" ht="18" customHeight="1" x14ac:dyDescent="0.25">
      <c r="A23" s="255" t="s">
        <v>187</v>
      </c>
      <c r="B23" s="501" t="s">
        <v>276</v>
      </c>
      <c r="C23" s="256">
        <v>26500</v>
      </c>
      <c r="D23" s="256">
        <v>3000</v>
      </c>
      <c r="E23" s="256">
        <f t="shared" si="0"/>
        <v>29500</v>
      </c>
    </row>
    <row r="24" spans="1:5" ht="18" customHeight="1" x14ac:dyDescent="0.25">
      <c r="A24" s="255" t="s">
        <v>183</v>
      </c>
      <c r="B24" s="505"/>
      <c r="C24" s="256">
        <v>27000</v>
      </c>
      <c r="D24" s="256">
        <v>3000</v>
      </c>
      <c r="E24" s="256">
        <f t="shared" si="0"/>
        <v>30000</v>
      </c>
    </row>
    <row r="25" spans="1:5" ht="18" customHeight="1" x14ac:dyDescent="0.25">
      <c r="A25" s="255" t="s">
        <v>262</v>
      </c>
      <c r="B25" s="505"/>
      <c r="C25" s="256">
        <v>34500</v>
      </c>
      <c r="D25" s="256">
        <v>3000</v>
      </c>
      <c r="E25" s="256">
        <f t="shared" si="0"/>
        <v>37500</v>
      </c>
    </row>
    <row r="26" spans="1:5" ht="18" customHeight="1" x14ac:dyDescent="0.25">
      <c r="A26" s="255" t="s">
        <v>189</v>
      </c>
      <c r="B26" s="506"/>
      <c r="C26" s="256">
        <v>22000</v>
      </c>
      <c r="D26" s="256">
        <v>3000</v>
      </c>
      <c r="E26" s="256">
        <f t="shared" si="0"/>
        <v>25000</v>
      </c>
    </row>
    <row r="27" spans="1:5" ht="18" customHeight="1" x14ac:dyDescent="0.25">
      <c r="A27" s="255" t="s">
        <v>264</v>
      </c>
      <c r="B27" s="501" t="s">
        <v>277</v>
      </c>
      <c r="C27" s="256">
        <v>60000</v>
      </c>
      <c r="D27" s="256">
        <v>5000</v>
      </c>
      <c r="E27" s="256">
        <f t="shared" si="0"/>
        <v>65000</v>
      </c>
    </row>
    <row r="28" spans="1:5" ht="18" customHeight="1" x14ac:dyDescent="0.25">
      <c r="A28" s="255" t="s">
        <v>171</v>
      </c>
      <c r="B28" s="505"/>
      <c r="C28" s="256">
        <v>25000</v>
      </c>
      <c r="D28" s="256">
        <v>2000</v>
      </c>
      <c r="E28" s="256">
        <f t="shared" si="0"/>
        <v>27000</v>
      </c>
    </row>
    <row r="29" spans="1:5" ht="18" customHeight="1" x14ac:dyDescent="0.25">
      <c r="A29" s="255" t="s">
        <v>146</v>
      </c>
      <c r="B29" s="505"/>
      <c r="C29" s="256">
        <v>30000</v>
      </c>
      <c r="D29" s="256">
        <v>5000</v>
      </c>
      <c r="E29" s="256">
        <f t="shared" si="0"/>
        <v>35000</v>
      </c>
    </row>
    <row r="30" spans="1:5" ht="18" customHeight="1" x14ac:dyDescent="0.25">
      <c r="A30" s="255" t="s">
        <v>130</v>
      </c>
      <c r="B30" s="506"/>
      <c r="C30" s="256">
        <v>50000</v>
      </c>
      <c r="D30" s="256">
        <v>20000</v>
      </c>
      <c r="E30" s="256">
        <f t="shared" si="0"/>
        <v>70000</v>
      </c>
    </row>
    <row r="31" spans="1:5" ht="18" customHeight="1" x14ac:dyDescent="0.25">
      <c r="A31" s="258" t="s">
        <v>278</v>
      </c>
      <c r="B31" s="501" t="s">
        <v>279</v>
      </c>
      <c r="C31" s="259">
        <v>45000</v>
      </c>
      <c r="D31" s="259">
        <v>2000</v>
      </c>
      <c r="E31" s="259">
        <f t="shared" si="0"/>
        <v>47000</v>
      </c>
    </row>
    <row r="32" spans="1:5" ht="18" customHeight="1" x14ac:dyDescent="0.25">
      <c r="A32" s="258" t="s">
        <v>132</v>
      </c>
      <c r="B32" s="505"/>
      <c r="C32" s="259">
        <v>38000</v>
      </c>
      <c r="D32" s="259">
        <v>3000</v>
      </c>
      <c r="E32" s="259">
        <f t="shared" si="0"/>
        <v>41000</v>
      </c>
    </row>
    <row r="33" spans="1:7" ht="18" customHeight="1" x14ac:dyDescent="0.25">
      <c r="A33" s="258" t="s">
        <v>155</v>
      </c>
      <c r="B33" s="505"/>
      <c r="C33" s="259">
        <v>45000</v>
      </c>
      <c r="D33" s="259">
        <v>20000</v>
      </c>
      <c r="E33" s="259">
        <f t="shared" si="0"/>
        <v>65000</v>
      </c>
    </row>
    <row r="34" spans="1:7" ht="18" customHeight="1" x14ac:dyDescent="0.25">
      <c r="A34" s="258" t="s">
        <v>280</v>
      </c>
      <c r="B34" s="505"/>
      <c r="C34" s="259">
        <v>32000</v>
      </c>
      <c r="D34" s="259">
        <v>3000</v>
      </c>
      <c r="E34" s="259">
        <f t="shared" si="0"/>
        <v>35000</v>
      </c>
    </row>
    <row r="35" spans="1:7" ht="18" customHeight="1" x14ac:dyDescent="0.25">
      <c r="A35" s="258" t="s">
        <v>281</v>
      </c>
      <c r="B35" s="505"/>
      <c r="C35" s="259">
        <v>23000</v>
      </c>
      <c r="D35" s="259">
        <v>12000</v>
      </c>
      <c r="E35" s="259">
        <f t="shared" si="0"/>
        <v>35000</v>
      </c>
    </row>
    <row r="36" spans="1:7" ht="18" customHeight="1" x14ac:dyDescent="0.25">
      <c r="A36" s="258" t="s">
        <v>157</v>
      </c>
      <c r="B36" s="505"/>
      <c r="C36" s="259">
        <v>22000</v>
      </c>
      <c r="D36" s="259">
        <v>13000</v>
      </c>
      <c r="E36" s="259">
        <f t="shared" si="0"/>
        <v>35000</v>
      </c>
    </row>
    <row r="37" spans="1:7" ht="18" customHeight="1" x14ac:dyDescent="0.25">
      <c r="A37" s="255" t="s">
        <v>282</v>
      </c>
      <c r="B37" s="505"/>
      <c r="C37" s="256">
        <v>30000</v>
      </c>
      <c r="D37" s="256">
        <v>2000</v>
      </c>
      <c r="E37" s="256">
        <f t="shared" si="0"/>
        <v>32000</v>
      </c>
    </row>
    <row r="38" spans="1:7" ht="18" customHeight="1" x14ac:dyDescent="0.25">
      <c r="A38" s="257" t="s">
        <v>271</v>
      </c>
      <c r="B38" s="505"/>
      <c r="C38" s="256">
        <v>29500</v>
      </c>
      <c r="D38" s="256">
        <v>2000</v>
      </c>
      <c r="E38" s="256">
        <f t="shared" si="0"/>
        <v>31500</v>
      </c>
    </row>
    <row r="39" spans="1:7" ht="18" customHeight="1" x14ac:dyDescent="0.25">
      <c r="A39" s="255" t="s">
        <v>272</v>
      </c>
      <c r="B39" s="505"/>
      <c r="C39" s="256">
        <v>24500</v>
      </c>
      <c r="D39" s="256">
        <v>2000</v>
      </c>
      <c r="E39" s="256">
        <f t="shared" si="0"/>
        <v>26500</v>
      </c>
    </row>
    <row r="40" spans="1:7" ht="18" customHeight="1" x14ac:dyDescent="0.25">
      <c r="A40" s="255" t="s">
        <v>273</v>
      </c>
      <c r="B40" s="506"/>
      <c r="C40" s="256">
        <v>24500</v>
      </c>
      <c r="D40" s="256">
        <v>2000</v>
      </c>
      <c r="E40" s="256">
        <f t="shared" si="0"/>
        <v>26500</v>
      </c>
    </row>
    <row r="41" spans="1:7" ht="18" customHeight="1" x14ac:dyDescent="0.25">
      <c r="A41" s="255" t="s">
        <v>264</v>
      </c>
      <c r="B41" s="504">
        <v>45231</v>
      </c>
      <c r="C41" s="256">
        <v>65000</v>
      </c>
      <c r="D41" s="256">
        <v>10000</v>
      </c>
      <c r="E41" s="256">
        <f t="shared" si="0"/>
        <v>75000</v>
      </c>
    </row>
    <row r="42" spans="1:7" ht="18" customHeight="1" x14ac:dyDescent="0.25">
      <c r="A42" s="255" t="s">
        <v>128</v>
      </c>
      <c r="B42" s="506"/>
      <c r="C42" s="256">
        <v>65000</v>
      </c>
      <c r="D42" s="256">
        <v>15000</v>
      </c>
      <c r="E42" s="256">
        <f t="shared" si="0"/>
        <v>80000</v>
      </c>
    </row>
    <row r="43" spans="1:7" ht="18" customHeight="1" x14ac:dyDescent="0.25">
      <c r="A43" s="255" t="s">
        <v>283</v>
      </c>
      <c r="B43" s="504">
        <v>45231</v>
      </c>
      <c r="C43" s="256">
        <v>30000</v>
      </c>
      <c r="D43" s="256">
        <v>5000</v>
      </c>
      <c r="E43" s="256">
        <f t="shared" si="0"/>
        <v>35000</v>
      </c>
    </row>
    <row r="44" spans="1:7" ht="18" customHeight="1" x14ac:dyDescent="0.25">
      <c r="A44" s="255" t="s">
        <v>284</v>
      </c>
      <c r="B44" s="505"/>
      <c r="C44" s="256">
        <v>27000</v>
      </c>
      <c r="D44" s="256">
        <v>8000</v>
      </c>
      <c r="E44" s="256">
        <f t="shared" si="0"/>
        <v>35000</v>
      </c>
      <c r="G44" s="13"/>
    </row>
    <row r="45" spans="1:7" ht="18" customHeight="1" x14ac:dyDescent="0.25">
      <c r="A45" s="255" t="s">
        <v>166</v>
      </c>
      <c r="B45" s="505"/>
      <c r="C45" s="256">
        <v>20000</v>
      </c>
      <c r="D45" s="256">
        <v>5000</v>
      </c>
      <c r="E45" s="256">
        <f t="shared" si="0"/>
        <v>25000</v>
      </c>
      <c r="G45" s="13"/>
    </row>
    <row r="46" spans="1:7" ht="18" customHeight="1" x14ac:dyDescent="0.25">
      <c r="A46" s="255" t="s">
        <v>285</v>
      </c>
      <c r="B46" s="505"/>
      <c r="C46" s="256">
        <v>21000</v>
      </c>
      <c r="D46" s="256">
        <v>6000</v>
      </c>
      <c r="E46" s="256">
        <f t="shared" si="0"/>
        <v>27000</v>
      </c>
      <c r="G46" s="13"/>
    </row>
    <row r="47" spans="1:7" ht="18" customHeight="1" x14ac:dyDescent="0.25">
      <c r="A47" s="255" t="s">
        <v>274</v>
      </c>
      <c r="B47" s="506"/>
      <c r="C47" s="256">
        <v>22000</v>
      </c>
      <c r="D47" s="256">
        <v>5000</v>
      </c>
      <c r="E47" s="256">
        <f t="shared" si="0"/>
        <v>27000</v>
      </c>
      <c r="G47" s="13"/>
    </row>
    <row r="48" spans="1:7" ht="18" customHeight="1" x14ac:dyDescent="0.25">
      <c r="A48" s="255" t="s">
        <v>280</v>
      </c>
      <c r="B48" s="504">
        <v>45292</v>
      </c>
      <c r="C48" s="259">
        <v>35000</v>
      </c>
      <c r="D48" s="259">
        <v>15000</v>
      </c>
      <c r="E48" s="259">
        <f t="shared" si="0"/>
        <v>50000</v>
      </c>
      <c r="G48" s="13"/>
    </row>
    <row r="49" spans="1:5" ht="18" customHeight="1" x14ac:dyDescent="0.25">
      <c r="A49" s="255" t="s">
        <v>286</v>
      </c>
      <c r="B49" s="505"/>
      <c r="C49" s="259">
        <v>35000</v>
      </c>
      <c r="D49" s="259">
        <v>10000</v>
      </c>
      <c r="E49" s="259">
        <f t="shared" si="0"/>
        <v>45000</v>
      </c>
    </row>
    <row r="50" spans="1:5" ht="18" customHeight="1" x14ac:dyDescent="0.25">
      <c r="A50" s="255" t="s">
        <v>287</v>
      </c>
      <c r="B50" s="505"/>
      <c r="C50" s="259">
        <v>35000</v>
      </c>
      <c r="D50" s="259">
        <v>10000</v>
      </c>
      <c r="E50" s="259">
        <f t="shared" si="0"/>
        <v>45000</v>
      </c>
    </row>
    <row r="51" spans="1:5" ht="18" customHeight="1" x14ac:dyDescent="0.25">
      <c r="A51" s="255" t="s">
        <v>288</v>
      </c>
      <c r="B51" s="505"/>
      <c r="C51" s="259">
        <v>25000</v>
      </c>
      <c r="D51" s="259">
        <v>7000</v>
      </c>
      <c r="E51" s="259">
        <f t="shared" si="0"/>
        <v>32000</v>
      </c>
    </row>
    <row r="52" spans="1:5" ht="18" customHeight="1" x14ac:dyDescent="0.25">
      <c r="A52" s="258" t="s">
        <v>289</v>
      </c>
      <c r="B52" s="504">
        <v>45292</v>
      </c>
      <c r="C52" s="259">
        <v>30000</v>
      </c>
      <c r="D52" s="259">
        <v>5000</v>
      </c>
      <c r="E52" s="259">
        <f t="shared" si="0"/>
        <v>35000</v>
      </c>
    </row>
    <row r="53" spans="1:5" ht="18" customHeight="1" x14ac:dyDescent="0.25">
      <c r="A53" s="258" t="s">
        <v>202</v>
      </c>
      <c r="B53" s="505"/>
      <c r="C53" s="259">
        <v>45000</v>
      </c>
      <c r="D53" s="259">
        <v>5000</v>
      </c>
      <c r="E53" s="259">
        <f t="shared" si="0"/>
        <v>50000</v>
      </c>
    </row>
    <row r="54" spans="1:5" ht="18" customHeight="1" x14ac:dyDescent="0.25">
      <c r="A54" s="258" t="s">
        <v>138</v>
      </c>
      <c r="B54" s="505"/>
      <c r="C54" s="259">
        <v>35000</v>
      </c>
      <c r="D54" s="259">
        <v>7000</v>
      </c>
      <c r="E54" s="259">
        <f t="shared" si="0"/>
        <v>42000</v>
      </c>
    </row>
    <row r="55" spans="1:5" ht="18" customHeight="1" x14ac:dyDescent="0.25">
      <c r="A55" s="255" t="s">
        <v>290</v>
      </c>
      <c r="B55" s="492">
        <v>45383</v>
      </c>
      <c r="C55" s="256">
        <v>65000</v>
      </c>
      <c r="D55" s="256">
        <v>10000</v>
      </c>
      <c r="E55" s="256">
        <f t="shared" si="0"/>
        <v>75000</v>
      </c>
    </row>
    <row r="56" spans="1:5" ht="18" customHeight="1" x14ac:dyDescent="0.25">
      <c r="A56" s="255" t="s">
        <v>291</v>
      </c>
      <c r="B56" s="493"/>
      <c r="C56" s="256">
        <v>40000</v>
      </c>
      <c r="D56" s="256">
        <v>10000</v>
      </c>
      <c r="E56" s="256">
        <f t="shared" si="0"/>
        <v>50000</v>
      </c>
    </row>
    <row r="57" spans="1:5" ht="18" customHeight="1" x14ac:dyDescent="0.25">
      <c r="A57" s="255" t="s">
        <v>220</v>
      </c>
      <c r="B57" s="493"/>
      <c r="C57" s="256">
        <v>60000</v>
      </c>
      <c r="D57" s="256">
        <v>10000</v>
      </c>
      <c r="E57" s="256">
        <f t="shared" si="0"/>
        <v>70000</v>
      </c>
    </row>
    <row r="58" spans="1:5" ht="18" customHeight="1" x14ac:dyDescent="0.25">
      <c r="A58" s="258" t="s">
        <v>292</v>
      </c>
      <c r="B58" s="493"/>
      <c r="C58" s="259">
        <v>60000</v>
      </c>
      <c r="D58" s="259">
        <v>10000</v>
      </c>
      <c r="E58" s="260">
        <f t="shared" si="0"/>
        <v>70000</v>
      </c>
    </row>
    <row r="59" spans="1:5" ht="18" customHeight="1" x14ac:dyDescent="0.25">
      <c r="A59" s="384" t="s">
        <v>293</v>
      </c>
      <c r="B59" s="494">
        <v>45413</v>
      </c>
      <c r="C59" s="385">
        <v>41000</v>
      </c>
      <c r="D59" s="385">
        <v>5000</v>
      </c>
      <c r="E59" s="385">
        <f t="shared" si="0"/>
        <v>46000</v>
      </c>
    </row>
    <row r="60" spans="1:5" ht="18" customHeight="1" x14ac:dyDescent="0.25">
      <c r="A60" s="384" t="s">
        <v>294</v>
      </c>
      <c r="B60" s="495"/>
      <c r="C60" s="385">
        <v>45000</v>
      </c>
      <c r="D60" s="385">
        <v>7000</v>
      </c>
      <c r="E60" s="385">
        <f t="shared" si="0"/>
        <v>52000</v>
      </c>
    </row>
    <row r="61" spans="1:5" ht="18" customHeight="1" x14ac:dyDescent="0.25">
      <c r="A61" s="384" t="s">
        <v>262</v>
      </c>
      <c r="B61" s="495"/>
      <c r="C61" s="385">
        <v>37500</v>
      </c>
      <c r="D61" s="385">
        <v>5000</v>
      </c>
      <c r="E61" s="385">
        <f t="shared" si="0"/>
        <v>42500</v>
      </c>
    </row>
    <row r="62" spans="1:5" ht="18" customHeight="1" x14ac:dyDescent="0.25">
      <c r="A62" s="384" t="s">
        <v>295</v>
      </c>
      <c r="B62" s="495"/>
      <c r="C62" s="385">
        <v>22000</v>
      </c>
      <c r="D62" s="385">
        <v>3000</v>
      </c>
      <c r="E62" s="385">
        <f t="shared" si="0"/>
        <v>25000</v>
      </c>
    </row>
    <row r="63" spans="1:5" ht="18" customHeight="1" x14ac:dyDescent="0.25">
      <c r="A63" s="384" t="s">
        <v>192</v>
      </c>
      <c r="B63" s="495"/>
      <c r="C63" s="385">
        <v>35000</v>
      </c>
      <c r="D63" s="385">
        <v>5000</v>
      </c>
      <c r="E63" s="385">
        <f t="shared" si="0"/>
        <v>40000</v>
      </c>
    </row>
    <row r="64" spans="1:5" ht="18" customHeight="1" x14ac:dyDescent="0.25">
      <c r="A64" s="384" t="s">
        <v>296</v>
      </c>
      <c r="B64" s="495"/>
      <c r="C64" s="385">
        <v>43000</v>
      </c>
      <c r="D64" s="385">
        <v>17000</v>
      </c>
      <c r="E64" s="385">
        <f t="shared" si="0"/>
        <v>60000</v>
      </c>
    </row>
    <row r="65" spans="1:5" ht="18" customHeight="1" x14ac:dyDescent="0.25">
      <c r="A65" s="384" t="s">
        <v>275</v>
      </c>
      <c r="B65" s="495"/>
      <c r="C65" s="385">
        <v>30000</v>
      </c>
      <c r="D65" s="385">
        <v>4000</v>
      </c>
      <c r="E65" s="385">
        <f t="shared" si="0"/>
        <v>34000</v>
      </c>
    </row>
    <row r="66" spans="1:5" ht="18" customHeight="1" x14ac:dyDescent="0.25">
      <c r="A66" s="384" t="s">
        <v>291</v>
      </c>
      <c r="B66" s="489">
        <v>45444</v>
      </c>
      <c r="C66" s="385">
        <v>50000</v>
      </c>
      <c r="D66" s="385">
        <v>5000</v>
      </c>
      <c r="E66" s="385">
        <f t="shared" si="0"/>
        <v>55000</v>
      </c>
    </row>
    <row r="67" spans="1:5" ht="18" customHeight="1" x14ac:dyDescent="0.25">
      <c r="A67" s="384" t="s">
        <v>297</v>
      </c>
      <c r="B67" s="490"/>
      <c r="C67" s="385">
        <v>27000</v>
      </c>
      <c r="D67" s="385">
        <v>4000</v>
      </c>
      <c r="E67" s="385">
        <f t="shared" si="0"/>
        <v>31000</v>
      </c>
    </row>
    <row r="68" spans="1:5" ht="18" customHeight="1" x14ac:dyDescent="0.25">
      <c r="A68" s="384" t="s">
        <v>283</v>
      </c>
      <c r="B68" s="490"/>
      <c r="C68" s="385">
        <v>35000</v>
      </c>
      <c r="D68" s="385">
        <v>5000</v>
      </c>
      <c r="E68" s="385">
        <f t="shared" si="0"/>
        <v>40000</v>
      </c>
    </row>
    <row r="69" spans="1:5" ht="18" customHeight="1" x14ac:dyDescent="0.25">
      <c r="A69" s="384" t="s">
        <v>144</v>
      </c>
      <c r="B69" s="490"/>
      <c r="C69" s="385">
        <v>50000</v>
      </c>
      <c r="D69" s="385">
        <v>5000</v>
      </c>
      <c r="E69" s="385">
        <f t="shared" si="0"/>
        <v>55000</v>
      </c>
    </row>
    <row r="70" spans="1:5" ht="18" customHeight="1" x14ac:dyDescent="0.25">
      <c r="A70" s="387" t="s">
        <v>298</v>
      </c>
      <c r="B70" s="490"/>
      <c r="C70" s="385">
        <v>47000</v>
      </c>
      <c r="D70" s="385">
        <v>5000</v>
      </c>
      <c r="E70" s="385">
        <f t="shared" si="0"/>
        <v>52000</v>
      </c>
    </row>
    <row r="71" spans="1:5" ht="18" customHeight="1" x14ac:dyDescent="0.25">
      <c r="A71" s="387" t="s">
        <v>272</v>
      </c>
      <c r="B71" s="490"/>
      <c r="C71" s="385">
        <v>26500</v>
      </c>
      <c r="D71" s="385">
        <v>3500</v>
      </c>
      <c r="E71" s="385">
        <f t="shared" si="0"/>
        <v>30000</v>
      </c>
    </row>
    <row r="72" spans="1:5" ht="18" customHeight="1" x14ac:dyDescent="0.25">
      <c r="A72" s="387" t="s">
        <v>273</v>
      </c>
      <c r="B72" s="490"/>
      <c r="C72" s="385">
        <v>26500</v>
      </c>
      <c r="D72" s="385">
        <v>3500</v>
      </c>
      <c r="E72" s="385">
        <f t="shared" si="0"/>
        <v>30000</v>
      </c>
    </row>
    <row r="73" spans="1:5" ht="18" customHeight="1" x14ac:dyDescent="0.25">
      <c r="A73" s="387" t="s">
        <v>271</v>
      </c>
      <c r="B73" s="491"/>
      <c r="C73" s="385">
        <v>31500</v>
      </c>
      <c r="D73" s="385">
        <v>3000</v>
      </c>
      <c r="E73" s="385">
        <f t="shared" si="0"/>
        <v>34500</v>
      </c>
    </row>
    <row r="74" spans="1:5" ht="18" customHeight="1" x14ac:dyDescent="0.25">
      <c r="A74" s="387" t="s">
        <v>309</v>
      </c>
      <c r="B74" s="487">
        <v>45497</v>
      </c>
      <c r="C74" s="385">
        <v>25000</v>
      </c>
      <c r="D74" s="385">
        <v>3000</v>
      </c>
      <c r="E74" s="385">
        <f t="shared" si="0"/>
        <v>28000</v>
      </c>
    </row>
    <row r="75" spans="1:5" ht="12.75" customHeight="1" x14ac:dyDescent="0.25">
      <c r="A75" s="389" t="s">
        <v>187</v>
      </c>
      <c r="B75" s="488"/>
      <c r="C75" s="385">
        <v>29500</v>
      </c>
      <c r="D75" s="385">
        <v>2000</v>
      </c>
      <c r="E75" s="385">
        <f t="shared" si="0"/>
        <v>31500</v>
      </c>
    </row>
    <row r="76" spans="1:5" ht="12.75" customHeight="1" x14ac:dyDescent="0.25">
      <c r="A76" s="389" t="s">
        <v>312</v>
      </c>
      <c r="B76" s="488"/>
      <c r="C76" s="385">
        <v>80000</v>
      </c>
      <c r="D76" s="385">
        <v>10000</v>
      </c>
      <c r="E76" s="385">
        <f t="shared" si="0"/>
        <v>90000</v>
      </c>
    </row>
    <row r="77" spans="1:5" ht="12.75" customHeight="1" x14ac:dyDescent="0.25">
      <c r="A77" s="389" t="s">
        <v>268</v>
      </c>
      <c r="B77" s="488"/>
      <c r="C77" s="385">
        <v>26000</v>
      </c>
      <c r="D77" s="385">
        <v>4000</v>
      </c>
      <c r="E77" s="385">
        <f t="shared" si="0"/>
        <v>30000</v>
      </c>
    </row>
    <row r="78" spans="1:5" ht="12.75" customHeight="1" x14ac:dyDescent="0.25">
      <c r="A78" s="508" t="s">
        <v>314</v>
      </c>
      <c r="B78" s="507">
        <v>45505</v>
      </c>
      <c r="C78" s="385">
        <v>25000</v>
      </c>
      <c r="D78" s="385">
        <v>3000</v>
      </c>
      <c r="E78" s="385">
        <f t="shared" si="0"/>
        <v>28000</v>
      </c>
    </row>
    <row r="79" spans="1:5" ht="12.75" customHeight="1" x14ac:dyDescent="0.2">
      <c r="B79" s="386"/>
      <c r="C79" s="385"/>
      <c r="D79" s="385"/>
      <c r="E79" s="385"/>
    </row>
    <row r="80" spans="1:5" ht="12.75" customHeight="1" x14ac:dyDescent="0.2">
      <c r="B80" s="386"/>
      <c r="C80" s="385"/>
      <c r="D80" s="385"/>
      <c r="E80" s="385"/>
    </row>
    <row r="81" spans="3:5" ht="12.75" customHeight="1" x14ac:dyDescent="0.2">
      <c r="C81" s="385"/>
      <c r="D81" s="385"/>
      <c r="E81" s="385"/>
    </row>
    <row r="82" spans="3:5" ht="12.75" customHeight="1" x14ac:dyDescent="0.2">
      <c r="C82" s="385"/>
      <c r="D82" s="385"/>
      <c r="E82" s="385"/>
    </row>
    <row r="83" spans="3:5" ht="12.75" customHeight="1" x14ac:dyDescent="0.2">
      <c r="C83" s="385"/>
      <c r="D83" s="385"/>
      <c r="E83" s="385"/>
    </row>
    <row r="84" spans="3:5" ht="12.75" customHeight="1" x14ac:dyDescent="0.2">
      <c r="C84" s="385"/>
      <c r="D84" s="385"/>
      <c r="E84" s="385"/>
    </row>
    <row r="85" spans="3:5" ht="12.75" customHeight="1" x14ac:dyDescent="0.2">
      <c r="C85" s="385"/>
      <c r="D85" s="385"/>
      <c r="E85" s="385"/>
    </row>
    <row r="86" spans="3:5" ht="12.75" customHeight="1" x14ac:dyDescent="0.2">
      <c r="C86" s="385"/>
      <c r="D86" s="385"/>
      <c r="E86" s="385"/>
    </row>
    <row r="87" spans="3:5" ht="12.75" customHeight="1" x14ac:dyDescent="0.2">
      <c r="C87" s="385"/>
      <c r="D87" s="385"/>
      <c r="E87" s="385"/>
    </row>
    <row r="88" spans="3:5" ht="12.75" customHeight="1" x14ac:dyDescent="0.2">
      <c r="C88" s="385"/>
      <c r="D88" s="385"/>
      <c r="E88" s="385"/>
    </row>
    <row r="89" spans="3:5" ht="12.75" customHeight="1" x14ac:dyDescent="0.2">
      <c r="C89" s="385"/>
      <c r="D89" s="385"/>
      <c r="E89" s="385"/>
    </row>
    <row r="90" spans="3:5" ht="12.75" customHeight="1" x14ac:dyDescent="0.2">
      <c r="C90" s="385"/>
      <c r="D90" s="385"/>
      <c r="E90" s="385"/>
    </row>
    <row r="91" spans="3:5" ht="12.75" customHeight="1" x14ac:dyDescent="0.2">
      <c r="C91" s="385"/>
      <c r="D91" s="385"/>
      <c r="E91" s="385"/>
    </row>
    <row r="92" spans="3:5" ht="12.75" customHeight="1" x14ac:dyDescent="0.2">
      <c r="C92" s="385"/>
      <c r="D92" s="385"/>
      <c r="E92" s="385"/>
    </row>
    <row r="93" spans="3:5" ht="12.75" customHeight="1" x14ac:dyDescent="0.2">
      <c r="C93" s="385"/>
      <c r="D93" s="385"/>
      <c r="E93" s="385"/>
    </row>
    <row r="94" spans="3:5" ht="12.75" customHeight="1" x14ac:dyDescent="0.2">
      <c r="C94" s="385"/>
      <c r="D94" s="385"/>
      <c r="E94" s="385"/>
    </row>
    <row r="95" spans="3:5" ht="12.75" customHeight="1" x14ac:dyDescent="0.2">
      <c r="C95" s="385"/>
      <c r="D95" s="385"/>
      <c r="E95" s="385"/>
    </row>
    <row r="96" spans="3:5" ht="12.75" customHeight="1" x14ac:dyDescent="0.2">
      <c r="C96" s="385"/>
      <c r="D96" s="385"/>
      <c r="E96" s="385"/>
    </row>
    <row r="97" spans="3:5" ht="12.75" customHeight="1" x14ac:dyDescent="0.2">
      <c r="C97" s="385"/>
      <c r="D97" s="385"/>
      <c r="E97" s="385"/>
    </row>
    <row r="98" spans="3:5" ht="12.75" customHeight="1" x14ac:dyDescent="0.2">
      <c r="C98" s="385"/>
      <c r="D98" s="385"/>
      <c r="E98" s="385"/>
    </row>
    <row r="99" spans="3:5" ht="12.75" customHeight="1" x14ac:dyDescent="0.2">
      <c r="C99" s="385"/>
      <c r="D99" s="385"/>
      <c r="E99" s="385"/>
    </row>
    <row r="100" spans="3:5" ht="12.75" customHeight="1" x14ac:dyDescent="0.2">
      <c r="C100" s="385"/>
      <c r="D100" s="385"/>
      <c r="E100" s="385"/>
    </row>
    <row r="101" spans="3:5" ht="12.75" customHeight="1" x14ac:dyDescent="0.2">
      <c r="C101" s="385"/>
      <c r="D101" s="385"/>
      <c r="E101" s="385"/>
    </row>
    <row r="102" spans="3:5" ht="12.75" customHeight="1" x14ac:dyDescent="0.2">
      <c r="C102" s="385"/>
      <c r="D102" s="385"/>
      <c r="E102" s="385"/>
    </row>
    <row r="103" spans="3:5" ht="12.75" customHeight="1" x14ac:dyDescent="0.2">
      <c r="C103" s="385"/>
      <c r="D103" s="385"/>
      <c r="E103" s="385"/>
    </row>
    <row r="104" spans="3:5" ht="12.75" customHeight="1" x14ac:dyDescent="0.2">
      <c r="C104" s="385"/>
      <c r="D104" s="385"/>
      <c r="E104" s="385"/>
    </row>
    <row r="105" spans="3:5" ht="12.75" customHeight="1" x14ac:dyDescent="0.2">
      <c r="C105" s="385"/>
      <c r="D105" s="385"/>
      <c r="E105" s="385"/>
    </row>
    <row r="106" spans="3:5" ht="12.75" customHeight="1" x14ac:dyDescent="0.2">
      <c r="C106" s="385"/>
      <c r="D106" s="385"/>
      <c r="E106" s="385"/>
    </row>
    <row r="107" spans="3:5" ht="12.75" customHeight="1" x14ac:dyDescent="0.2">
      <c r="C107" s="385"/>
      <c r="D107" s="385"/>
      <c r="E107" s="385"/>
    </row>
    <row r="108" spans="3:5" ht="12.75" customHeight="1" x14ac:dyDescent="0.2">
      <c r="C108" s="385"/>
      <c r="D108" s="385"/>
      <c r="E108" s="385"/>
    </row>
    <row r="109" spans="3:5" ht="12.75" customHeight="1" x14ac:dyDescent="0.2">
      <c r="C109" s="385"/>
      <c r="D109" s="385"/>
      <c r="E109" s="385"/>
    </row>
    <row r="110" spans="3:5" ht="12.75" customHeight="1" x14ac:dyDescent="0.2">
      <c r="C110" s="385"/>
      <c r="D110" s="385"/>
      <c r="E110" s="385"/>
    </row>
    <row r="111" spans="3:5" ht="12.75" customHeight="1" x14ac:dyDescent="0.2">
      <c r="C111" s="385"/>
      <c r="D111" s="385"/>
      <c r="E111" s="385"/>
    </row>
    <row r="112" spans="3:5" ht="12.75" customHeight="1" x14ac:dyDescent="0.2">
      <c r="C112" s="385"/>
      <c r="D112" s="385"/>
      <c r="E112" s="385"/>
    </row>
    <row r="113" spans="3:5" ht="12.75" customHeight="1" x14ac:dyDescent="0.2">
      <c r="C113" s="385"/>
      <c r="D113" s="385"/>
      <c r="E113" s="385"/>
    </row>
    <row r="114" spans="3:5" ht="12.75" customHeight="1" x14ac:dyDescent="0.2">
      <c r="C114" s="385"/>
      <c r="D114" s="385"/>
      <c r="E114" s="385"/>
    </row>
    <row r="115" spans="3:5" ht="12.75" customHeight="1" x14ac:dyDescent="0.2">
      <c r="C115" s="385"/>
      <c r="D115" s="385"/>
      <c r="E115" s="385"/>
    </row>
    <row r="116" spans="3:5" ht="12.75" customHeight="1" x14ac:dyDescent="0.2">
      <c r="C116" s="385"/>
      <c r="D116" s="385"/>
      <c r="E116" s="385"/>
    </row>
    <row r="117" spans="3:5" ht="12.75" customHeight="1" x14ac:dyDescent="0.2">
      <c r="C117" s="385"/>
      <c r="D117" s="385"/>
      <c r="E117" s="385"/>
    </row>
    <row r="118" spans="3:5" ht="12.75" customHeight="1" x14ac:dyDescent="0.2">
      <c r="C118" s="385"/>
      <c r="D118" s="385"/>
      <c r="E118" s="385"/>
    </row>
    <row r="119" spans="3:5" ht="12.75" customHeight="1" x14ac:dyDescent="0.2">
      <c r="C119" s="385"/>
      <c r="D119" s="385"/>
      <c r="E119" s="385"/>
    </row>
    <row r="120" spans="3:5" ht="12.75" customHeight="1" x14ac:dyDescent="0.2">
      <c r="C120" s="385"/>
      <c r="D120" s="385"/>
      <c r="E120" s="385"/>
    </row>
    <row r="121" spans="3:5" ht="12.75" customHeight="1" x14ac:dyDescent="0.2">
      <c r="C121" s="385"/>
      <c r="D121" s="385"/>
      <c r="E121" s="385"/>
    </row>
    <row r="122" spans="3:5" ht="12.75" customHeight="1" x14ac:dyDescent="0.2">
      <c r="C122" s="385"/>
      <c r="D122" s="385"/>
      <c r="E122" s="385"/>
    </row>
    <row r="123" spans="3:5" ht="12.75" customHeight="1" x14ac:dyDescent="0.2">
      <c r="C123" s="385"/>
      <c r="D123" s="385"/>
      <c r="E123" s="385"/>
    </row>
    <row r="124" spans="3:5" ht="12.75" customHeight="1" x14ac:dyDescent="0.2">
      <c r="C124" s="385"/>
      <c r="D124" s="385"/>
      <c r="E124" s="385"/>
    </row>
    <row r="125" spans="3:5" ht="12.75" customHeight="1" x14ac:dyDescent="0.2">
      <c r="C125" s="385"/>
      <c r="D125" s="385"/>
      <c r="E125" s="385"/>
    </row>
    <row r="126" spans="3:5" ht="12.75" customHeight="1" x14ac:dyDescent="0.2">
      <c r="C126" s="385"/>
      <c r="D126" s="385"/>
      <c r="E126" s="385"/>
    </row>
    <row r="127" spans="3:5" ht="12.75" customHeight="1" x14ac:dyDescent="0.2">
      <c r="C127" s="385"/>
      <c r="D127" s="385"/>
      <c r="E127" s="385"/>
    </row>
    <row r="128" spans="3:5" ht="12.75" customHeight="1" x14ac:dyDescent="0.2">
      <c r="C128" s="385"/>
      <c r="D128" s="385"/>
      <c r="E128" s="385"/>
    </row>
    <row r="129" spans="3:5" ht="12.75" customHeight="1" x14ac:dyDescent="0.2">
      <c r="C129" s="385"/>
      <c r="D129" s="385"/>
      <c r="E129" s="385"/>
    </row>
    <row r="130" spans="3:5" ht="12.75" customHeight="1" x14ac:dyDescent="0.2">
      <c r="C130" s="385"/>
      <c r="D130" s="385"/>
      <c r="E130" s="385"/>
    </row>
    <row r="131" spans="3:5" ht="12.75" customHeight="1" x14ac:dyDescent="0.2"/>
    <row r="132" spans="3:5" ht="12.75" customHeight="1" x14ac:dyDescent="0.2"/>
    <row r="133" spans="3:5" ht="12.75" customHeight="1" x14ac:dyDescent="0.2"/>
    <row r="134" spans="3:5" ht="12.75" customHeight="1" x14ac:dyDescent="0.2"/>
    <row r="135" spans="3:5" ht="12.75" customHeight="1" x14ac:dyDescent="0.2"/>
    <row r="136" spans="3:5" ht="12.75" customHeight="1" x14ac:dyDescent="0.2"/>
    <row r="137" spans="3:5" ht="12.75" customHeight="1" x14ac:dyDescent="0.2"/>
    <row r="138" spans="3:5" ht="12.75" customHeight="1" x14ac:dyDescent="0.2"/>
    <row r="139" spans="3:5" ht="12.75" customHeight="1" x14ac:dyDescent="0.2"/>
    <row r="140" spans="3:5" ht="12.75" customHeight="1" x14ac:dyDescent="0.2"/>
    <row r="141" spans="3:5" ht="12.75" customHeight="1" x14ac:dyDescent="0.2"/>
    <row r="142" spans="3:5" ht="12.75" customHeight="1" x14ac:dyDescent="0.2"/>
    <row r="143" spans="3:5" ht="12.75" customHeight="1" x14ac:dyDescent="0.2"/>
    <row r="144" spans="3:5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2:E2" xr:uid="{00000000-0009-0000-0000-000003000000}"/>
  <mergeCells count="16">
    <mergeCell ref="B74:B77"/>
    <mergeCell ref="B66:B73"/>
    <mergeCell ref="B55:B58"/>
    <mergeCell ref="B59:B65"/>
    <mergeCell ref="A1:E1"/>
    <mergeCell ref="B3:B6"/>
    <mergeCell ref="B7:B14"/>
    <mergeCell ref="B15:B18"/>
    <mergeCell ref="B19:B21"/>
    <mergeCell ref="B23:B26"/>
    <mergeCell ref="B27:B30"/>
    <mergeCell ref="B31:B40"/>
    <mergeCell ref="B41:B42"/>
    <mergeCell ref="B43:B47"/>
    <mergeCell ref="B48:B51"/>
    <mergeCell ref="B52:B5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Salary Sheets</vt:lpstr>
      <vt:lpstr>Salary Record</vt:lpstr>
      <vt:lpstr>Salary summary</vt:lpstr>
      <vt:lpstr>Salary increment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2024-08-31T10:35:10Z</cp:lastPrinted>
  <dcterms:created xsi:type="dcterms:W3CDTF">2007-01-04T05:01:09Z</dcterms:created>
  <dcterms:modified xsi:type="dcterms:W3CDTF">2024-08-31T10:37:10Z</dcterms:modified>
</cp:coreProperties>
</file>