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57B9831-DB5A-4CA1-AACF-9C67F772686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Posting!$A$1:$P$18925</definedName>
    <definedName name="_xlnm._FilterDatabase" localSheetId="5" hidden="1">Supplier!$A$1:$XFC$3678</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4" r:id="rId28"/>
    <pivotCache cacheId="5" r:id="rId29"/>
  </pivotCaches>
</workbook>
</file>

<file path=xl/calcChain.xml><?xml version="1.0" encoding="utf-8"?>
<calcChain xmlns="http://schemas.openxmlformats.org/spreadsheetml/2006/main">
  <c r="G18909" i="1" l="1"/>
  <c r="G18902" i="1"/>
  <c r="G18903" i="1"/>
  <c r="G18904" i="1"/>
  <c r="G18905" i="1"/>
  <c r="G18906" i="1"/>
  <c r="G18907" i="1"/>
  <c r="G18908" i="1"/>
  <c r="G18901" i="1"/>
  <c r="G18900" i="1"/>
  <c r="G18925" i="1"/>
  <c r="G18896" i="1"/>
  <c r="G18897" i="1"/>
  <c r="G18898" i="1"/>
  <c r="G18899" i="1"/>
  <c r="G18894" i="1"/>
  <c r="G18895" i="1"/>
  <c r="G18893" i="1"/>
  <c r="G18892" i="1"/>
  <c r="G18891"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17" i="1" l="1"/>
  <c r="G18916" i="1"/>
  <c r="G18915" i="1"/>
  <c r="G18814" i="1"/>
  <c r="G18813" i="1"/>
  <c r="G18864" i="1"/>
  <c r="G18863" i="1"/>
  <c r="G18862" i="1"/>
  <c r="G18852" i="1"/>
  <c r="G18853" i="1"/>
  <c r="G18854" i="1"/>
  <c r="G18855" i="1"/>
  <c r="G18856" i="1"/>
  <c r="G18857" i="1"/>
  <c r="G18858" i="1"/>
  <c r="G18859" i="1"/>
  <c r="G18860" i="1"/>
  <c r="G18861" i="1"/>
  <c r="G18851" i="1"/>
  <c r="G18850" i="1"/>
  <c r="G18849" i="1"/>
  <c r="G18848" i="1"/>
  <c r="G3677" i="2"/>
  <c r="G3666" i="2"/>
  <c r="G3665" i="2"/>
  <c r="G3659" i="2"/>
  <c r="G3658" i="2"/>
  <c r="G3415" i="2"/>
  <c r="G3676" i="2"/>
  <c r="G3289" i="2"/>
  <c r="G3664" i="2"/>
  <c r="G3671" i="2"/>
  <c r="G3609" i="2"/>
  <c r="G18845" i="1" l="1"/>
  <c r="G18683" i="1"/>
  <c r="G18684" i="1"/>
  <c r="G18685" i="1"/>
  <c r="G18686" i="1"/>
  <c r="G18687" i="1"/>
  <c r="G18405" i="1"/>
  <c r="G18379" i="1"/>
  <c r="G18380" i="1"/>
  <c r="G18381" i="1"/>
  <c r="G18382" i="1"/>
  <c r="G18383" i="1"/>
  <c r="G18914" i="1" l="1"/>
  <c r="G18924" i="1"/>
  <c r="G18923" i="1"/>
  <c r="G18922" i="1"/>
  <c r="G18921" i="1"/>
  <c r="G18847" i="1" l="1"/>
  <c r="G18846" i="1"/>
  <c r="G18844" i="1"/>
  <c r="G18843" i="1"/>
  <c r="G18839" i="1"/>
  <c r="G18840" i="1"/>
  <c r="G18841" i="1"/>
  <c r="G18842" i="1"/>
  <c r="G18838" i="1"/>
  <c r="G18837" i="1"/>
  <c r="G18836" i="1"/>
  <c r="G18835" i="1"/>
  <c r="G18823" i="1"/>
  <c r="G18920" i="1" l="1"/>
  <c r="G18759" i="1"/>
  <c r="G18829" i="1"/>
  <c r="G18830" i="1"/>
  <c r="G18831" i="1"/>
  <c r="G18832" i="1"/>
  <c r="G18833" i="1"/>
  <c r="G18834" i="1"/>
  <c r="G18825" i="1"/>
  <c r="G18826" i="1"/>
  <c r="G18827" i="1"/>
  <c r="G18828" i="1"/>
  <c r="G18706" i="1"/>
  <c r="G18707" i="1"/>
  <c r="G18708" i="1"/>
  <c r="G18709" i="1"/>
  <c r="G3678" i="2"/>
  <c r="G3674" i="2"/>
  <c r="G3648" i="2"/>
  <c r="G3625" i="2"/>
  <c r="G3645" i="2"/>
  <c r="M10" i="33"/>
  <c r="E10" i="33"/>
  <c r="G18919" i="1"/>
  <c r="G3663"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5" i="2"/>
  <c r="G3670" i="2"/>
  <c r="G3669" i="2"/>
  <c r="G3651" i="2"/>
  <c r="E12" i="40" l="1"/>
  <c r="G3673" i="2"/>
  <c r="G3662" i="2"/>
  <c r="G3661" i="2"/>
  <c r="G3672" i="2"/>
  <c r="G18913" i="1"/>
  <c r="G18918" i="1"/>
  <c r="G18912" i="1"/>
  <c r="G18911" i="1"/>
  <c r="G18910" i="1"/>
  <c r="C15" i="3"/>
  <c r="B15" i="3"/>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8" i="2"/>
  <c r="G18723" i="1"/>
  <c r="G18721" i="1"/>
  <c r="G18722" i="1"/>
  <c r="G3646" i="2"/>
  <c r="G3636" i="2"/>
  <c r="G3642" i="2"/>
  <c r="G3643" i="2"/>
  <c r="G3644" i="2"/>
  <c r="G3647" i="2"/>
  <c r="G3638" i="2"/>
  <c r="G3637" i="2"/>
  <c r="G3630" i="2"/>
  <c r="G3640" i="2"/>
  <c r="G3639" i="2"/>
  <c r="G3635" i="2"/>
  <c r="G3634" i="2"/>
  <c r="G3633" i="2"/>
  <c r="G3632" i="2"/>
  <c r="G3660" i="2"/>
  <c r="G18770" i="1" l="1"/>
  <c r="G18666" i="1"/>
  <c r="G3667" i="2"/>
  <c r="G18720" i="1"/>
  <c r="G18719" i="1"/>
  <c r="G18681" i="1"/>
  <c r="G18682" i="1"/>
  <c r="G18717" i="1"/>
  <c r="G18718" i="1"/>
  <c r="G18680" i="1"/>
  <c r="G18679" i="1"/>
  <c r="G18678" i="1"/>
  <c r="G18677" i="1"/>
  <c r="G18676" i="1"/>
  <c r="G18675" i="1"/>
  <c r="G18669" i="1"/>
  <c r="G18670" i="1"/>
  <c r="G18671" i="1"/>
  <c r="G3656" i="2"/>
  <c r="G3655" i="2"/>
  <c r="G3654" i="2"/>
  <c r="G3653" i="2"/>
  <c r="G18668" i="1"/>
  <c r="G18634" i="1"/>
  <c r="G18786" i="1" l="1"/>
  <c r="G18656" i="1"/>
  <c r="G18470" i="1"/>
  <c r="G18769" i="1"/>
  <c r="G18768" i="1"/>
  <c r="G18767" i="1"/>
  <c r="G18766" i="1"/>
  <c r="G3657" i="2"/>
  <c r="G18765" i="1"/>
  <c r="G18764" i="1"/>
  <c r="G18763" i="1"/>
  <c r="G18674" i="1"/>
  <c r="G18673" i="1"/>
  <c r="G18672" i="1"/>
  <c r="G3652" i="2"/>
  <c r="G18667" i="1"/>
  <c r="G18663" i="1"/>
  <c r="G18664" i="1"/>
  <c r="G18665" i="1"/>
  <c r="G18657" i="1"/>
  <c r="G18658" i="1"/>
  <c r="G18659" i="1"/>
  <c r="G18660" i="1"/>
  <c r="G18661" i="1"/>
  <c r="G18662" i="1"/>
  <c r="G18654" i="1"/>
  <c r="G18655" i="1"/>
  <c r="G3650" i="2"/>
  <c r="G3649"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1"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31"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9" i="2"/>
  <c r="G3628" i="2"/>
  <c r="G3620" i="2"/>
  <c r="G3592" i="2"/>
  <c r="G3364" i="2"/>
  <c r="G3512" i="2"/>
  <c r="G3103" i="2"/>
  <c r="G3559" i="2"/>
  <c r="G3439" i="2"/>
  <c r="G3416" i="2"/>
  <c r="G3363" i="2"/>
  <c r="G3362" i="2"/>
  <c r="G3335" i="2"/>
  <c r="G3352" i="2"/>
  <c r="G3538" i="2"/>
  <c r="G3591" i="2"/>
  <c r="G3515" i="2"/>
  <c r="G3526" i="2"/>
  <c r="G3615" i="2"/>
  <c r="G3604" i="2"/>
  <c r="G3603" i="2"/>
  <c r="G3611" i="2"/>
  <c r="G3607" i="2"/>
  <c r="G3606" i="2"/>
  <c r="G3597" i="2"/>
  <c r="G3583" i="2"/>
  <c r="G3580" i="2"/>
  <c r="G3579" i="2"/>
  <c r="G3563" i="2"/>
  <c r="G3562" i="2"/>
  <c r="G3539" i="2"/>
  <c r="G3623" i="2"/>
  <c r="G3619" i="2"/>
  <c r="G3612" i="2" l="1"/>
  <c r="G3613" i="2"/>
  <c r="G3614" i="2"/>
  <c r="G3616" i="2"/>
  <c r="G18562" i="1"/>
  <c r="G18560" i="1"/>
  <c r="G18561" i="1"/>
  <c r="G18559" i="1"/>
  <c r="G3627"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6" i="2"/>
  <c r="G18534" i="1"/>
  <c r="G3624"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22" i="2"/>
  <c r="G3621"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90" i="2"/>
  <c r="G3589" i="2"/>
  <c r="G3588" i="2"/>
  <c r="G3578" i="2"/>
  <c r="G3602" i="2"/>
  <c r="G3608" i="2"/>
  <c r="G3617" i="2"/>
  <c r="G3618" i="2"/>
  <c r="G3605" i="2"/>
  <c r="G18772" i="1"/>
  <c r="G18773" i="1"/>
  <c r="G18774" i="1"/>
  <c r="G18775" i="1"/>
  <c r="C13" i="3"/>
  <c r="G18416" i="1" l="1"/>
  <c r="G18417" i="1"/>
  <c r="G18418" i="1"/>
  <c r="G18419" i="1"/>
  <c r="G18420" i="1"/>
  <c r="G18421" i="1"/>
  <c r="G18415" i="1"/>
  <c r="G18414" i="1"/>
  <c r="G3610" i="2"/>
  <c r="G18413" i="1" l="1"/>
  <c r="G18412" i="1"/>
  <c r="G18410" i="1"/>
  <c r="G18411" i="1"/>
  <c r="G18409" i="1"/>
  <c r="G18374" i="1"/>
  <c r="G18375" i="1"/>
  <c r="G18376" i="1"/>
  <c r="G18377" i="1"/>
  <c r="G18378" i="1"/>
  <c r="G18407" i="1"/>
  <c r="G18408" i="1"/>
  <c r="G18373" i="1"/>
  <c r="G18372" i="1"/>
  <c r="G3600" i="2"/>
  <c r="G3601" i="2"/>
  <c r="G3599"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8" i="2"/>
  <c r="G18340" i="1" l="1"/>
  <c r="G359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5" i="2"/>
  <c r="G18369" i="1"/>
  <c r="G18315" i="1"/>
  <c r="G18316" i="1"/>
  <c r="G18317" i="1"/>
  <c r="G18313" i="1"/>
  <c r="G18314" i="1"/>
  <c r="G3594" i="2"/>
  <c r="G3593" i="2"/>
  <c r="G18312" i="1"/>
  <c r="G18309" i="1"/>
  <c r="G18310" i="1"/>
  <c r="G18311" i="1"/>
  <c r="G3582" i="2"/>
  <c r="G3581" i="2"/>
  <c r="G3574" i="2"/>
  <c r="G3577" i="2"/>
  <c r="G3576" i="2"/>
  <c r="G18159" i="1"/>
  <c r="G18160" i="1"/>
  <c r="G18161" i="1"/>
  <c r="G18162" i="1"/>
  <c r="G18163" i="1"/>
  <c r="G18164" i="1"/>
  <c r="G18165" i="1"/>
  <c r="G18166" i="1"/>
  <c r="G18167" i="1"/>
  <c r="G18168" i="1"/>
  <c r="G3528" i="2"/>
  <c r="G3529" i="2"/>
  <c r="G3530" i="2"/>
  <c r="G3531" i="2"/>
  <c r="G3532" i="2"/>
  <c r="G3533" i="2"/>
  <c r="G3534" i="2"/>
  <c r="G3535" i="2"/>
  <c r="G3536" i="2"/>
  <c r="G3537" i="2"/>
  <c r="G18458" i="1" l="1"/>
  <c r="G18460" i="1"/>
  <c r="G18075" i="1"/>
  <c r="G18059" i="1"/>
  <c r="G18290" i="1" l="1"/>
  <c r="G18289" i="1"/>
  <c r="G18287" i="1"/>
  <c r="G18286" i="1"/>
  <c r="G18307" i="1"/>
  <c r="G18308" i="1"/>
  <c r="G18306" i="1"/>
  <c r="G18305" i="1"/>
  <c r="G3587" i="2"/>
  <c r="G3586" i="2"/>
  <c r="G3585" i="2"/>
  <c r="G18304" i="1"/>
  <c r="G18303" i="1" l="1"/>
  <c r="F151" i="37"/>
  <c r="G3584"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0" i="2"/>
  <c r="G3549" i="2"/>
  <c r="G3544" i="2"/>
  <c r="G3545" i="2"/>
  <c r="G3546" i="2"/>
  <c r="G3547" i="2"/>
  <c r="G3548" i="2"/>
  <c r="G3477" i="2"/>
  <c r="G18474" i="1"/>
  <c r="G3573" i="2"/>
  <c r="G3478" i="2"/>
  <c r="G3381" i="2"/>
  <c r="G3380" i="2"/>
  <c r="G3365" i="2"/>
  <c r="G3361" i="2"/>
  <c r="G3366" i="2"/>
  <c r="G3237" i="2"/>
  <c r="G3238" i="2"/>
  <c r="G3239" i="2"/>
  <c r="G3240" i="2"/>
  <c r="G3308" i="2"/>
  <c r="G3214" i="2"/>
  <c r="G3213" i="2"/>
  <c r="G2805" i="2"/>
  <c r="G2804" i="2"/>
  <c r="G3116" i="2"/>
  <c r="G3118" i="2"/>
  <c r="G3119" i="2"/>
  <c r="G3117" i="2"/>
  <c r="G3121" i="2"/>
  <c r="G3122" i="2"/>
  <c r="G3123" i="2"/>
  <c r="G3376" i="2"/>
  <c r="G3572" i="2" l="1"/>
  <c r="G3571" i="2"/>
  <c r="G3424" i="2"/>
  <c r="G3566" i="2"/>
  <c r="G3453" i="2"/>
  <c r="G3452" i="2"/>
  <c r="G3575" i="2"/>
  <c r="G18455" i="1"/>
  <c r="G3570" i="2"/>
  <c r="G3569" i="2"/>
  <c r="G3568" i="2"/>
  <c r="G3567" i="2"/>
  <c r="G3558" i="2"/>
  <c r="G3554" i="2"/>
  <c r="G3561" i="2"/>
  <c r="G3560" i="2"/>
  <c r="G3557" i="2"/>
  <c r="G3553" i="2"/>
  <c r="G3552" i="2"/>
  <c r="G3541" i="2"/>
  <c r="G3540" i="2"/>
  <c r="G3525" i="2"/>
  <c r="G3524" i="2"/>
  <c r="G3521" i="2"/>
  <c r="G3556" i="2" l="1"/>
  <c r="G3551"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2"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5"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9" i="1"/>
  <c r="G18171" i="1"/>
  <c r="G18172" i="1"/>
  <c r="G18173" i="1"/>
  <c r="G18174" i="1"/>
  <c r="G18150" i="1"/>
  <c r="G18151" i="1"/>
  <c r="G18170" i="1"/>
  <c r="G3565" i="2"/>
  <c r="G18454" i="1"/>
  <c r="G3564" i="2"/>
  <c r="G18453" i="1"/>
  <c r="K17" i="31" l="1"/>
  <c r="G18467" i="1"/>
  <c r="G18468" i="1"/>
  <c r="G18466" i="1"/>
  <c r="G18465" i="1" l="1"/>
  <c r="G18464" i="1" l="1"/>
  <c r="G2880" i="2"/>
  <c r="G3120" i="2"/>
  <c r="G3509" i="2"/>
  <c r="G3513" i="2"/>
  <c r="G3522" i="2"/>
  <c r="G3520" i="2"/>
  <c r="G3523" i="2"/>
  <c r="G3501" i="2"/>
  <c r="G3494" i="2"/>
  <c r="G3516" i="2"/>
  <c r="G3519" i="2"/>
  <c r="G3518" i="2"/>
  <c r="G3517" i="2"/>
  <c r="G18118" i="1"/>
  <c r="G18117" i="1"/>
  <c r="G18116" i="1"/>
  <c r="G18115" i="1"/>
  <c r="G3514"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4" i="2"/>
  <c r="G3503" i="2"/>
  <c r="G3483" i="2"/>
  <c r="G3484" i="2"/>
  <c r="G3485" i="2"/>
  <c r="G3486" i="2"/>
  <c r="G3487" i="2"/>
  <c r="G3488" i="2"/>
  <c r="G3489" i="2"/>
  <c r="G3490" i="2"/>
  <c r="G3491" i="2"/>
  <c r="G3492" i="2"/>
  <c r="G3493" i="2"/>
  <c r="G3423" i="2"/>
  <c r="G3472" i="2"/>
  <c r="G3456" i="2"/>
  <c r="G3454" i="2"/>
  <c r="G3437" i="2"/>
  <c r="G3425" i="2"/>
  <c r="G3422" i="2"/>
  <c r="G3411" i="2"/>
  <c r="G3410" i="2"/>
  <c r="G3474" i="2"/>
  <c r="G3471" i="2"/>
  <c r="G3480" i="2"/>
  <c r="G3479" i="2"/>
  <c r="G3497" i="2"/>
  <c r="G3496" i="2"/>
  <c r="G3476" i="2"/>
  <c r="G18457"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0"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1" i="33"/>
  <c r="E49" i="33"/>
  <c r="E48" i="33"/>
  <c r="E47" i="33"/>
  <c r="C46" i="33"/>
  <c r="E46" i="33" s="1"/>
  <c r="E45" i="33"/>
  <c r="E44" i="33"/>
  <c r="E42" i="33"/>
  <c r="E41"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10" i="33" l="1"/>
  <c r="I11" i="33"/>
  <c r="I37" i="33"/>
  <c r="I39" i="33"/>
  <c r="I40"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8" i="33" l="1"/>
  <c r="I16" i="33"/>
  <c r="I15" i="33"/>
  <c r="I18" i="33"/>
  <c r="I27" i="33"/>
  <c r="I21" i="33"/>
  <c r="I24" i="33"/>
  <c r="I7" i="33"/>
  <c r="I6" i="33"/>
  <c r="I30" i="33"/>
  <c r="I43" i="33"/>
  <c r="I19" i="33"/>
  <c r="I50" i="33"/>
  <c r="I22" i="33"/>
  <c r="I17" i="33"/>
  <c r="I20" i="33"/>
  <c r="I51" i="33"/>
  <c r="I13" i="33"/>
  <c r="I34" i="33"/>
  <c r="I48" i="33"/>
  <c r="I8" i="33"/>
  <c r="I23" i="33"/>
  <c r="I46" i="33"/>
  <c r="I4" i="33"/>
  <c r="I26" i="33"/>
  <c r="I44" i="33"/>
  <c r="I2" i="33"/>
  <c r="I5" i="33"/>
  <c r="I14" i="33"/>
  <c r="I41" i="33"/>
  <c r="I49" i="33"/>
  <c r="I12" i="33"/>
  <c r="I33" i="33"/>
  <c r="I47" i="33"/>
  <c r="I28" i="33"/>
  <c r="I45" i="33"/>
  <c r="I3" i="33"/>
  <c r="I42" i="33"/>
  <c r="I32" i="33"/>
  <c r="G291" i="2"/>
  <c r="J52" i="33" l="1"/>
  <c r="I52"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11" i="33" l="1"/>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7" i="33"/>
  <c r="G40" i="33"/>
  <c r="G37" i="33"/>
  <c r="G39" i="33"/>
  <c r="H40" i="33"/>
  <c r="H39" i="33"/>
  <c r="H16" i="33"/>
  <c r="G15" i="33"/>
  <c r="G16" i="33"/>
  <c r="H15" i="33"/>
  <c r="G38" i="33"/>
  <c r="H38" i="33"/>
  <c r="Q6" i="31"/>
  <c r="Q10" i="31"/>
  <c r="Q11" i="31"/>
  <c r="H27" i="33"/>
  <c r="G27" i="33"/>
  <c r="G18" i="33"/>
  <c r="H18" i="33"/>
  <c r="H7" i="33"/>
  <c r="G6" i="33"/>
  <c r="H6" i="33"/>
  <c r="G7" i="33"/>
  <c r="G24" i="33"/>
  <c r="H24" i="33"/>
  <c r="H5" i="33"/>
  <c r="H21" i="33"/>
  <c r="M21" i="33" s="1"/>
  <c r="G21" i="33"/>
  <c r="H43" i="33"/>
  <c r="M43" i="33" s="1"/>
  <c r="G43" i="33"/>
  <c r="G25" i="3"/>
  <c r="F25" i="3"/>
  <c r="G26" i="3"/>
  <c r="F26" i="3"/>
  <c r="G30" i="33"/>
  <c r="H30" i="33"/>
  <c r="M30" i="33" s="1"/>
  <c r="G50" i="33"/>
  <c r="H50" i="33"/>
  <c r="M50" i="33" s="1"/>
  <c r="H51" i="33"/>
  <c r="M51" i="33" s="1"/>
  <c r="H19" i="33"/>
  <c r="G19" i="33"/>
  <c r="H22" i="33"/>
  <c r="M22" i="33" s="1"/>
  <c r="G22" i="33"/>
  <c r="H20" i="33"/>
  <c r="H17" i="33"/>
  <c r="M17" i="33" s="1"/>
  <c r="G20" i="33"/>
  <c r="G17" i="33"/>
  <c r="H23" i="33"/>
  <c r="G47" i="33"/>
  <c r="G5" i="33"/>
  <c r="G41" i="33"/>
  <c r="G3" i="33"/>
  <c r="G26" i="33"/>
  <c r="G44" i="33"/>
  <c r="G2" i="33"/>
  <c r="H13" i="33"/>
  <c r="H41" i="33"/>
  <c r="M41" i="33" s="1"/>
  <c r="H45" i="33"/>
  <c r="M45" i="33" s="1"/>
  <c r="H47" i="33"/>
  <c r="M47" i="33" s="1"/>
  <c r="H34" i="33"/>
  <c r="M34" i="33" s="1"/>
  <c r="G23" i="33"/>
  <c r="G42" i="33"/>
  <c r="G14" i="33"/>
  <c r="G28" i="33"/>
  <c r="G49" i="33"/>
  <c r="G12" i="33"/>
  <c r="G33" i="33"/>
  <c r="H28" i="33"/>
  <c r="M28" i="33" s="1"/>
  <c r="H48" i="33"/>
  <c r="M48" i="33" s="1"/>
  <c r="H42" i="33"/>
  <c r="M42" i="33" s="1"/>
  <c r="H14" i="33"/>
  <c r="M14" i="33" s="1"/>
  <c r="G32" i="33"/>
  <c r="G51" i="33"/>
  <c r="G13" i="33"/>
  <c r="G45" i="33"/>
  <c r="H26" i="33"/>
  <c r="M26" i="33" s="1"/>
  <c r="H33" i="33"/>
  <c r="H46" i="33"/>
  <c r="M46" i="33" s="1"/>
  <c r="H4" i="33"/>
  <c r="M4" i="33" s="1"/>
  <c r="H32" i="33"/>
  <c r="H3" i="33"/>
  <c r="G46" i="33"/>
  <c r="G4" i="33"/>
  <c r="G34" i="33"/>
  <c r="G48" i="33"/>
  <c r="G8" i="33"/>
  <c r="H2" i="33"/>
  <c r="M2" i="33" s="1"/>
  <c r="H44" i="33"/>
  <c r="M44" i="33" s="1"/>
  <c r="H12" i="33"/>
  <c r="H49"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49" i="33"/>
  <c r="M52"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<sst xmlns="http://schemas.openxmlformats.org/spreadsheetml/2006/main" count="85724" uniqueCount="12769">
  <si>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</si>
  <si>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</si>
  <si>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</si>
  <si>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</si>
  <si>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</si>
  <si>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</si>
  <si>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</si>
  <si>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</si>
  <si>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</si>
  <si>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</si>
  <si>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</si>
  <si>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</si>
  <si>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</si>
  <si>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</si>
  <si>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</si>
  <si>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</si>
  <si>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</si>
  <si>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</si>
  <si>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</si>
  <si>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</si>
  <si>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</si>
  <si>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</si>
  <si>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</si>
  <si>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</si>
  <si>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</si>
  <si>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</si>
  <si>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</si>
  <si>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</si>
  <si>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</si>
  <si>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</si>
  <si>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</si>
  <si>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</si>
  <si>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</si>
  <si>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</si>
  <si>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</si>
  <si>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</si>
  <si>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</si>
  <si>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</si>
  <si>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</si>
  <si>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</si>
  <si>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</si>
  <si>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</si>
  <si>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</si>
  <si>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</si>
  <si>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</si>
  <si>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</si>
  <si>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</si>
  <si>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</si>
  <si>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</si>
  <si>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</si>
  <si>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</si>
  <si>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</si>
  <si>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</si>
  <si>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</si>
  <si>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</si>
  <si>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</si>
  <si>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</si>
  <si>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</si>
  <si>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</si>
  <si>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</si>
  <si>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</si>
  <si>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</si>
  <si>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</si>
  <si>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</si>
  <si>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</si>
  <si>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</si>
  <si>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</si>
  <si>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</si>
  <si>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</si>
  <si>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</si>
  <si>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</si>
  <si>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</si>
  <si>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</si>
  <si>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</si>
  <si>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</si>
  <si>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</si>
  <si>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</si>
  <si>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</si>
  <si>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</si>
  <si>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</si>
  <si>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</si>
  <si>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</si>
  <si>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</si>
  <si>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</si>
  <si>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</si>
  <si>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</si>
  <si>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</si>
  <si>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</si>
  <si>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</si>
  <si>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</si>
  <si>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</si>
  <si>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</si>
  <si>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</si>
  <si>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</si>
  <si>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</si>
  <si>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</si>
  <si>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</si>
  <si>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</si>
  <si>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</si>
  <si>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</si>
  <si>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</si>
  <si>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</si>
  <si>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</si>
  <si>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</si>
  <si>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</si>
  <si>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</si>
  <si>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</si>
  <si>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</si>
  <si>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</si>
  <si>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</si>
  <si>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</si>
  <si>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</si>
  <si>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</si>
  <si>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</si>
  <si>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</si>
  <si>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</si>
  <si>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</si>
  <si>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</si>
  <si>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</si>
  <si>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</si>
  <si>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</si>
  <si>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</si>
  <si>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</si>
  <si>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</si>
  <si>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</si>
  <si>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</si>
  <si>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</si>
  <si>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</si>
  <si>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</si>
  <si>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</si>
  <si>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</si>
  <si>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</si>
  <si>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</si>
  <si>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</si>
  <si>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</si>
  <si>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</si>
  <si>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</si>
  <si>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</si>
  <si>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</si>
  <si>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</si>
  <si>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</si>
  <si>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</si>
  <si>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</si>
  <si>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</si>
  <si>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</si>
  <si>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</si>
  <si>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</si>
  <si>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</si>
  <si>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</si>
  <si>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</si>
  <si>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</si>
  <si>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</si>
  <si>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</si>
  <si>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</si>
  <si>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</si>
  <si>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</si>
  <si>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</si>
  <si>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</si>
  <si>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</si>
  <si>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</si>
  <si>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</si>
  <si>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</si>
  <si>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</si>
  <si>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</si>
  <si>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</si>
  <si>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</si>
  <si>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</si>
  <si>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</si>
  <si>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</si>
  <si>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</si>
  <si>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</si>
  <si>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</si>
  <si>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</si>
  <si>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</si>
  <si>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</si>
  <si>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</si>
  <si>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</si>
  <si>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</si>
  <si>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</si>
  <si>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</si>
  <si>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</si>
  <si>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</si>
  <si>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</si>
  <si>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</si>
  <si>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</si>
  <si>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</si>
  <si>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</si>
  <si>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</si>
  <si>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</si>
  <si>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</si>
  <si>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</si>
  <si>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</si>
  <si>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</si>
  <si>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</si>
  <si>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</si>
  <si>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</si>
  <si>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</si>
  <si>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</si>
  <si>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</si>
  <si>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</si>
  <si>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</si>
  <si>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</si>
  <si>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</si>
  <si>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</si>
  <si>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</si>
  <si>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</si>
  <si>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</si>
  <si>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</si>
  <si>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</si>
  <si>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</si>
  <si>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</si>
  <si>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</si>
  <si>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</si>
  <si>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</si>
  <si>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</si>
  <si>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</si>
  <si>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</si>
  <si>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</si>
  <si>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</si>
  <si>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</si>
  <si>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</si>
  <si>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</si>
  <si>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</si>
  <si>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</si>
  <si>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</si>
  <si>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</si>
  <si>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</si>
  <si>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</si>
  <si>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</si>
  <si>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</si>
  <si>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</si>
  <si>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</si>
  <si>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</si>
  <si>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</si>
  <si>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</si>
  <si>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</si>
  <si>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</si>
  <si>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</si>
  <si>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</si>
  <si>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</si>
  <si>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</si>
  <si>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</si>
  <si>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</si>
  <si>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</si>
  <si>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</si>
  <si>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</si>
  <si>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</si>
  <si>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</si>
  <si>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</si>
  <si>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</si>
  <si>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</si>
  <si>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</si>
  <si>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</si>
  <si>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</si>
  <si>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</si>
  <si>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</si>
  <si>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</si>
  <si>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</si>
  <si>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</si>
  <si>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</si>
  <si>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</si>
  <si>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</si>
  <si>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</si>
  <si>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</si>
  <si>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</si>
  <si>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</si>
  <si>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</si>
  <si>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</si>
  <si>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</si>
  <si>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</si>
  <si>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</si>
  <si>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</si>
  <si>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</si>
  <si>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</si>
  <si>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</si>
  <si>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</si>
  <si>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</si>
  <si>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</si>
  <si>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</si>
  <si>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</si>
  <si>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</si>
  <si>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</si>
  <si>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</si>
  <si>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</si>
  <si>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</si>
  <si>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</si>
  <si>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</si>
  <si>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</si>
  <si>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</si>
  <si>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</si>
  <si>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</si>
  <si>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</si>
  <si>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</si>
  <si>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</si>
  <si>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</si>
  <si>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</si>
  <si>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</si>
  <si>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</si>
  <si>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</si>
  <si>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</si>
  <si>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</si>
  <si>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</si>
  <si>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</si>
  <si>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</si>
  <si>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</si>
  <si>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</si>
  <si>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</si>
  <si>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</si>
  <si>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</si>
  <si>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</si>
  <si>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</si>
  <si>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</si>
  <si>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</si>
  <si>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</si>
  <si>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</si>
  <si>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</si>
  <si>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</si>
  <si>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</si>
  <si>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</si>
  <si>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</si>
  <si>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</si>
  <si>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</si>
  <si>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</si>
  <si>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</si>
  <si>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</si>
  <si>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</si>
  <si>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</si>
  <si>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</si>
  <si>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</si>
  <si>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</si>
  <si>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</si>
  <si>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</si>
  <si>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</si>
  <si>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</si>
  <si>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</si>
  <si>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</si>
  <si>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</si>
  <si>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</si>
  <si>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</si>
  <si>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</si>
  <si>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</si>
  <si>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</si>
  <si>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</si>
  <si>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</si>
  <si>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</si>
  <si>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</si>
  <si>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</si>
  <si>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</si>
  <si>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</si>
  <si>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</si>
  <si>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</si>
  <si>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</si>
  <si>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</si>
  <si>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</si>
  <si>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</si>
  <si>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</si>
  <si>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</si>
  <si>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</si>
  <si>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</si>
  <si>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</si>
  <si>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</si>
  <si>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</si>
  <si>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</si>
  <si>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</si>
  <si>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</si>
  <si>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</si>
  <si>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</si>
  <si>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</si>
  <si>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</si>
  <si>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</si>
  <si>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</si>
  <si>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</si>
  <si>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</si>
  <si>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</si>
  <si>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</si>
  <si>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</si>
  <si>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</si>
  <si>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</si>
  <si>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</si>
  <si>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</si>
  <si>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</si>
  <si>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</si>
  <si>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</si>
  <si>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</si>
  <si>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</si>
  <si>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</si>
  <si>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</si>
  <si>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</si>
  <si>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</si>
  <si>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</si>
  <si>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</si>
  <si>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</si>
  <si>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</si>
  <si>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</si>
  <si>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</si>
  <si>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</si>
  <si>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</si>
  <si>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</si>
  <si>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</si>
  <si>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</si>
  <si>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</si>
  <si>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</si>
  <si>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</si>
  <si>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</si>
  <si>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</si>
  <si>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</si>
  <si>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</si>
  <si>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</si>
  <si>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</si>
  <si>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</si>
  <si>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</si>
  <si>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</si>
  <si>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</si>
  <si>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</si>
  <si>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</si>
  <si>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</si>
  <si>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</si>
  <si>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</si>
  <si>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</si>
  <si>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</si>
  <si>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</si>
  <si>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</si>
  <si>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</si>
  <si>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</si>
  <si>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</si>
  <si>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</si>
  <si>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</si>
  <si>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</si>
  <si>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</si>
  <si>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</si>
  <si>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</si>
  <si>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</si>
  <si>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</si>
  <si>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</si>
  <si>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</si>
  <si>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</si>
  <si>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</si>
  <si>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</si>
  <si>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</si>
  <si>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</si>
  <si>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</si>
  <si>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</si>
  <si>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</si>
  <si>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</si>
  <si>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</si>
  <si>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</si>
  <si>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</si>
  <si>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</si>
  <si>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</si>
  <si>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</si>
  <si>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</si>
  <si>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</si>
  <si>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</si>
  <si>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</si>
  <si>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</si>
  <si>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</si>
  <si>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</si>
  <si>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</si>
  <si>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</si>
  <si>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</si>
  <si>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</si>
  <si>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</si>
  <si>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</si>
  <si>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</si>
  <si>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</si>
  <si>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</si>
  <si>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</si>
  <si>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</si>
  <si>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</si>
  <si>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</si>
  <si>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</si>
  <si>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</si>
  <si>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</si>
  <si>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</si>
  <si>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</si>
  <si>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</si>
  <si>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</si>
  <si>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</si>
  <si>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</si>
  <si>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</si>
  <si>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</si>
  <si>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</si>
  <si>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</si>
  <si>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</si>
  <si>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</si>
  <si>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</si>
  <si>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</si>
  <si>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</si>
  <si>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</si>
  <si>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</si>
  <si>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</si>
  <si>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</si>
  <si>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</si>
  <si>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</si>
  <si>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</si>
  <si>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</si>
  <si>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</si>
  <si>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</si>
  <si>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</si>
  <si>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</si>
  <si>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</si>
  <si>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</si>
  <si>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</si>
  <si>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</si>
  <si>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</si>
  <si>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</si>
  <si>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</si>
  <si>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</si>
  <si>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</si>
  <si>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</si>
  <si>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</si>
  <si>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</si>
  <si>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</si>
  <si>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</si>
  <si>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</si>
  <si>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</si>
  <si>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</si>
  <si>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</si>
  <si>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</si>
  <si>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</si>
  <si>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</si>
  <si>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</si>
  <si>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</si>
  <si>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</si>
  <si>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</si>
  <si>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</si>
  <si>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</si>
  <si>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</si>
  <si>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</si>
  <si>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</si>
  <si>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</si>
  <si>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</si>
  <si>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</si>
  <si>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</si>
  <si>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</si>
  <si>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</si>
  <si>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</si>
  <si>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</si>
  <si>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</si>
  <si>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</si>
  <si>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</si>
  <si>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</si>
  <si>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</si>
  <si>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</si>
  <si>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</si>
  <si>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</si>
  <si>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</si>
  <si>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</si>
  <si>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</si>
  <si>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</si>
  <si>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</si>
  <si>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</si>
  <si>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</si>
  <si>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</si>
  <si>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</si>
  <si>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</si>
  <si>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</si>
  <si>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</si>
  <si>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</si>
  <si>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</si>
  <si>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</si>
  <si>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</si>
  <si>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</si>
  <si>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</si>
  <si>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</si>
  <si>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</si>
  <si>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</si>
  <si>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</si>
  <si>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</si>
  <si>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</si>
  <si>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</si>
  <si>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</si>
  <si>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</si>
  <si>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</si>
  <si>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</si>
  <si>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</si>
  <si>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</si>
  <si>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</si>
  <si>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</si>
  <si>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</si>
  <si>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</si>
  <si>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</si>
  <si>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</si>
  <si>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</si>
  <si>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</si>
  <si>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</si>
  <si>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</si>
  <si>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</si>
  <si>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</si>
  <si>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</si>
  <si>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</si>
  <si>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</si>
  <si>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</si>
  <si>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</si>
  <si>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</si>
  <si>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</si>
  <si>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</si>
  <si>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</si>
  <si>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</si>
  <si>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</si>
  <si>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</si>
  <si>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</si>
  <si>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</si>
  <si>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</si>
  <si>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</si>
  <si>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</si>
  <si>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</si>
  <si>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</si>
  <si>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</si>
  <si>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</si>
  <si>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</si>
  <si>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</si>
  <si>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</si>
  <si>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</si>
  <si>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</si>
  <si>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</si>
  <si>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</si>
  <si>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</si>
  <si>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</si>
  <si>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</si>
  <si>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</si>
  <si>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</si>
  <si>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</si>
  <si>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</si>
  <si>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</si>
  <si>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</si>
  <si>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</si>
  <si>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</si>
  <si>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</si>
  <si>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</si>
  <si>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</si>
  <si>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</si>
  <si>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</si>
  <si>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</si>
  <si>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</si>
  <si>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</si>
  <si>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</si>
  <si>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</si>
  <si>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</si>
  <si>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</si>
  <si>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</si>
  <si>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</si>
  <si>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</si>
  <si>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</si>
  <si>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</si>
  <si>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</si>
  <si>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</si>
  <si>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</si>
  <si>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</si>
  <si>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</si>
  <si>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</si>
  <si>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</si>
  <si>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</si>
  <si>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</si>
  <si>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</si>
  <si>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</si>
  <si>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</si>
  <si>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</si>
  <si>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</si>
  <si>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</si>
  <si>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</si>
  <si>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</si>
  <si>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</si>
  <si>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</si>
  <si>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</si>
  <si>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</si>
  <si>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</si>
  <si>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</si>
  <si>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</si>
  <si>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</si>
  <si>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</si>
  <si>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</si>
  <si>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</si>
  <si>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</si>
  <si>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</si>
  <si>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</si>
  <si>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</si>
  <si>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</si>
  <si>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</si>
  <si>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</si>
  <si>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</si>
  <si>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</si>
  <si>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</si>
  <si>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</si>
  <si>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</si>
  <si>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</si>
  <si>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</si>
  <si>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</si>
  <si>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</si>
  <si>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</si>
  <si>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</si>
  <si>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</si>
  <si>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</si>
  <si>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</si>
  <si>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</si>
  <si>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</si>
  <si>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</si>
  <si>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</si>
  <si>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</si>
  <si>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</si>
  <si>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</si>
  <si>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</si>
  <si>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</si>
  <si>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</si>
  <si>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</si>
  <si>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</si>
  <si>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</si>
  <si>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</si>
  <si>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</si>
  <si>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</si>
  <si>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</si>
  <si>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</si>
  <si>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</si>
  <si>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</si>
  <si>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</si>
  <si>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</si>
  <si>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</si>
  <si>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</si>
  <si>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</si>
  <si>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</si>
  <si>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</si>
  <si>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</si>
  <si>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</si>
  <si>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</si>
  <si>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</si>
  <si>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</si>
  <si>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</si>
  <si>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</si>
  <si>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</si>
  <si>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</si>
  <si>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</si>
  <si>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</si>
  <si>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</si>
  <si>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</si>
  <si>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</si>
  <si>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</si>
  <si>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</si>
  <si>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</si>
  <si>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</si>
  <si>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</si>
  <si>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</si>
  <si>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</si>
  <si>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</si>
  <si>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</si>
  <si>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</si>
  <si>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</si>
  <si>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</si>
  <si>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</si>
  <si>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</si>
  <si>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</si>
  <si>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</si>
  <si>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</si>
  <si>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</si>
  <si>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</si>
  <si>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</si>
  <si>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</si>
  <si>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</si>
  <si>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</si>
  <si>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</si>
  <si>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</si>
  <si>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</si>
  <si>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</si>
  <si>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</si>
  <si>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</si>
  <si>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</si>
  <si>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</si>
  <si>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</si>
  <si>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</si>
  <si>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</si>
  <si>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</si>
  <si>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</si>
  <si>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</si>
  <si>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</si>
  <si>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</si>
  <si>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</si>
  <si>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</si>
  <si>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</si>
  <si>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</si>
  <si>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</si>
  <si>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</si>
  <si>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</si>
  <si>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</si>
  <si>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</si>
  <si>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</si>
  <si>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</si>
  <si>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</si>
  <si>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</si>
  <si>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</si>
  <si>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</si>
  <si>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</si>
  <si>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</si>
  <si>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</si>
  <si>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</si>
  <si>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</si>
  <si>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</si>
  <si>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</si>
  <si>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</si>
  <si>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</si>
  <si>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</si>
  <si>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</si>
  <si>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</si>
  <si>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</si>
  <si>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</si>
  <si>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</si>
  <si>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</si>
  <si>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</si>
  <si>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</si>
  <si>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</si>
  <si>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</si>
  <si>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</si>
  <si>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</si>
  <si>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</si>
  <si>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</si>
  <si>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</si>
  <si>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</si>
  <si>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</si>
  <si>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</si>
  <si>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</si>
  <si>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</si>
  <si>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</si>
  <si>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</si>
  <si>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</si>
  <si>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</si>
  <si>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</si>
  <si>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</si>
  <si>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</si>
  <si>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</si>
  <si>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</si>
  <si>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</si>
  <si>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</si>
  <si>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</si>
  <si>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</si>
  <si>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</si>
  <si>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</si>
  <si>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</si>
  <si>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</si>
  <si>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</si>
  <si>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</si>
  <si>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</si>
  <si>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</si>
  <si>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</si>
  <si>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</si>
  <si>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</si>
  <si>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</si>
  <si>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</si>
  <si>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</si>
  <si>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</si>
  <si>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</si>
  <si>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</si>
  <si>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</si>
  <si>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</si>
  <si>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</si>
  <si>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</si>
  <si>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</si>
  <si>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</si>
  <si>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</si>
  <si>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</si>
  <si>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</si>
  <si>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</si>
  <si>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</si>
  <si>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</si>
  <si>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</si>
  <si>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</si>
  <si>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</si>
  <si>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</si>
  <si>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</si>
  <si>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</si>
  <si>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</si>
  <si>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</si>
  <si>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</si>
  <si>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</si>
  <si>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</si>
  <si>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</si>
  <si>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</si>
  <si>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</si>
  <si>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</si>
  <si>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</si>
  <si>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</si>
  <si>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</si>
  <si>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</si>
  <si>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</si>
  <si>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</si>
  <si>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</si>
  <si>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</si>
  <si>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</si>
  <si>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</si>
  <si>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</si>
  <si>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</si>
  <si>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</si>
  <si>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</si>
  <si>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</si>
  <si>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</si>
  <si>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</si>
  <si>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</si>
  <si>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</si>
  <si>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</si>
  <si>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</si>
  <si>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</si>
  <si>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</si>
  <si>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</si>
  <si>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</si>
  <si>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</si>
  <si>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</si>
  <si>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</si>
  <si>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</si>
  <si>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</si>
  <si>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</si>
  <si>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</si>
  <si>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</si>
  <si>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</si>
  <si>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</si>
  <si>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</si>
  <si>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</si>
  <si>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</si>
  <si>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</si>
  <si>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</si>
  <si>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</si>
  <si>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</si>
  <si>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</si>
  <si>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</si>
  <si>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</si>
  <si>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</si>
  <si>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</si>
  <si>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</si>
  <si>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</si>
  <si>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</si>
  <si>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</si>
  <si>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</si>
  <si>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</si>
  <si>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</si>
  <si>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</si>
  <si>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</si>
  <si>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</si>
  <si>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</si>
  <si>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</si>
  <si>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</si>
  <si>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</si>
  <si>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</si>
  <si>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</si>
  <si>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</si>
  <si>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</si>
  <si>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</si>
  <si>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</si>
  <si>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</si>
  <si>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</si>
  <si>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</si>
  <si>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</si>
  <si>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</si>
  <si>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</si>
  <si>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</si>
  <si>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</si>
  <si>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</si>
  <si>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</si>
  <si>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</si>
  <si>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</si>
  <si>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</si>
  <si>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</si>
  <si>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</si>
  <si>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</si>
  <si>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</si>
  <si>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</si>
  <si>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</si>
  <si>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</si>
  <si>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</si>
  <si>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</si>
  <si>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</si>
  <si>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</si>
  <si>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</si>
  <si>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</si>
  <si>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</si>
  <si>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</si>
  <si>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</si>
  <si>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</si>
  <si>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</si>
  <si>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</si>
  <si>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</si>
  <si>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</si>
  <si>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</si>
  <si>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</si>
  <si>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</si>
  <si>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</si>
  <si>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</si>
  <si>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</si>
  <si>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</si>
  <si>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</si>
  <si>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</si>
  <si>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</si>
  <si>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</si>
  <si>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</si>
  <si>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</si>
  <si>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</si>
  <si>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</si>
  <si>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</si>
  <si>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</si>
  <si>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</si>
  <si>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</si>
  <si>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</si>
  <si>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</si>
  <si>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</si>
  <si>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</si>
  <si>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</si>
  <si>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</si>
  <si>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</si>
  <si>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</si>
  <si>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</si>
  <si>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</si>
  <si>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</si>
  <si>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</si>
  <si>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</si>
  <si>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</si>
  <si>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</si>
  <si>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</si>
  <si>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</si>
  <si>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</si>
  <si>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</si>
  <si>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</si>
  <si>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</si>
  <si>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</si>
  <si>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</si>
  <si>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</si>
  <si>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</si>
  <si>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</si>
  <si>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</si>
  <si>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</si>
  <si>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</si>
  <si>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</si>
  <si>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</si>
  <si>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</si>
  <si>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</si>
  <si>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</si>
  <si>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</si>
  <si>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</si>
  <si>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</si>
  <si>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</si>
  <si>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</si>
  <si>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</si>
  <si>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</si>
  <si>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</si>
  <si>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</si>
  <si>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</si>
  <si>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</si>
  <si>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</si>
  <si>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</si>
  <si>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</si>
  <si>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</si>
  <si>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</si>
  <si>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</si>
  <si>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</si>
  <si>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</si>
  <si>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</si>
  <si>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</si>
  <si>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</si>
  <si>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</si>
  <si>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</si>
  <si>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</si>
  <si>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</si>
  <si>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</si>
  <si>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</si>
  <si>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</si>
  <si>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</si>
  <si>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</si>
  <si>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</si>
  <si>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</si>
  <si>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</si>
  <si>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</si>
  <si>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</si>
  <si>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</si>
  <si>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</si>
  <si>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</si>
  <si>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</si>
  <si>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</si>
  <si>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</si>
  <si>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</si>
  <si>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</si>
  <si>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</si>
  <si>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</si>
  <si>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</si>
  <si>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</si>
  <si>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</si>
  <si>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</si>
  <si>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</si>
  <si>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</si>
  <si>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</si>
  <si>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</si>
  <si>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</si>
  <si>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</si>
  <si>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</si>
  <si>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</si>
  <si>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</si>
  <si>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</si>
  <si>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</si>
  <si>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</si>
  <si>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</si>
  <si>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</si>
  <si>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</si>
  <si>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</si>
  <si>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</si>
  <si>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</si>
  <si>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</si>
  <si>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</si>
  <si>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</si>
  <si>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</si>
  <si>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</si>
  <si>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</si>
  <si>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</si>
  <si>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</si>
  <si>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</si>
  <si>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</si>
  <si>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</si>
  <si>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</si>
  <si>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</si>
  <si>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</si>
  <si>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</si>
  <si>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</si>
  <si>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</si>
  <si>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</si>
  <si>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</si>
  <si>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</si>
  <si>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</si>
  <si>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</si>
  <si>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</si>
  <si>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</si>
  <si>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</si>
  <si>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</si>
  <si>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</si>
  <si>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</si>
  <si>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</si>
  <si>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</si>
  <si>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</si>
  <si>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</si>
  <si>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</si>
  <si>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</si>
  <si>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</si>
  <si>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</si>
  <si>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</si>
  <si>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</si>
  <si>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</si>
  <si>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</si>
  <si>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</si>
  <si>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</si>
  <si>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</si>
  <si>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</si>
  <si>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</si>
  <si>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</si>
  <si>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</si>
  <si>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</si>
  <si>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</si>
  <si>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</si>
  <si>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</si>
  <si>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</si>
  <si>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</si>
  <si>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</si>
  <si>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</si>
  <si>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</si>
  <si>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</si>
  <si>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</si>
  <si>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</si>
  <si>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</si>
  <si>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</si>
  <si>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</si>
  <si>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</si>
  <si>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</si>
  <si>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</si>
  <si>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</si>
  <si>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</si>
  <si>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</si>
  <si>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</si>
  <si>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</si>
  <si>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</si>
  <si>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</si>
  <si>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</si>
  <si>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</si>
  <si>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</si>
  <si>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</si>
  <si>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</si>
  <si>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</si>
  <si>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</si>
  <si>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</si>
  <si>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</si>
  <si>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</si>
  <si>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</si>
  <si>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</si>
  <si>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</si>
  <si>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</si>
  <si>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</si>
  <si>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</si>
  <si>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</si>
  <si>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</si>
  <si>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</si>
  <si>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</si>
  <si>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</si>
  <si>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</si>
  <si>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</si>
  <si>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</si>
  <si>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</si>
  <si>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</si>
  <si>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</si>
  <si>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</si>
  <si>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</si>
  <si>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</si>
  <si>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</si>
  <si>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</si>
  <si>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</si>
  <si>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</si>
  <si>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</si>
  <si>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</si>
  <si>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</si>
  <si>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</si>
  <si>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</si>
  <si>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</si>
  <si>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</si>
  <si>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</si>
  <si>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</si>
  <si>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</si>
  <si>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</si>
  <si>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</si>
  <si>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</si>
  <si>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</si>
  <si>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</si>
  <si>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</si>
  <si>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</si>
  <si>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</si>
  <si>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</si>
  <si>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</si>
  <si>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</si>
  <si>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</si>
  <si>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</si>
  <si>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</si>
  <si>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</si>
  <si>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</si>
  <si>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</si>
  <si>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</si>
  <si>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</si>
  <si>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</si>
  <si>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</si>
  <si>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</si>
  <si>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</si>
  <si>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</si>
  <si>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</si>
  <si>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</si>
  <si>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</si>
  <si>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</si>
  <si>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</si>
  <si>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</si>
  <si>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</si>
  <si>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</si>
  <si>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</si>
  <si>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</si>
  <si>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</si>
  <si>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</si>
  <si>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</si>
  <si>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</si>
  <si>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</si>
  <si>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</si>
  <si>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</si>
  <si>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</si>
  <si>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</si>
  <si>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</si>
  <si>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</si>
  <si>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</si>
  <si>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</si>
  <si>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</si>
  <si>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</si>
  <si>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</si>
  <si>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</si>
  <si>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</si>
  <si>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</si>
  <si>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</si>
  <si>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</si>
  <si>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</si>
  <si>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</si>
  <si>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</si>
  <si>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</si>
  <si>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</si>
  <si>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</si>
  <si>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</si>
  <si>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</si>
  <si>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</si>
  <si>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</si>
  <si>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</si>
  <si>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</si>
  <si>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</si>
  <si>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</si>
  <si>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</si>
  <si>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</si>
  <si>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</si>
  <si>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</si>
  <si>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</si>
  <si>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</si>
  <si>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</si>
  <si>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</si>
  <si>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</si>
  <si>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</si>
  <si>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</si>
  <si>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</si>
  <si>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</si>
  <si>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</si>
  <si>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</si>
  <si>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</si>
  <si>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</si>
  <si>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</si>
  <si>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</si>
  <si>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</si>
  <si>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</si>
  <si>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</si>
  <si>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</si>
  <si>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</si>
  <si>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</si>
  <si>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</si>
  <si>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</si>
  <si>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</si>
  <si>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</si>
  <si>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</si>
  <si>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</si>
  <si>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</si>
  <si>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</si>
  <si>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</si>
  <si>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</si>
  <si>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</si>
  <si>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</si>
  <si>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</si>
  <si>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</si>
  <si>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</si>
  <si>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</si>
  <si>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</si>
  <si>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</si>
  <si>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</si>
  <si>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</si>
  <si>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</si>
  <si>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</si>
  <si>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</si>
  <si>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</si>
  <si>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</si>
  <si>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</si>
  <si>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</si>
  <si>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</si>
  <si>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</si>
  <si>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</si>
  <si>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</si>
  <si>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</si>
  <si>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</si>
  <si>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</si>
  <si>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</si>
  <si>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</si>
  <si>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</si>
  <si>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</si>
  <si>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</si>
  <si>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</si>
  <si>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</si>
  <si>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</si>
  <si>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</si>
  <si>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</si>
  <si>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</si>
  <si>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</si>
  <si>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</si>
  <si>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</si>
  <si>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</si>
  <si>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</si>
  <si>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</si>
  <si>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</si>
  <si>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</si>
  <si>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</si>
  <si>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</si>
  <si>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</si>
  <si>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</si>
  <si>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</si>
  <si>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</si>
  <si>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</si>
  <si>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</si>
  <si>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</si>
  <si>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</si>
  <si>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</si>
  <si>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</si>
  <si>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</si>
  <si>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</si>
  <si>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</si>
  <si>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</si>
  <si>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</si>
  <si>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</si>
  <si>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</si>
  <si>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</si>
  <si>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</si>
  <si>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</si>
  <si>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</si>
  <si>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</si>
  <si>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</si>
  <si>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</si>
  <si>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</si>
  <si>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</si>
  <si>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</si>
  <si>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</si>
  <si>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</si>
  <si>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</si>
  <si>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</si>
  <si>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</si>
  <si>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</si>
  <si>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</si>
  <si>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</si>
  <si>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</si>
  <si>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</si>
  <si>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</si>
  <si>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</si>
  <si>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</si>
  <si>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</si>
  <si>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</si>
  <si>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</si>
  <si>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</si>
  <si>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</si>
  <si>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</si>
  <si>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</si>
  <si>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</si>
  <si>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</si>
  <si>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</si>
  <si>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</si>
  <si>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</si>
  <si>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</si>
  <si>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</si>
  <si>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</si>
  <si>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</si>
  <si>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</si>
  <si>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</si>
  <si>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</si>
  <si>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</si>
  <si>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</si>
  <si>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</si>
  <si>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</si>
  <si>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</si>
  <si>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</si>
  <si>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</si>
  <si>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</si>
  <si>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</si>
  <si>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</si>
  <si>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</si>
  <si>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</si>
  <si>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</si>
  <si>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</si>
  <si>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</si>
  <si>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</si>
  <si>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</si>
  <si>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</si>
  <si>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</si>
  <si>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</si>
  <si>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</si>
  <si>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</si>
  <si>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</si>
  <si>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</si>
  <si>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</si>
  <si>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</si>
  <si>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</si>
  <si>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</si>
  <si>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</si>
  <si>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</si>
  <si>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</si>
  <si>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</si>
  <si>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</si>
  <si>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</si>
  <si>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</si>
  <si>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</si>
  <si>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</si>
  <si>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</si>
  <si>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</si>
  <si>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</si>
  <si>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</si>
  <si>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</si>
  <si>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</si>
  <si>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</si>
  <si>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</si>
  <si>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</si>
  <si>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</si>
  <si>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</si>
  <si>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</si>
  <si>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</si>
  <si>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</si>
  <si>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</si>
  <si>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</si>
  <si>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</si>
  <si>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</si>
  <si>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</si>
  <si>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</si>
  <si>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</si>
  <si>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</si>
  <si>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</si>
  <si>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</si>
  <si>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</si>
  <si>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</si>
  <si>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</si>
  <si>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</si>
  <si>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</si>
  <si>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</si>
  <si>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</si>
  <si>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</si>
  <si>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</si>
  <si>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</si>
  <si>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</si>
  <si>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</si>
  <si>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</si>
  <si>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</si>
  <si>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</si>
  <si>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</si>
  <si>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</si>
  <si>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</si>
  <si>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</si>
  <si>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</si>
  <si>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</si>
  <si>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</si>
  <si>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</si>
  <si>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</si>
  <si>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</si>
  <si>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</si>
  <si>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</si>
  <si>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</si>
  <si>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</si>
  <si>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</si>
  <si>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</si>
  <si>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</si>
  <si>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</si>
  <si>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</si>
  <si>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</si>
  <si>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</si>
  <si>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</si>
  <si>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</si>
  <si>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</si>
  <si>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</si>
  <si>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</si>
  <si>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</si>
  <si>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</si>
  <si>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</si>
  <si>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</si>
  <si>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</si>
  <si>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</si>
  <si>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</si>
  <si>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</si>
  <si>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</si>
  <si>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</si>
  <si>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</si>
  <si>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</si>
  <si>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</si>
  <si>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</si>
  <si>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</si>
  <si>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</si>
  <si>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</si>
  <si>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</si>
  <si>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</si>
  <si>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</si>
  <si>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</si>
  <si>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</si>
  <si>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</si>
  <si>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</si>
  <si>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</si>
  <si>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</si>
  <si>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</si>
  <si>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</si>
  <si>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</si>
  <si>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</si>
  <si>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</si>
  <si>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</si>
  <si>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</si>
  <si>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</si>
  <si>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</si>
  <si>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</si>
  <si>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</si>
  <si>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</si>
  <si>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</si>
  <si>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</si>
  <si>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</si>
  <si>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</si>
  <si>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</si>
  <si>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</si>
  <si>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</si>
  <si>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</si>
  <si>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</si>
  <si>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</si>
  <si>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</si>
  <si>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</si>
  <si>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</si>
  <si>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</si>
  <si>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</si>
  <si>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</si>
  <si>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</si>
  <si>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</si>
  <si>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</si>
  <si>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</si>
  <si>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</si>
  <si>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</si>
  <si>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</si>
  <si>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</si>
  <si>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</si>
  <si>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</si>
  <si>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</si>
  <si>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</si>
  <si>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</si>
  <si>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</si>
  <si>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</si>
  <si>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</si>
  <si>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</si>
  <si>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</si>
  <si>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</si>
  <si>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</si>
  <si>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</si>
  <si>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</si>
  <si>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</si>
  <si>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</si>
  <si>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</si>
  <si>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</si>
  <si>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</si>
  <si>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</si>
  <si>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</si>
  <si>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</si>
  <si>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</si>
  <si>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</si>
  <si>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</si>
  <si>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</si>
  <si>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</si>
  <si>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</si>
  <si>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</si>
  <si>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</si>
  <si>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</si>
  <si>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</si>
  <si>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</si>
  <si>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</si>
  <si>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</si>
  <si>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</si>
  <si>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</si>
  <si>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</si>
  <si>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</si>
  <si>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</si>
  <si>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</si>
  <si>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</si>
  <si>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</si>
  <si>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</si>
  <si>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</si>
  <si>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</si>
  <si>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</si>
  <si>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</si>
  <si>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</si>
  <si>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</si>
  <si>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</si>
  <si>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</si>
  <si>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</si>
  <si>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</si>
  <si>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</si>
  <si>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</si>
  <si>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</si>
  <si>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</si>
  <si>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</si>
  <si>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</si>
  <si>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</si>
  <si>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</si>
  <si>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</si>
  <si>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</si>
  <si>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</si>
  <si>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</si>
  <si>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</si>
  <si>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</si>
  <si>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</si>
  <si>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</si>
  <si>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</si>
  <si>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</si>
  <si>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</si>
  <si>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</si>
  <si>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</si>
  <si>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</si>
  <si>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</si>
  <si>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</si>
  <si>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</si>
  <si>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</si>
  <si>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</si>
  <si>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</si>
  <si>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</si>
  <si>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</si>
  <si>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</si>
  <si>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</si>
  <si>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</si>
  <si>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</si>
  <si>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</si>
  <si>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</si>
  <si>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</si>
  <si>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</si>
  <si>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</si>
  <si>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</si>
  <si>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</si>
  <si>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</si>
  <si>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</si>
  <si>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</si>
  <si>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</si>
  <si>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</si>
  <si>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</si>
  <si>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</si>
  <si>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</si>
  <si>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</si>
  <si>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</si>
  <si>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</si>
  <si>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</si>
  <si>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</si>
  <si>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</si>
  <si>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</si>
  <si>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</si>
  <si>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</si>
  <si>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</si>
  <si>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</si>
  <si>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</si>
  <si>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</si>
  <si>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</si>
  <si>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</si>
  <si>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</si>
  <si>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</si>
  <si>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</si>
  <si>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</si>
  <si>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</si>
  <si>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</si>
  <si>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</si>
  <si>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</si>
  <si>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</si>
  <si>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</si>
  <si>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</si>
  <si>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</si>
  <si>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</si>
  <si>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</si>
  <si>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</si>
  <si>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</si>
  <si>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</si>
  <si>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</si>
  <si>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</si>
  <si>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</si>
  <si>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</si>
  <si>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</si>
  <si>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</si>
  <si>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</si>
  <si>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</si>
  <si>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</si>
  <si>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</si>
  <si>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</si>
  <si>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</si>
  <si>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</si>
  <si>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</si>
  <si>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</si>
  <si>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</si>
  <si>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</si>
  <si>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</si>
  <si>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</si>
  <si>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</si>
  <si>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</si>
  <si>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</si>
  <si>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</si>
  <si>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</si>
  <si>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</si>
  <si>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</si>
  <si>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</si>
  <si>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</si>
  <si>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</si>
  <si>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</si>
  <si>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</si>
  <si>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</si>
  <si>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</si>
  <si>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</si>
  <si>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</si>
  <si>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</si>
  <si>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</si>
  <si>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</si>
  <si>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</si>
  <si>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</si>
  <si>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</si>
  <si>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</si>
  <si>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</si>
  <si>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</si>
  <si>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</si>
  <si>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</si>
  <si>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</si>
  <si>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</si>
  <si>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</si>
  <si>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</si>
  <si>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</si>
  <si>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</si>
  <si>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</si>
  <si>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</si>
  <si>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</si>
  <si>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</si>
  <si>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</si>
  <si>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</si>
  <si>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</si>
  <si>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</si>
  <si>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</si>
  <si>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</si>
  <si>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</si>
  <si>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</si>
  <si>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</si>
  <si>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</si>
  <si>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</si>
  <si>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</si>
  <si>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</si>
  <si>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</si>
  <si>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</si>
  <si>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</si>
  <si>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</si>
  <si>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</si>
  <si>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</si>
  <si>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</si>
  <si>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</si>
  <si>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</si>
  <si>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</si>
  <si>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</si>
  <si>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</si>
  <si>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</si>
  <si>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</si>
  <si>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</si>
  <si>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</si>
  <si>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</si>
  <si>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</si>
  <si>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</si>
  <si>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</si>
  <si>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</si>
  <si>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</si>
  <si>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</si>
  <si>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</si>
  <si>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</si>
  <si>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</si>
  <si>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</si>
  <si>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</si>
  <si>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</si>
  <si>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</si>
  <si>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</si>
  <si>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</si>
  <si>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</si>
  <si>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</si>
  <si>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</si>
  <si>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</si>
  <si>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</si>
  <si>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</si>
  <si>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</si>
  <si>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</si>
  <si>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</si>
  <si>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</si>
  <si>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</si>
  <si>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</si>
  <si>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</si>
  <si>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</si>
  <si>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</si>
  <si>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</si>
  <si>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</si>
  <si>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</si>
  <si>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</si>
  <si>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</si>
  <si>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</si>
  <si>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</si>
  <si>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</si>
  <si>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</si>
  <si>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</si>
  <si>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</si>
  <si>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</si>
  <si>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</si>
  <si>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</si>
  <si>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</si>
  <si>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</si>
  <si>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</si>
  <si>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</si>
  <si>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</si>
  <si>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</si>
  <si>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</si>
  <si>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</si>
  <si>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</si>
  <si>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</si>
  <si>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</si>
  <si>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</si>
  <si>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</si>
  <si>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</si>
  <si>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</si>
  <si>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</si>
  <si>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</si>
  <si>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</si>
  <si>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</si>
  <si>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</si>
  <si>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</si>
  <si>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</si>
  <si>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</si>
  <si>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</si>
  <si>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</si>
  <si>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</si>
  <si>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</si>
  <si>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</si>
  <si>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</si>
  <si>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</si>
  <si>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</si>
  <si>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</si>
  <si>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</si>
  <si>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</si>
  <si>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</si>
  <si>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</si>
  <si>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</si>
  <si>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</si>
  <si>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</si>
  <si>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</si>
  <si>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</si>
  <si>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</si>
  <si>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</si>
  <si>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</si>
  <si>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</si>
  <si>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</si>
  <si>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</si>
  <si>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</si>
  <si>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</si>
  <si>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</si>
  <si>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</si>
  <si>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</si>
  <si>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</si>
  <si>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</si>
  <si>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</si>
  <si>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</si>
  <si>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</si>
  <si>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</si>
  <si>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</si>
  <si>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</si>
  <si>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</si>
  <si>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</si>
  <si>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</si>
  <si>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</si>
  <si>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</si>
  <si>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</si>
  <si>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</si>
  <si>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</si>
  <si>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</si>
  <si>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</si>
  <si>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</si>
  <si>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</si>
  <si>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</si>
  <si>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</si>
  <si>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</si>
  <si>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</si>
  <si>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</si>
  <si>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</si>
  <si>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</si>
  <si>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</si>
  <si>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</si>
  <si>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</si>
  <si>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</si>
  <si>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</si>
  <si>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</si>
  <si>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</si>
  <si>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</si>
  <si>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</si>
  <si>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</si>
  <si>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</si>
  <si>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</si>
  <si>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</si>
  <si>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</si>
  <si>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</si>
  <si>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</si>
  <si>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</si>
  <si>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</si>
  <si>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</si>
  <si>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</si>
  <si>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</si>
  <si>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</si>
  <si>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</si>
  <si>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</si>
  <si>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</si>
  <si>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</si>
  <si>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</si>
  <si>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</si>
  <si>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</si>
  <si>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</si>
  <si>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</si>
  <si>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</si>
  <si>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</si>
  <si>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</si>
  <si>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</si>
  <si>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</si>
  <si>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</si>
  <si>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</si>
  <si>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</si>
  <si>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</si>
  <si>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</si>
  <si>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</si>
  <si>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</si>
  <si>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</si>
  <si>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</si>
  <si>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</si>
  <si>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</si>
  <si>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</si>
  <si>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</si>
  <si>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</si>
  <si>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</si>
  <si>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</si>
  <si>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</si>
  <si>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</si>
  <si>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</si>
  <si>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</si>
  <si>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</si>
  <si>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</si>
  <si>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</si>
  <si>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</si>
  <si>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</si>
  <si>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</si>
  <si>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</si>
  <si>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</si>
  <si>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</si>
  <si>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</si>
  <si>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</si>
  <si>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</si>
  <si>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</si>
  <si>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</si>
  <si>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</si>
  <si>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</si>
  <si>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</si>
  <si>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</si>
  <si>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</si>
  <si>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</si>
  <si>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</si>
  <si>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</si>
  <si>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</si>
  <si>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</si>
  <si>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</si>
  <si>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</si>
  <si>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</si>
  <si>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</si>
  <si>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</si>
  <si>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</si>
  <si>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</si>
  <si>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</si>
  <si>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</si>
  <si>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</si>
  <si>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</si>
  <si>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</si>
  <si>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</si>
  <si>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</si>
  <si>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</si>
  <si>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</si>
  <si>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</si>
  <si>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</si>
  <si>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</si>
  <si>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</si>
  <si>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</si>
  <si>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</si>
  <si>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</si>
  <si>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</si>
  <si>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</si>
  <si>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</si>
  <si>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</si>
  <si>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</si>
  <si>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</si>
  <si>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</si>
  <si>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</si>
  <si>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</si>
  <si>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</si>
  <si>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</si>
  <si>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</si>
  <si>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</si>
  <si>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</si>
  <si>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</si>
  <si>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</si>
  <si>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</si>
  <si>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</si>
  <si>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</si>
  <si>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</si>
  <si>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</si>
  <si>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</si>
  <si>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</si>
  <si>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</si>
  <si>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</si>
  <si>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</si>
  <si>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</si>
  <si>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</si>
  <si>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</si>
  <si>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</si>
  <si>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</si>
  <si>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</si>
  <si>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</si>
  <si>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</si>
  <si>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</si>
  <si>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</si>
  <si>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</si>
  <si>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</si>
  <si>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</si>
  <si>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</si>
  <si>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</si>
  <si>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</si>
  <si>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</si>
  <si>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</si>
  <si>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</si>
  <si>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</si>
  <si>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</si>
  <si>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</si>
  <si>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</si>
  <si>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</si>
  <si>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</si>
  <si>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</si>
  <si>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</si>
  <si>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</si>
  <si>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</si>
  <si>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</si>
  <si>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</si>
  <si>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</si>
  <si>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</si>
  <si>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</si>
  <si>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</si>
  <si>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</si>
  <si>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</si>
  <si>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</si>
  <si>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</si>
  <si>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</si>
  <si>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</si>
  <si>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</si>
  <si>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</si>
  <si>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</si>
  <si>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</si>
  <si>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</si>
  <si>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</si>
  <si>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</si>
  <si>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</si>
  <si>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</si>
  <si>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</si>
  <si>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</si>
  <si>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</si>
  <si>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</si>
  <si>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</si>
  <si>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</si>
  <si>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</si>
  <si>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</si>
  <si>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</si>
  <si>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</si>
  <si>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</si>
  <si>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</si>
  <si>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</si>
  <si>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</si>
  <si>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</si>
  <si>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</si>
  <si>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</si>
  <si>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</si>
  <si>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</si>
  <si>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</si>
  <si>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</si>
  <si>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</si>
  <si>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</si>
  <si>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</si>
  <si>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</si>
  <si>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</si>
  <si>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</si>
  <si>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</si>
  <si>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</si>
  <si>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</si>
  <si>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</si>
  <si>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</si>
  <si>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</si>
  <si>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</si>
  <si>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</si>
  <si>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</si>
  <si>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</si>
  <si>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</si>
  <si>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</si>
  <si>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</si>
  <si>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</si>
  <si>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</si>
  <si>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</si>
  <si>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</si>
  <si>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</si>
  <si>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</si>
  <si>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</si>
  <si>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</si>
  <si>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</si>
  <si>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</si>
  <si>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</si>
  <si>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</si>
  <si>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</si>
  <si>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</si>
  <si>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</si>
  <si>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</si>
  <si>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</si>
  <si>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</si>
  <si>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</si>
  <si>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</si>
  <si>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</si>
  <si>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</si>
  <si>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</si>
  <si>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</si>
  <si>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</si>
  <si>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</si>
  <si>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</si>
  <si>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</si>
  <si>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</si>
  <si>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</si>
  <si>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</si>
  <si>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</si>
  <si>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</si>
  <si>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</si>
  <si>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</si>
  <si>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</si>
  <si>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</si>
  <si>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</si>
  <si>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</si>
  <si>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</si>
  <si>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</si>
  <si>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</si>
  <si>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</si>
  <si>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</si>
  <si>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</si>
  <si>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</si>
  <si>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</si>
  <si>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</si>
  <si>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</si>
  <si>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</si>
  <si>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</si>
  <si>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</si>
  <si>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</si>
  <si>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</si>
  <si>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</si>
  <si>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</si>
  <si>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</si>
  <si>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</si>
  <si>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</si>
  <si>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</si>
  <si>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</si>
  <si>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</si>
  <si>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</si>
  <si>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</si>
  <si>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</si>
  <si>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</si>
  <si>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</si>
  <si>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</si>
  <si>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</si>
  <si>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</si>
  <si>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</si>
  <si>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</si>
  <si>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</si>
  <si>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</si>
  <si>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</si>
  <si>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</si>
  <si>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</si>
  <si>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</si>
  <si>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</si>
  <si>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</si>
  <si>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</si>
  <si>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</si>
  <si>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</si>
  <si>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</si>
  <si>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</si>
  <si>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</si>
  <si>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</si>
  <si>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</si>
  <si>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</si>
  <si>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</si>
  <si>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</si>
  <si>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</si>
  <si>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</si>
  <si>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</si>
  <si>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</si>
  <si>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</si>
  <si>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</si>
  <si>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</si>
  <si>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</si>
  <si>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</si>
  <si>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</si>
  <si>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</si>
  <si>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</si>
  <si>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</si>
  <si>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</si>
  <si>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</si>
  <si>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</si>
  <si>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</si>
  <si>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</si>
  <si>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</si>
  <si>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</si>
  <si>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</si>
  <si>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</si>
  <si>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</si>
  <si>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</si>
  <si>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</si>
  <si>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</si>
  <si>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</si>
  <si>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</si>
  <si>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</si>
  <si>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</si>
  <si>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</si>
  <si>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</si>
  <si>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</si>
  <si>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</si>
  <si>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</si>
  <si>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</si>
  <si>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</si>
  <si>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</si>
  <si>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</si>
  <si>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</si>
  <si>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</si>
  <si>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</si>
  <si>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</si>
  <si>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</si>
  <si>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</si>
  <si>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</si>
  <si>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</si>
  <si>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</si>
  <si>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</si>
  <si>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</si>
  <si>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</si>
  <si>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</si>
  <si>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</si>
  <si>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</si>
  <si>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</si>
  <si>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</si>
  <si>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</si>
  <si>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</si>
  <si>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</si>
  <si>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</si>
  <si>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</si>
  <si>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</si>
  <si>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</si>
  <si>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</si>
  <si>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</si>
  <si>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</si>
  <si>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</si>
  <si>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</si>
  <si>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</si>
  <si>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</si>
  <si>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</si>
  <si>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</si>
  <si>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</si>
  <si>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</si>
  <si>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</si>
  <si>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</si>
  <si>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</si>
  <si>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</si>
  <si>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</si>
  <si>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</si>
  <si>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</si>
  <si>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</si>
  <si>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</si>
  <si>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</si>
  <si>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</si>
  <si>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</si>
  <si>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</si>
  <si>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</si>
  <si>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</si>
  <si>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</si>
  <si>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</si>
  <si>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</si>
  <si>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</si>
  <si>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</si>
  <si>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</si>
  <si>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</si>
  <si>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</si>
  <si>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</si>
  <si>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</si>
  <si>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</si>
  <si>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</si>
  <si>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</si>
  <si>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</si>
  <si>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</si>
  <si>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</si>
  <si>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</si>
  <si>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</si>
  <si>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</si>
  <si>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</si>
  <si>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</si>
  <si>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</si>
  <si>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</si>
  <si>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</si>
  <si>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</si>
  <si>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</si>
  <si>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</si>
  <si>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</si>
  <si>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</si>
  <si>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</si>
  <si>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</si>
  <si>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</si>
  <si>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</si>
  <si>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</si>
  <si>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</si>
  <si>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</si>
  <si>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</si>
  <si>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</si>
  <si>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</si>
  <si>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</si>
  <si>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</si>
  <si>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</si>
  <si>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</si>
  <si>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</si>
  <si>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</si>
  <si>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</si>
  <si>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</si>
  <si>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</si>
  <si>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</si>
  <si>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</si>
  <si>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</si>
  <si>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</si>
  <si>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</si>
  <si>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</si>
  <si>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</si>
  <si>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</si>
  <si>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</si>
  <si>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</si>
  <si>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</si>
  <si>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</si>
  <si>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</si>
  <si>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</si>
  <si>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</si>
  <si>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</si>
  <si>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</si>
  <si>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</si>
  <si>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</si>
  <si>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</si>
  <si>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</si>
  <si>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</si>
  <si>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</si>
  <si>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</si>
  <si>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</si>
  <si>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</si>
  <si>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</si>
  <si>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</si>
  <si>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</si>
  <si>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</si>
  <si>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</si>
  <si>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</si>
  <si>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</si>
  <si>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</si>
  <si>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</si>
  <si>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</si>
  <si>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</si>
  <si>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</si>
  <si>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</si>
  <si>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</si>
  <si>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</si>
  <si>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</si>
  <si>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</si>
  <si>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</si>
  <si>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</si>
  <si>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</si>
  <si>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</si>
  <si>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</si>
  <si>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</si>
  <si>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</si>
  <si>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</si>
  <si>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</si>
  <si>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</si>
  <si>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</si>
  <si>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</si>
  <si>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</si>
  <si>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</si>
  <si>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</si>
  <si>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</si>
  <si>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</si>
  <si>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</si>
  <si>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</si>
  <si>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</si>
  <si>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</si>
  <si>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</si>
  <si>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</si>
  <si>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</si>
  <si>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</si>
  <si>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</si>
  <si>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</si>
  <si>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</si>
  <si>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</si>
  <si>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</si>
  <si>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</si>
  <si>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</si>
  <si>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</si>
  <si>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</si>
  <si>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</si>
  <si>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</si>
  <si>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</si>
  <si>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</si>
  <si>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</si>
  <si>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</si>
  <si>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</si>
  <si>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</si>
  <si>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</si>
  <si>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</si>
  <si>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</si>
  <si>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</si>
  <si>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</si>
  <si>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</si>
  <si>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</si>
  <si>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</si>
  <si>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</si>
  <si>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</si>
  <si>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</si>
  <si>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</si>
  <si>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</si>
  <si>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</si>
  <si>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</si>
  <si>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</si>
  <si>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</si>
  <si>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</si>
  <si>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</si>
  <si>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</si>
  <si>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</si>
  <si>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</si>
  <si>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</si>
  <si>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</si>
  <si>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</si>
  <si>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</si>
  <si>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</si>
  <si>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</si>
  <si>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</si>
  <si>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</si>
  <si>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</si>
  <si>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</si>
  <si>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</si>
  <si>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</si>
  <si>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</si>
  <si>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</si>
  <si>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</si>
  <si>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</si>
  <si>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</si>
  <si>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</si>
  <si>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</si>
  <si>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</si>
  <si>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</si>
  <si>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</si>
  <si>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</si>
  <si>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</si>
  <si>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</si>
  <si>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</si>
  <si>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</si>
  <si>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</si>
  <si>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</si>
  <si>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</si>
  <si>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</si>
  <si>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</si>
  <si>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</si>
  <si>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</si>
  <si>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</si>
  <si>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</si>
  <si>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</si>
  <si>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</si>
  <si>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</si>
  <si>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</si>
  <si>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</si>
  <si>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</si>
  <si>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</si>
  <si>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</si>
  <si>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</si>
  <si>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</si>
  <si>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</si>
  <si>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</si>
  <si>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</si>
  <si>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</si>
  <si>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</si>
  <si>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</si>
  <si>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</si>
  <si>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</si>
  <si>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</si>
  <si>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</si>
  <si>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</si>
  <si>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</si>
  <si>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</si>
  <si>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</si>
  <si>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</si>
  <si>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</si>
  <si>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</si>
  <si>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</si>
  <si>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</si>
  <si>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</si>
  <si>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</si>
  <si>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</si>
  <si>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</si>
  <si>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</si>
  <si>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</si>
  <si>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</si>
  <si>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</si>
  <si>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</si>
  <si>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</si>
  <si>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</si>
  <si>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</si>
  <si>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</si>
  <si>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</si>
  <si>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</si>
  <si>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</si>
  <si>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</si>
  <si>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</si>
  <si>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</si>
  <si>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</si>
  <si>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</si>
  <si>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</si>
  <si>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</si>
  <si>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</si>
  <si>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</si>
  <si>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</si>
  <si>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</si>
  <si>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</si>
  <si>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</si>
  <si>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</si>
  <si>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</si>
  <si>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</si>
  <si>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</si>
  <si>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</si>
  <si>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</si>
  <si>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</si>
  <si>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</si>
  <si>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</si>
  <si>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</si>
  <si>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</si>
  <si>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</si>
  <si>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</si>
  <si>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</si>
  <si>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</si>
  <si>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</si>
  <si>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</si>
  <si>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</si>
  <si>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</si>
  <si>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</si>
  <si>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</si>
  <si>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</si>
  <si>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</si>
  <si>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</si>
  <si>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</si>
  <si>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</si>
  <si>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</si>
  <si>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</si>
  <si>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</si>
  <si>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</si>
  <si>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</si>
  <si>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</si>
  <si>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</si>
  <si>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</si>
  <si>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</si>
  <si>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</si>
  <si>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</si>
  <si>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</si>
  <si>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</si>
  <si>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</si>
  <si>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</si>
  <si>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</si>
  <si>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</si>
  <si>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</si>
  <si>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</si>
  <si>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</si>
  <si>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</si>
  <si>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</si>
  <si>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</si>
  <si>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</si>
  <si>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</si>
  <si>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</si>
  <si>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</si>
  <si>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</si>
  <si>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</si>
  <si>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</si>
  <si>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</si>
  <si>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</si>
  <si>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</si>
  <si>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</si>
  <si>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</si>
  <si>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</si>
  <si>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</si>
  <si>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</si>
  <si>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</si>
  <si>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</si>
  <si>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</si>
  <si>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</si>
  <si>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</si>
  <si>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</si>
  <si>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</si>
  <si>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</si>
  <si>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</si>
  <si>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</si>
  <si>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</si>
  <si>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</si>
  <si>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</si>
  <si>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</si>
  <si>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</si>
  <si>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</si>
  <si>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</si>
  <si>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</si>
  <si>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</si>
  <si>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</si>
  <si>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</si>
  <si>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</si>
  <si>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</si>
  <si>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</si>
  <si>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</si>
  <si>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</si>
  <si>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</si>
  <si>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</si>
  <si>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</si>
  <si>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</si>
  <si>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</si>
  <si>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</si>
  <si>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</si>
  <si>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</si>
  <si>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</si>
  <si>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</si>
  <si>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</si>
  <si>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</si>
  <si>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</si>
  <si>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</si>
  <si>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</si>
  <si>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</si>
  <si>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</si>
  <si>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</si>
  <si>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</si>
  <si>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</si>
  <si>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</si>
  <si>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</si>
  <si>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</si>
  <si>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</si>
  <si>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</si>
  <si>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</si>
  <si>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</si>
  <si>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</si>
  <si>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</si>
  <si>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</si>
  <si>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</si>
  <si>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</si>
  <si>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</si>
  <si>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</si>
  <si>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</si>
  <si>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</si>
  <si>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</si>
  <si>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</si>
  <si>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</si>
  <si>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</si>
  <si>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</si>
  <si>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</si>
  <si>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</si>
  <si>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</si>
  <si>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</si>
  <si>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</si>
  <si>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</si>
  <si>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</si>
  <si>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</si>
  <si>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</si>
  <si>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</si>
  <si>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</si>
  <si>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</si>
  <si>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</si>
  <si>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</si>
  <si>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</si>
  <si>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</si>
  <si>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</si>
  <si>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</si>
  <si>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</si>
  <si>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</si>
  <si>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</si>
  <si>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</si>
  <si>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</si>
  <si>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</si>
  <si>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</si>
  <si>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</si>
  <si>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</si>
  <si>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</si>
  <si>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</si>
  <si>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</si>
  <si>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</si>
  <si>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</si>
  <si>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</si>
  <si>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</si>
  <si>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</si>
  <si>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</si>
  <si>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</si>
  <si>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</si>
  <si>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</si>
  <si>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</si>
  <si>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</si>
  <si>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</si>
  <si>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</si>
  <si>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</si>
  <si>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</si>
  <si>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</si>
  <si>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</si>
  <si>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</si>
  <si>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</si>
  <si>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</si>
  <si>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</si>
  <si>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</si>
  <si>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</si>
  <si>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</si>
  <si>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</si>
  <si>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</si>
  <si>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</si>
  <si>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</si>
  <si>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</si>
  <si>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</si>
  <si>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</si>
  <si>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</si>
  <si>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</si>
  <si>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</si>
  <si>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</si>
  <si>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</si>
  <si>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</si>
  <si>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</si>
  <si>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</si>
  <si>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</si>
  <si>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</si>
  <si>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</si>
  <si>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</si>
  <si>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</si>
  <si>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</si>
  <si>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</si>
  <si>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</si>
  <si>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</si>
  <si>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</si>
  <si>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</si>
  <si>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</si>
  <si>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</si>
  <si>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</si>
  <si>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</si>
  <si>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</si>
  <si>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</si>
  <si>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</si>
  <si>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</si>
  <si>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</si>
  <si>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</si>
  <si>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</si>
  <si>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</si>
  <si>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</si>
  <si>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</si>
  <si>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</si>
  <si>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</si>
  <si>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</si>
  <si>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</si>
  <si>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</si>
  <si>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</si>
  <si>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</si>
  <si>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</si>
  <si>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</si>
  <si>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</si>
  <si>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</si>
  <si>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</si>
  <si>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</si>
  <si>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</si>
  <si>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</si>
  <si>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</si>
  <si>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</si>
  <si>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</si>
  <si>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</si>
  <si>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</si>
  <si>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</si>
  <si>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</si>
  <si>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</si>
  <si>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</si>
  <si>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</si>
  <si>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</si>
  <si>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</si>
  <si>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</si>
  <si>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</si>
  <si>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</si>
  <si>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</si>
  <si>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</si>
  <si>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</si>
  <si>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</si>
  <si>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</si>
  <si>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</si>
  <si>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</si>
  <si>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</si>
  <si>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</si>
  <si>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</si>
  <si>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</si>
  <si>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</si>
  <si>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</si>
  <si>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</si>
  <si>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</si>
  <si>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</si>
  <si>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</si>
  <si>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</si>
  <si>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</si>
  <si>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</si>
  <si>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</si>
  <si>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</si>
  <si>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</si>
  <si>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</si>
  <si>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</si>
  <si>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</si>
  <si>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</si>
  <si>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</si>
  <si>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</si>
  <si>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</si>
  <si>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</si>
  <si>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</si>
  <si>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</si>
  <si>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</si>
  <si>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</si>
  <si>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</si>
  <si>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</si>
  <si>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</si>
  <si>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</si>
  <si>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</si>
  <si>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</si>
  <si>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</si>
  <si>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</si>
  <si>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</si>
  <si>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</si>
  <si>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</si>
  <si>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</si>
  <si>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</si>
  <si>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</si>
  <si>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</si>
  <si>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</si>
  <si>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</si>
  <si>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</si>
  <si>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</si>
  <si>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</si>
  <si>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</si>
  <si>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</si>
  <si>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</si>
  <si>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</si>
  <si>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</si>
  <si>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</si>
  <si>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</si>
  <si>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</si>
  <si>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</si>
  <si>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</si>
  <si>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</si>
  <si>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</si>
  <si>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</si>
  <si>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</si>
  <si>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</si>
  <si>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</si>
  <si>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</si>
  <si>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</si>
  <si>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</si>
  <si>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</si>
  <si>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</si>
  <si>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</si>
  <si>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</si>
  <si>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</si>
  <si>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</si>
  <si>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</si>
  <si>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</si>
  <si>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</si>
  <si>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</si>
  <si>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</si>
  <si>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</si>
  <si>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</si>
  <si>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</si>
  <si>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</si>
  <si>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</si>
  <si>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</si>
  <si>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</si>
  <si>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</si>
  <si>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</si>
  <si>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</si>
  <si>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</si>
  <si>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</si>
  <si>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</si>
  <si>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</si>
  <si>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</si>
  <si>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</si>
  <si>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</si>
  <si>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</si>
  <si>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</si>
  <si>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</si>
  <si>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</si>
  <si>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</si>
  <si>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</si>
  <si>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</si>
  <si>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</si>
  <si>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</si>
  <si>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</si>
  <si>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</si>
  <si>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</si>
  <si>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</si>
  <si>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</si>
  <si>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</si>
  <si>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</si>
  <si>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</si>
  <si>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</si>
  <si>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</si>
  <si>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</si>
  <si>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</si>
  <si>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</si>
  <si>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</si>
  <si>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</si>
  <si>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</si>
  <si>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</si>
  <si>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</si>
  <si>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</si>
  <si>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</si>
  <si>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</si>
  <si>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</si>
  <si>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</si>
  <si>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</si>
  <si>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</si>
  <si>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</si>
  <si>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</si>
  <si>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</si>
  <si>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</si>
  <si>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</si>
  <si>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</si>
  <si>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</si>
  <si>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</si>
  <si>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</si>
  <si>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</si>
  <si>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</si>
  <si>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</si>
  <si>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</si>
  <si>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</si>
  <si>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</si>
  <si>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</si>
  <si>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</si>
  <si>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</si>
  <si>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</si>
  <si>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</si>
  <si>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</si>
  <si>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</si>
  <si>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</si>
  <si>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</si>
  <si>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</si>
  <si>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</si>
  <si>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</si>
  <si>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</si>
  <si>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</si>
  <si>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</si>
  <si>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</si>
  <si>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</si>
  <si>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</si>
  <si>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</si>
  <si>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</si>
  <si>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</si>
  <si>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</si>
  <si>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</si>
  <si>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</si>
  <si>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</si>
  <si>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</si>
  <si>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</si>
  <si>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</si>
  <si>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</si>
  <si>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</si>
  <si>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</si>
  <si>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</si>
  <si>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</si>
  <si>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</si>
  <si>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</si>
  <si>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</si>
  <si>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</si>
  <si>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</si>
  <si>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</si>
  <si>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</si>
  <si>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</si>
  <si>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</si>
  <si>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</si>
  <si>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</si>
  <si>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</si>
  <si>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</si>
  <si>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</si>
  <si>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</si>
  <si>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</si>
  <si>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</si>
  <si>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</si>
  <si>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</si>
  <si>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</si>
  <si>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</si>
  <si>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</si>
  <si>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</si>
  <si>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</si>
  <si>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</si>
  <si>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</si>
  <si>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</si>
  <si>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</si>
  <si>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</si>
  <si>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</si>
  <si>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</si>
  <si>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</si>
  <si>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</si>
  <si>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</si>
  <si>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</si>
  <si>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</si>
  <si>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</si>
  <si>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</si>
  <si>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</si>
  <si>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</si>
  <si>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</si>
  <si>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</si>
  <si>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</si>
  <si>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</si>
  <si>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</si>
  <si>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</si>
  <si>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</si>
  <si>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</si>
  <si>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</si>
  <si>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</si>
  <si>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</si>
  <si>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</si>
  <si>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</si>
  <si>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</si>
  <si>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</si>
  <si>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</si>
  <si>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</si>
  <si>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</si>
  <si>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</si>
  <si>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</si>
  <si>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</si>
  <si>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</si>
  <si>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</si>
  <si>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</si>
  <si>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</si>
  <si>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</si>
  <si>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</si>
  <si>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</si>
  <si>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</si>
  <si>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</si>
  <si>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</si>
  <si>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</si>
  <si>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</si>
  <si>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</si>
  <si>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</si>
  <si>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</si>
  <si>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</si>
  <si>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</si>
  <si>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</si>
  <si>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</si>
  <si>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</si>
  <si>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</si>
  <si>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</si>
  <si>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</si>
  <si>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</si>
  <si>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</si>
  <si>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</si>
  <si>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</si>
  <si>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</si>
  <si>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</si>
  <si>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</si>
  <si>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</si>
  <si>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</si>
  <si>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</si>
  <si>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</si>
  <si>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</si>
  <si>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</si>
  <si>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</si>
  <si>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</si>
  <si>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</si>
  <si>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</si>
  <si>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</si>
  <si>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</si>
  <si>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</si>
  <si>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</si>
  <si>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</si>
  <si>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</si>
  <si>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</si>
  <si>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</si>
  <si>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</si>
  <si>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</si>
  <si>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</si>
  <si>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</si>
  <si>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</si>
  <si>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</si>
  <si>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</si>
  <si>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</si>
  <si>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</si>
  <si>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</si>
  <si>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</si>
  <si>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</si>
  <si>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</si>
  <si>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</si>
  <si>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</si>
  <si>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</si>
  <si>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</si>
  <si>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</si>
  <si>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</si>
  <si>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</si>
  <si>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</si>
  <si>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</si>
  <si>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</si>
  <si>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</si>
  <si>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</si>
  <si>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</si>
  <si>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</si>
  <si>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</si>
  <si>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</si>
  <si>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</si>
  <si>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</si>
  <si>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</si>
  <si>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</si>
  <si>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</si>
  <si>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</si>
  <si>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</si>
  <si>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</si>
  <si>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</si>
  <si>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</si>
  <si>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</si>
  <si>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</si>
  <si>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</si>
  <si>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</si>
  <si>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</si>
  <si>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</si>
  <si>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</si>
  <si>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</si>
  <si>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</si>
  <si>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</si>
  <si>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</si>
  <si>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</si>
  <si>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</si>
  <si>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</si>
  <si>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</si>
  <si>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</si>
  <si>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</si>
  <si>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</si>
  <si>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</si>
  <si>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</si>
  <si>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</si>
  <si>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</si>
  <si>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</si>
  <si>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</si>
  <si>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</si>
  <si>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</si>
  <si>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</si>
  <si>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</si>
  <si>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</si>
  <si>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</si>
  <si>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</si>
  <si>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</si>
  <si>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</si>
  <si>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</si>
  <si>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</si>
  <si>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</si>
  <si>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</si>
  <si>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</si>
  <si>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</si>
  <si>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</si>
  <si>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</si>
  <si>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</si>
  <si>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</si>
  <si>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</si>
  <si>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</si>
  <si>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</si>
  <si>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</si>
  <si>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</si>
  <si>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</si>
  <si>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</si>
  <si>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</si>
  <si>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</si>
  <si>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</si>
  <si>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</si>
  <si>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</si>
  <si>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</si>
  <si>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</si>
  <si>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</si>
  <si>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</si>
  <si>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</si>
  <si>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</si>
  <si>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</si>
  <si>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</si>
  <si>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</si>
  <si>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</si>
  <si>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</si>
  <si>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</si>
  <si>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</si>
  <si>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</si>
  <si>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</si>
  <si>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</si>
  <si>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</si>
  <si>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</si>
  <si>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</si>
  <si>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</si>
  <si>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</si>
  <si>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</si>
  <si>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</si>
  <si>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</si>
  <si>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</si>
  <si>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</si>
  <si>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</si>
  <si>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</si>
  <si>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</si>
  <si>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</si>
  <si>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</si>
  <si>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</si>
  <si>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</si>
  <si>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</si>
  <si>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</si>
  <si>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</si>
  <si>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</si>
  <si>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</si>
  <si>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</si>
  <si>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</si>
  <si>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</si>
  <si>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</si>
  <si>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</si>
  <si>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</si>
  <si>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</si>
  <si>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</si>
  <si>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</si>
  <si>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</si>
  <si>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</si>
  <si>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</si>
  <si>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</si>
  <si>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</si>
  <si>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</si>
  <si>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</si>
  <si>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</si>
  <si>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</si>
  <si>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</si>
  <si>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</si>
  <si>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</si>
  <si>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</si>
  <si>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</si>
  <si>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</si>
  <si>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</si>
  <si>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</si>
  <si>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</si>
  <si>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</si>
  <si>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</si>
  <si>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</si>
  <si>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</si>
  <si>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</si>
  <si>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</si>
  <si>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</si>
  <si>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</si>
  <si>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</si>
  <si>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</si>
  <si>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</si>
  <si>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</si>
  <si>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</si>
  <si>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</si>
  <si>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</si>
  <si>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</si>
  <si>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</si>
  <si>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</si>
  <si>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</si>
  <si>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</si>
  <si>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</si>
  <si>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</si>
  <si>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</si>
  <si>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</si>
  <si>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</si>
  <si>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</si>
  <si>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</si>
  <si>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</si>
  <si>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</si>
  <si>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</si>
  <si>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</si>
  <si>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</si>
  <si>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</si>
  <si>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</si>
  <si>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</si>
  <si>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</si>
  <si>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</si>
  <si>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</si>
  <si>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</si>
  <si>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</si>
  <si>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</si>
  <si>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</si>
  <si>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</si>
  <si>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</si>
  <si>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</si>
  <si>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</si>
  <si>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</si>
  <si>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</si>
  <si>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</si>
  <si>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</si>
  <si>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</si>
  <si>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</si>
  <si>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</si>
  <si>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</si>
  <si>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</si>
  <si>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</si>
  <si>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</si>
  <si>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</si>
  <si>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</si>
  <si>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</si>
  <si>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</si>
  <si>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</si>
  <si>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</si>
  <si>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</si>
  <si>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</si>
  <si>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</si>
  <si>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</si>
  <si>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</si>
  <si>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</si>
  <si>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</si>
  <si>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</si>
  <si>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</si>
  <si>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</si>
  <si>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</si>
  <si>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</si>
  <si>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</si>
  <si>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</si>
  <si>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</si>
  <si>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</si>
  <si>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</si>
  <si>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</si>
  <si>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</si>
  <si>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</si>
  <si>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</si>
  <si>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</si>
  <si>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</si>
  <si>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</si>
  <si>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</si>
  <si>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</si>
  <si>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</si>
  <si>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</si>
  <si>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</si>
  <si>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</si>
  <si>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</si>
  <si>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</si>
  <si>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</si>
  <si>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</si>
  <si>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</si>
  <si>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</si>
  <si>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</si>
  <si>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</si>
  <si>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</si>
  <si>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</si>
  <si>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</si>
  <si>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</si>
  <si>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</si>
  <si>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</si>
  <si>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</si>
  <si>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</si>
  <si>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</si>
  <si>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</si>
  <si>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</si>
  <si>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</si>
  <si>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</si>
  <si>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</si>
  <si>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</si>
  <si>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</si>
  <si>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</si>
  <si>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</si>
  <si>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</si>
  <si>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</si>
  <si>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</si>
  <si>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</si>
  <si>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</si>
  <si>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</si>
  <si>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</si>
  <si>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</si>
  <si>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</si>
  <si>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</si>
  <si>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</si>
  <si>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</si>
  <si>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</si>
  <si>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</si>
  <si>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</si>
  <si>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</si>
  <si>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</si>
  <si>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</si>
  <si>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</si>
  <si>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</si>
  <si>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</si>
  <si>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</si>
  <si>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</si>
  <si>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</si>
  <si>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</si>
  <si>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</si>
  <si>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</si>
  <si>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</si>
  <si>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</si>
  <si>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</si>
  <si>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</si>
  <si>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</si>
  <si>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</si>
  <si>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</si>
  <si>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</si>
  <si>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</si>
  <si>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</si>
  <si>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</si>
  <si>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</si>
  <si>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</si>
  <si>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</si>
  <si>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</si>
  <si>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</si>
  <si>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</si>
  <si>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</si>
  <si>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</si>
  <si>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</si>
  <si>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</si>
  <si>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</si>
  <si>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</si>
  <si>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</si>
  <si>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</si>
  <si>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</si>
  <si>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</si>
  <si>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</si>
  <si>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</si>
  <si>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</si>
  <si>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</si>
  <si>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</si>
  <si>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</si>
  <si>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</si>
  <si>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</si>
  <si>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</si>
  <si>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</si>
  <si>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</si>
  <si>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</si>
  <si>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</si>
  <si>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</si>
  <si>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</si>
  <si>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</si>
  <si>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</si>
  <si>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</si>
  <si>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</si>
  <si>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</si>
  <si>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</si>
  <si>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</si>
  <si>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</si>
  <si>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</si>
  <si>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</si>
  <si>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</si>
  <si>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</si>
  <si>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</si>
  <si>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</si>
  <si>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</si>
  <si>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</si>
  <si>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</si>
  <si>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</si>
  <si>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</si>
  <si>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</si>
  <si>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</si>
  <si>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</si>
  <si>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</si>
  <si>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</si>
  <si>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</si>
  <si>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</si>
  <si>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</si>
  <si>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</si>
  <si>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</si>
  <si>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</si>
  <si>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</si>
  <si>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</si>
  <si>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</si>
  <si>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</si>
  <si>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</si>
  <si>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</si>
  <si>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</si>
  <si>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</si>
  <si>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</si>
  <si>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</si>
  <si>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</si>
  <si>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</si>
  <si>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</si>
  <si>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</si>
  <si>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</si>
  <si>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</si>
  <si>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</si>
  <si>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</si>
  <si>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</si>
  <si>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</si>
  <si>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</si>
  <si>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</si>
  <si>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</si>
  <si>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</si>
  <si>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</si>
  <si>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</si>
  <si>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</si>
  <si>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</si>
  <si>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</si>
  <si>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</si>
  <si>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</si>
  <si>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</si>
  <si>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</si>
  <si>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</si>
  <si>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</si>
  <si>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</si>
  <si>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</si>
  <si>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</si>
  <si>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</si>
  <si>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</si>
  <si>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</si>
  <si>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</si>
  <si>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</si>
  <si>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</si>
  <si>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</si>
  <si>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</si>
  <si>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</si>
  <si>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</si>
  <si>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</si>
  <si>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</si>
  <si>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</si>
  <si>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</si>
  <si>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</si>
  <si>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</si>
  <si>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</si>
  <si>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</si>
  <si>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</si>
  <si>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</si>
  <si>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</si>
  <si>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</si>
  <si>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</si>
  <si>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</si>
  <si>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</si>
  <si>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</si>
  <si>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</si>
  <si>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</si>
  <si>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</si>
  <si>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</si>
  <si>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</si>
  <si>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</si>
  <si>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</si>
  <si>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</si>
  <si>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</si>
  <si>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</si>
  <si>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</si>
  <si>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</si>
  <si>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</si>
  <si>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</si>
  <si>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</si>
  <si>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</si>
  <si>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</si>
  <si>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</si>
  <si>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</si>
  <si>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</si>
  <si>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</si>
  <si>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</si>
  <si>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</si>
  <si>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</si>
  <si>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</si>
  <si>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</si>
  <si>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</si>
  <si>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</si>
  <si>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</si>
  <si>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</si>
  <si>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</si>
  <si>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</si>
  <si>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</si>
  <si>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</si>
  <si>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</si>
  <si>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</si>
  <si>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</si>
  <si>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</si>
  <si>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</si>
  <si>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</si>
  <si>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</si>
  <si>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</si>
  <si>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</si>
  <si>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</si>
  <si>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</si>
  <si>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</si>
  <si>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</si>
  <si>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</si>
  <si>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</si>
  <si>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</si>
  <si>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</si>
  <si>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</si>
  <si>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</si>
  <si>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</si>
  <si>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</si>
  <si>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</si>
  <si>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</si>
  <si>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</si>
  <si>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</si>
  <si>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</si>
  <si>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</si>
  <si>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</si>
  <si>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</si>
  <si>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</si>
  <si>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</si>
  <si>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</si>
  <si>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</si>
  <si>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</si>
  <si>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</si>
  <si>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</si>
  <si>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</si>
  <si>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</si>
  <si>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</si>
  <si>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</si>
  <si>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</si>
  <si>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</si>
  <si>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</si>
  <si>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</si>
  <si>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</si>
  <si>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</si>
  <si>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</si>
  <si>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</si>
  <si>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</si>
  <si>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</si>
  <si>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</si>
  <si>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</si>
  <si>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</si>
  <si>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</si>
  <si>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</si>
  <si>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</si>
  <si>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</si>
  <si>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</si>
  <si>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</si>
  <si>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</si>
  <si>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</si>
  <si>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</si>
  <si>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</si>
  <si>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</si>
  <si>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</si>
  <si>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</si>
  <si>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</si>
  <si>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</si>
  <si>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</si>
  <si>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</si>
  <si>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</si>
  <si>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</si>
  <si>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</si>
  <si>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</si>
  <si>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</si>
  <si>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</si>
  <si>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</si>
  <si>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</si>
  <si>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</si>
  <si>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</si>
  <si>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</si>
  <si>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</si>
  <si>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</si>
  <si>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</si>
  <si>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</si>
  <si>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</si>
  <si>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</si>
  <si>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</si>
  <si>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</si>
  <si>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</si>
  <si>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</si>
  <si>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</si>
  <si>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</si>
  <si>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</si>
  <si>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</si>
  <si>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</si>
  <si>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</si>
  <si>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</si>
  <si>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</si>
  <si>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</si>
  <si>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</si>
  <si>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</si>
  <si>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</si>
  <si>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</si>
  <si>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</si>
  <si>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</si>
  <si>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</si>
  <si>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</si>
  <si>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</si>
  <si>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</si>
  <si>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</si>
  <si>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</si>
  <si>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</si>
  <si>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</si>
  <si>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</si>
  <si>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</si>
  <si>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</si>
  <si>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</si>
  <si>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</si>
  <si>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</si>
  <si>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</si>
  <si>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</si>
  <si>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</si>
  <si>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</si>
  <si>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</si>
  <si>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</si>
  <si>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</si>
  <si>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</si>
  <si>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</si>
  <si>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</si>
  <si>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</si>
  <si>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</si>
  <si>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</si>
  <si>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</si>
  <si>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</si>
  <si>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</si>
  <si>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</si>
  <si>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</si>
  <si>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</si>
  <si>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</si>
  <si>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</si>
  <si>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</si>
  <si>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</si>
  <si>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</si>
  <si>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</si>
  <si>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</si>
  <si>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</si>
  <si>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</si>
  <si>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</si>
  <si>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</si>
  <si>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</si>
  <si>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</si>
  <si>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</si>
  <si>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</si>
  <si>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</si>
  <si>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</si>
  <si>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</si>
  <si>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</si>
  <si>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</si>
  <si>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</si>
  <si>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</si>
  <si>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</si>
  <si>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</si>
  <si>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</si>
  <si>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</si>
  <si>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</si>
  <si>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</si>
  <si>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</si>
  <si>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</si>
  <si>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</si>
  <si>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</si>
  <si>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</si>
  <si>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</si>
  <si>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</si>
  <si>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</si>
  <si>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</si>
  <si>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</si>
  <si>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</si>
  <si>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</si>
  <si>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</si>
  <si>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</si>
  <si>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</si>
  <si>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</si>
  <si>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</si>
  <si>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</si>
  <si>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</si>
  <si>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</si>
  <si>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</si>
  <si>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</si>
  <si>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</si>
  <si>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</si>
  <si>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</si>
  <si>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</si>
  <si>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</si>
  <si>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</si>
  <si>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</si>
  <si>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</si>
  <si>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</si>
  <si>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</si>
  <si>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</si>
  <si>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</si>
  <si>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</si>
  <si>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</si>
  <si>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</si>
  <si>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</si>
  <si>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</si>
  <si>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</si>
  <si>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</si>
  <si>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</si>
  <si>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</si>
  <si>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</si>
  <si>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</si>
  <si>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</si>
  <si>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</si>
  <si>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</si>
  <si>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</si>
  <si>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</si>
  <si>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</si>
  <si>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</si>
  <si>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</si>
  <si>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</si>
  <si>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</si>
  <si>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</si>
  <si>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</si>
  <si>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</si>
  <si>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</si>
  <si>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</si>
  <si>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</si>
  <si>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</si>
  <si>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</si>
  <si>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</si>
  <si>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</si>
  <si>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</si>
  <si>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</si>
  <si>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</si>
  <si>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</si>
  <si>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</si>
  <si>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</si>
  <si>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</si>
  <si>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</si>
  <si>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</si>
  <si>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</si>
  <si>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</si>
  <si>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</si>
  <si>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</si>
  <si>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</si>
  <si>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</si>
  <si>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</si>
  <si>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</si>
  <si>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</si>
  <si>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</si>
  <si>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</si>
  <si>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</si>
  <si>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</si>
  <si>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</si>
  <si>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</si>
  <si>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</si>
  <si>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</si>
  <si>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</si>
  <si>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</si>
  <si>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</si>
  <si>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</si>
  <si>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</si>
  <si>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</si>
  <si>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</si>
  <si>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</si>
  <si>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</si>
  <si>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</si>
  <si>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</si>
  <si>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</si>
  <si>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</si>
  <si>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</si>
  <si>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</si>
  <si>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</si>
  <si>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</si>
  <si>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</si>
  <si>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</si>
  <si>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</si>
  <si>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</si>
  <si>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</si>
  <si>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</si>
  <si>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</si>
  <si>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</si>
  <si>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</si>
  <si>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</si>
  <si>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</si>
  <si>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</si>
  <si>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</si>
  <si>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</si>
  <si>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</si>
  <si>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</si>
  <si>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</si>
  <si>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</si>
  <si>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</si>
  <si>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</si>
  <si>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</si>
  <si>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</si>
  <si>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</si>
  <si>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</si>
  <si>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</si>
  <si>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</si>
  <si>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</si>
  <si>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</si>
  <si>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</si>
  <si>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</si>
  <si>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</si>
  <si>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</si>
  <si>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</si>
  <si>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</si>
  <si>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</si>
  <si>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</si>
  <si>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</si>
  <si>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</si>
  <si>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</si>
  <si>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</si>
  <si>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</si>
  <si>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</si>
  <si>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</si>
  <si>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</si>
  <si>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</si>
  <si>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</si>
  <si>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</si>
  <si>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</si>
  <si>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</si>
  <si>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</si>
  <si>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</si>
  <si>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</si>
  <si>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</si>
  <si>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</si>
  <si>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</si>
  <si>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</si>
  <si>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</si>
  <si>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</si>
  <si>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</si>
  <si>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</si>
  <si>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</si>
  <si>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</si>
  <si>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</si>
  <si>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</si>
  <si>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</si>
  <si>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</si>
  <si>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</si>
  <si>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</si>
  <si>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</si>
  <si>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</si>
  <si>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</si>
  <si>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</si>
  <si>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</si>
  <si>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</si>
  <si>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</si>
  <si>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</si>
  <si>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</si>
  <si>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</si>
  <si>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</si>
  <si>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</si>
  <si>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</si>
  <si>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</si>
  <si>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</si>
  <si>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</si>
  <si>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</si>
  <si>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</si>
  <si>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</si>
  <si>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</si>
  <si>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</si>
  <si>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</si>
  <si>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</si>
  <si>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</si>
  <si>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</si>
  <si>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</si>
  <si>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</si>
  <si>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</si>
  <si>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</si>
  <si>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</si>
  <si>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</si>
  <si>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</si>
  <si>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</si>
  <si>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</si>
  <si>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</si>
  <si>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</si>
  <si>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</si>
  <si>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</si>
  <si>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</si>
  <si>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</si>
  <si>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</si>
  <si>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</si>
  <si>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</si>
  <si>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</si>
  <si>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</si>
  <si>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</si>
  <si>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</si>
  <si>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</si>
  <si>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</si>
  <si>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</si>
  <si>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</si>
  <si>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</si>
  <si>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</si>
  <si>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</si>
  <si>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</si>
  <si>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</si>
  <si>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</si>
  <si>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</si>
  <si>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</si>
  <si>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</si>
  <si>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</si>
  <si>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</si>
  <si>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</si>
  <si>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</si>
  <si>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</si>
  <si>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</si>
  <si>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</si>
  <si>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</si>
  <si>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</si>
  <si>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</si>
  <si>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</si>
  <si>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</si>
  <si>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</si>
  <si>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</si>
  <si>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</si>
  <si>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</si>
  <si>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</si>
  <si>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</si>
  <si>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</si>
  <si>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</si>
  <si>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</si>
  <si>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</si>
  <si>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</si>
  <si>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</si>
  <si>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</si>
  <si>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</si>
  <si>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</si>
  <si>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</si>
  <si>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</si>
  <si>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</si>
  <si>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</si>
  <si>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</si>
  <si>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</si>
  <si>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</si>
  <si>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</si>
  <si>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</si>
  <si>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</si>
  <si>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</si>
  <si>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</si>
  <si>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</si>
  <si>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</si>
  <si>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</si>
  <si>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</si>
  <si>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</si>
  <si>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</si>
  <si>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</si>
  <si>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</si>
  <si>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</si>
  <si>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</si>
  <si>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</si>
  <si>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</si>
  <si>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</si>
  <si>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</si>
  <si>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</si>
  <si>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</si>
  <si>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</si>
  <si>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</si>
  <si>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</si>
  <si>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</si>
  <si>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</si>
  <si>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</si>
  <si>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</si>
  <si>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</si>
  <si>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</si>
  <si>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</si>
  <si>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</si>
  <si>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</si>
  <si>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</si>
  <si>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</si>
  <si>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</si>
  <si>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</si>
  <si>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</si>
  <si>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</si>
  <si>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</si>
  <si>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</si>
  <si>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</si>
  <si>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</si>
  <si>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</si>
  <si>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</si>
  <si>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</si>
  <si>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</si>
  <si>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</si>
  <si>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</si>
  <si>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</si>
  <si>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</si>
  <si>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</si>
  <si>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</si>
  <si>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</si>
  <si>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</si>
  <si>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</si>
  <si>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</si>
  <si>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</si>
  <si>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</si>
  <si>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</si>
  <si>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</si>
  <si>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</si>
  <si>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</si>
  <si>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</si>
  <si>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</si>
  <si>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</si>
  <si>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</si>
  <si>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</si>
  <si>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</si>
  <si>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</si>
  <si>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</si>
  <si>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</si>
  <si>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</si>
  <si>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</si>
  <si>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</si>
  <si>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</si>
  <si>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</si>
  <si>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</si>
  <si>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</si>
  <si>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</si>
  <si>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</si>
  <si>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</si>
  <si>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</si>
  <si>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</si>
  <si>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</si>
  <si>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</si>
  <si>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</si>
  <si>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</si>
  <si>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</si>
  <si>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</si>
  <si>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</si>
  <si>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</si>
  <si>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</si>
  <si>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</si>
  <si>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</si>
  <si>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</si>
  <si>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</si>
  <si>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</si>
  <si>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</si>
  <si>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</si>
  <si>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</si>
  <si>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</si>
  <si>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</si>
  <si>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</si>
  <si>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</si>
  <si>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</si>
  <si>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</si>
  <si>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</si>
  <si>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</si>
  <si>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</si>
  <si>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</si>
  <si>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</si>
  <si>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</si>
  <si>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</si>
  <si>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</si>
  <si>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</si>
  <si>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</si>
  <si>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</si>
  <si>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</si>
  <si>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</si>
  <si>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</si>
  <si>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</si>
  <si>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</si>
  <si>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</si>
  <si>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</si>
  <si>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</si>
  <si>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</si>
  <si>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</si>
  <si>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</si>
  <si>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</si>
  <si>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</si>
  <si>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</si>
  <si>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</si>
  <si>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</si>
  <si>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</si>
  <si>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</si>
  <si>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</si>
  <si>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</si>
  <si>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</si>
  <si>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</si>
  <si>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</si>
  <si>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</si>
  <si>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</si>
  <si>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</si>
  <si>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</si>
  <si>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</si>
  <si>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</si>
  <si>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</si>
  <si>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</si>
  <si>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</si>
  <si>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</si>
  <si>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</si>
  <si>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</si>
  <si>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</si>
  <si>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</si>
  <si>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</si>
  <si>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</si>
  <si>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</si>
  <si>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</si>
  <si>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</si>
  <si>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</si>
  <si>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</si>
  <si>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</si>
  <si>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</si>
  <si>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</si>
  <si>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</si>
  <si>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</si>
  <si>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</si>
  <si>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</si>
  <si>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</si>
  <si>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</si>
  <si>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</si>
  <si>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</si>
  <si>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</si>
  <si>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</si>
  <si>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</si>
  <si>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</si>
  <si>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</si>
  <si>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</si>
  <si>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</si>
  <si>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</si>
  <si>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</si>
  <si>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</si>
  <si>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</si>
  <si>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</si>
  <si>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</si>
  <si>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</si>
  <si>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</si>
  <si>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</si>
  <si>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</si>
  <si>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</si>
  <si>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</si>
  <si>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</si>
  <si>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</si>
  <si>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</si>
  <si>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</si>
  <si>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</si>
  <si>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</si>
  <si>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</si>
  <si>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</si>
  <si>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</si>
  <si>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</si>
  <si>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</si>
  <si>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</si>
  <si>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</si>
  <si>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</si>
  <si>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</si>
  <si>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</si>
  <si>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</si>
  <si>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</si>
  <si>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</si>
  <si>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</si>
  <si>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</si>
  <si>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</si>
  <si>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</si>
  <si>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</si>
  <si>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</si>
  <si>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</si>
  <si>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</si>
  <si>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</si>
  <si>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</si>
  <si>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</si>
  <si>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</si>
  <si>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</si>
  <si>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</si>
  <si>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</si>
  <si>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</si>
  <si>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</si>
  <si>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</si>
  <si>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</si>
  <si>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</si>
  <si>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</si>
  <si>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</si>
  <si>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</si>
  <si>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</si>
  <si>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</si>
  <si>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</si>
  <si>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</si>
  <si>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</si>
  <si>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</si>
  <si>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</si>
  <si>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</si>
  <si>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</si>
  <si>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</si>
  <si>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</si>
  <si>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</si>
  <si>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</si>
  <si>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</si>
  <si>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</si>
  <si>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</si>
  <si>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</si>
  <si>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</si>
  <si>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</si>
  <si>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</si>
  <si>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</si>
  <si>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</si>
  <si>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</si>
  <si>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</si>
  <si>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</si>
  <si>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</si>
  <si>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</si>
  <si>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</si>
  <si>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</si>
  <si>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</si>
  <si>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</si>
  <si>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</si>
  <si>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</si>
  <si>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</si>
  <si>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</si>
  <si>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</si>
  <si>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</si>
  <si>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</si>
  <si>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</si>
  <si>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</si>
  <si>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</si>
  <si>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</si>
  <si>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</si>
  <si>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</si>
  <si>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</si>
  <si>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</si>
  <si>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</si>
  <si>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</si>
  <si>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</si>
  <si>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</si>
  <si>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</si>
  <si>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</si>
  <si>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</si>
  <si>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</si>
  <si>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</si>
  <si>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</si>
  <si>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</si>
  <si>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</si>
  <si>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</si>
  <si>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</si>
  <si>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</si>
  <si>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</si>
  <si>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</si>
  <si>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</si>
  <si>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</si>
  <si>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</si>
  <si>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</si>
  <si>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</si>
  <si>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</si>
  <si>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</si>
  <si>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</si>
  <si>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</si>
  <si>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</si>
  <si>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</si>
  <si>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</si>
  <si>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</si>
  <si>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</si>
  <si>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</si>
  <si>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</si>
  <si>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</si>
  <si>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</si>
  <si>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</si>
  <si>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</si>
  <si>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</si>
  <si>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</si>
  <si>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</si>
  <si>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</si>
  <si>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</si>
  <si>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</si>
  <si>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</si>
  <si>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</si>
  <si>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</si>
  <si>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</si>
  <si>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</si>
  <si>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</si>
  <si>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</si>
  <si>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</si>
  <si>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</si>
  <si>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</si>
  <si>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</si>
  <si>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</si>
  <si>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</si>
  <si>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</si>
  <si>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</si>
  <si>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</si>
  <si>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</si>
  <si>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</si>
  <si>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</si>
  <si>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</si>
  <si>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</si>
  <si>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</si>
  <si>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</si>
  <si>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</si>
  <si>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</si>
  <si>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</si>
  <si>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</si>
  <si>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</si>
  <si>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</si>
  <si>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</si>
  <si>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</si>
  <si>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</si>
  <si>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</si>
  <si>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</si>
  <si>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</si>
  <si>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</si>
  <si>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</si>
  <si>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</si>
  <si>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</si>
  <si>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</si>
  <si>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</si>
  <si>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</si>
  <si>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</si>
  <si>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</si>
  <si>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</si>
  <si>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</si>
  <si>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</si>
  <si>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</si>
  <si>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</si>
  <si>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</si>
  <si>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</si>
  <si>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</si>
  <si>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</si>
  <si>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</si>
  <si>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</si>
  <si>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</si>
  <si>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</si>
  <si>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</si>
  <si>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</si>
  <si>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</si>
  <si>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</si>
  <si>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</si>
  <si>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</si>
  <si>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</si>
  <si>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</si>
  <si>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</si>
  <si>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</si>
  <si>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</si>
  <si>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</si>
  <si>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</si>
  <si>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</si>
  <si>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</si>
  <si>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</si>
  <si>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</si>
  <si>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</si>
  <si>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</si>
  <si>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</si>
  <si>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</si>
  <si>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</si>
  <si>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</si>
  <si>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</si>
  <si>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</si>
  <si>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</si>
  <si>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</si>
  <si>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</si>
  <si>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</si>
  <si>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</si>
  <si>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</si>
  <si>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</si>
  <si>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</si>
  <si>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</si>
  <si>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</si>
  <si>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</si>
  <si>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</si>
  <si>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</si>
  <si>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</si>
  <si>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</si>
  <si>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</si>
  <si>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</si>
  <si>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</si>
  <si>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</si>
  <si>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</si>
  <si>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</si>
  <si>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</si>
  <si>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</si>
  <si>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</si>
  <si>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</si>
  <si>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</si>
  <si>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</si>
  <si>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</si>
  <si>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</si>
  <si>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</si>
  <si>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</si>
  <si>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</si>
  <si>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</si>
  <si>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</si>
  <si>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</si>
  <si>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</si>
  <si>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</si>
  <si>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</si>
  <si>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</si>
  <si>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</si>
  <si>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</si>
  <si>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</si>
  <si>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</si>
  <si>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</si>
  <si>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</si>
  <si>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</si>
  <si>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</si>
  <si>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</si>
  <si>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</si>
  <si>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</si>
  <si>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</si>
  <si>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</si>
  <si>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</si>
  <si>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</si>
  <si>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</si>
  <si>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</si>
  <si>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</si>
  <si>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</si>
  <si>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</si>
  <si>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</si>
  <si>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</si>
  <si>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</si>
  <si>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</si>
  <si>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</si>
  <si>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</si>
  <si>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</si>
  <si>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</si>
  <si>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</si>
  <si>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</si>
  <si>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</si>
  <si>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</si>
  <si>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</si>
  <si>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</si>
  <si>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</si>
  <si>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</si>
  <si>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</si>
  <si>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</si>
  <si>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</si>
  <si>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</si>
  <si>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</si>
  <si>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</si>
  <si>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</si>
  <si>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</si>
  <si>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</si>
  <si>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</si>
  <si>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</si>
  <si>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</si>
  <si>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</si>
  <si>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</si>
  <si>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</si>
  <si>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</si>
  <si>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</si>
  <si>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</si>
  <si>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</si>
  <si>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</si>
  <si>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</si>
  <si>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</si>
  <si>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</si>
  <si>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</si>
  <si>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</si>
  <si>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</si>
  <si>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</si>
  <si>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</si>
  <si>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</si>
  <si>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</si>
  <si>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</si>
  <si>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</si>
  <si>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</si>
  <si>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</si>
  <si>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</si>
  <si>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</si>
  <si>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</si>
  <si>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</si>
  <si>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</si>
  <si>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</si>
  <si>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</si>
  <si>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</si>
  <si>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</si>
  <si>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</si>
  <si>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</si>
  <si>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</si>
  <si>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</si>
  <si>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</si>
  <si>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</si>
  <si>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</si>
  <si>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</si>
  <si>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</si>
  <si>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</si>
  <si>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</si>
  <si>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</si>
  <si>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</si>
  <si>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</si>
  <si>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</si>
  <si>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</si>
  <si>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</si>
  <si>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</si>
  <si>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</si>
  <si>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</si>
  <si>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</si>
  <si>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</si>
  <si>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</si>
  <si>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</si>
  <si>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</si>
  <si>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</si>
  <si>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</si>
  <si>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</si>
  <si>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</si>
  <si>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</si>
  <si>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</si>
  <si>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</si>
  <si>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</si>
  <si>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</si>
  <si>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</si>
  <si>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</si>
  <si>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</si>
  <si>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</si>
  <si>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</si>
  <si>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</si>
  <si>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</si>
  <si>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</si>
  <si>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</si>
  <si>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</si>
  <si>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</si>
  <si>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</si>
  <si>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</si>
  <si>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</si>
  <si>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</si>
  <si>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</si>
  <si>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</si>
  <si>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</si>
  <si>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</si>
  <si>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</si>
  <si>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</si>
  <si>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</si>
  <si>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</si>
  <si>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</si>
  <si>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</si>
  <si>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</si>
  <si>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</si>
  <si>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</si>
  <si>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</si>
  <si>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</si>
  <si>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</si>
  <si>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</si>
  <si>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</si>
  <si>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</si>
  <si>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</si>
  <si>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</si>
  <si>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</si>
  <si>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</si>
  <si>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</si>
  <si>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</si>
  <si>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</si>
  <si>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</si>
  <si>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</si>
  <si>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</si>
  <si>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</si>
  <si>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</si>
  <si>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</si>
  <si>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</si>
  <si>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</si>
  <si>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</si>
  <si>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</si>
  <si>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</si>
  <si>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</si>
  <si>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</si>
  <si>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</si>
  <si>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</si>
  <si>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</si>
  <si>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</si>
  <si>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</si>
  <si>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</si>
  <si>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</si>
  <si>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</si>
  <si>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</si>
  <si>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</si>
  <si>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</si>
  <si>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</si>
  <si>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</si>
  <si>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</si>
  <si>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</si>
  <si>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</si>
  <si>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</si>
  <si>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</si>
  <si>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</si>
  <si>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</si>
  <si>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</si>
  <si>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</si>
  <si>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</si>
  <si>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</si>
  <si>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</si>
  <si>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</si>
  <si>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</si>
  <si>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</si>
  <si>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</si>
  <si>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</si>
  <si>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</si>
  <si>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</si>
  <si>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</si>
  <si>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</si>
  <si>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</si>
  <si>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</si>
  <si>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</si>
  <si>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</si>
  <si>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</si>
  <si>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</si>
  <si>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</si>
  <si>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</si>
  <si>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</si>
  <si>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</si>
  <si>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</si>
  <si>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</si>
  <si>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</si>
  <si>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</si>
  <si>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</si>
  <si>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</si>
  <si>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</si>
  <si>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</si>
  <si>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</si>
  <si>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</si>
  <si>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</si>
  <si>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</si>
  <si>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</si>
  <si>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</si>
  <si>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</si>
  <si>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</si>
  <si>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</si>
  <si>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</si>
  <si>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</si>
  <si>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</si>
  <si>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</si>
  <si>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</si>
  <si>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</si>
  <si>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</si>
  <si>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</si>
  <si>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</si>
  <si>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</si>
  <si>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</si>
  <si>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</si>
  <si>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</si>
  <si>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</si>
  <si>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</si>
  <si>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</si>
  <si>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</si>
  <si>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</si>
  <si>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</si>
  <si>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</si>
  <si>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</si>
  <si>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</si>
  <si>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</si>
  <si>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</si>
  <si>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</si>
  <si>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</si>
  <si>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</si>
  <si>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</si>
  <si>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</si>
  <si>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</si>
  <si>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</si>
  <si>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</si>
  <si>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</si>
  <si>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</si>
  <si>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</si>
  <si>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</si>
  <si>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</si>
  <si>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</si>
  <si>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</si>
  <si>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</si>
  <si>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</si>
  <si>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</si>
  <si>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</si>
  <si>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</si>
  <si>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</si>
  <si>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</si>
  <si>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</si>
  <si>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</si>
  <si>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</si>
  <si>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</si>
  <si>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</si>
  <si>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</si>
  <si>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</si>
  <si>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</si>
  <si>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</si>
  <si>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</si>
  <si>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</si>
  <si>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</si>
  <si>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</si>
  <si>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</si>
  <si>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</si>
  <si>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</si>
  <si>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</si>
  <si>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</si>
  <si>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</si>
  <si>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</si>
  <si>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</si>
  <si>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</si>
  <si>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</si>
  <si>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</si>
  <si>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</si>
  <si>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</si>
  <si>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</si>
  <si>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</si>
  <si>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</si>
  <si>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</si>
  <si>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</si>
  <si>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</si>
  <si>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</si>
  <si>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</si>
  <si>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</si>
  <si>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</si>
  <si>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</si>
  <si>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</si>
  <si>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</si>
  <si>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</si>
  <si>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</si>
  <si>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</si>
  <si>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</si>
  <si>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</si>
  <si>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</si>
  <si>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</si>
  <si>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</si>
  <si>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</si>
  <si>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</si>
  <si>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</si>
  <si>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</si>
  <si>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</si>
  <si>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</si>
  <si>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</si>
  <si>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</si>
  <si>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</si>
  <si>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</si>
  <si>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</si>
  <si>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</si>
  <si>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</si>
  <si>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</si>
  <si>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</si>
  <si>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</si>
  <si>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</si>
  <si>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</si>
  <si>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</si>
  <si>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</si>
  <si>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</si>
  <si>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</si>
  <si>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</si>
  <si>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</si>
  <si>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</si>
  <si>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</si>
  <si>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</si>
  <si>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</si>
  <si>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</si>
  <si>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</si>
  <si>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</si>
  <si>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</si>
  <si>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</si>
  <si>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</si>
  <si>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</si>
  <si>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</si>
  <si>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</si>
  <si>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</si>
  <si>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</si>
  <si>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</si>
  <si>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</si>
  <si>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</si>
  <si>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</si>
  <si>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</si>
  <si>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</si>
  <si>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</si>
  <si>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</si>
  <si>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</si>
  <si>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</si>
  <si>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</si>
  <si>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</si>
  <si>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</si>
  <si>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</si>
  <si>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</si>
  <si>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</si>
  <si>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</si>
  <si>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</si>
  <si>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</si>
  <si>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</si>
  <si>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</si>
  <si>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</si>
  <si>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</si>
  <si>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</si>
  <si>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</si>
  <si>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</si>
  <si>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</si>
  <si>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</si>
  <si>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</si>
  <si>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</si>
  <si>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</si>
  <si>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</si>
  <si>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</si>
  <si>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</si>
  <si>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</si>
  <si>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</si>
  <si>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</si>
  <si>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</si>
  <si>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</si>
  <si>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</si>
  <si>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</si>
  <si>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</si>
  <si>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</si>
  <si>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</si>
  <si>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</si>
  <si>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</si>
  <si>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</si>
  <si>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</si>
  <si>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</si>
  <si>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</si>
  <si>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</si>
  <si>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</si>
  <si>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</si>
  <si>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</si>
  <si>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</si>
  <si>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</si>
  <si>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</si>
  <si>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</si>
  <si>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</si>
  <si>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</si>
  <si>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</si>
  <si>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</si>
  <si>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</si>
  <si>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</si>
  <si>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</si>
  <si>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</si>
  <si>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</si>
  <si>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</si>
  <si>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</si>
  <si>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</si>
  <si>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</si>
  <si>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</si>
  <si>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</si>
  <si>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</si>
  <si>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</si>
  <si>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</si>
  <si>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</si>
  <si>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</si>
  <si>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</si>
  <si>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</si>
  <si>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</si>
  <si>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</si>
  <si>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</si>
  <si>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</si>
  <si>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</si>
  <si>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</si>
  <si>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</si>
  <si>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</si>
  <si>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</si>
  <si>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</si>
  <si>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</si>
  <si>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</si>
  <si>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</si>
  <si>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</si>
  <si>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</si>
  <si>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</si>
  <si>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</si>
  <si>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</si>
  <si>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</si>
  <si>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</si>
  <si>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</si>
  <si>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</si>
  <si>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</si>
  <si>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</si>
  <si>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</si>
  <si>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</si>
  <si>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</si>
  <si>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</si>
  <si>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</si>
  <si>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</si>
  <si>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</si>
  <si>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</si>
  <si>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</si>
  <si>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</si>
  <si>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</si>
  <si>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</si>
  <si>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</si>
  <si>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</si>
  <si>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</si>
  <si>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</si>
  <si>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</si>
  <si>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</si>
  <si>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</si>
  <si>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</si>
  <si>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</si>
  <si>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</si>
  <si>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</si>
  <si>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</si>
  <si>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</si>
  <si>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</si>
  <si>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</si>
  <si>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</si>
  <si>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</si>
  <si>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</si>
  <si>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</si>
  <si>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</si>
  <si>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</si>
  <si>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</si>
  <si>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</si>
  <si>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</si>
  <si>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</si>
  <si>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</si>
  <si>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</si>
  <si>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</si>
  <si>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</si>
  <si>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</si>
  <si>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</si>
  <si>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</si>
  <si>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</si>
  <si>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</si>
  <si>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</si>
  <si>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</si>
  <si>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</si>
  <si>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</si>
  <si>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</si>
  <si>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</si>
  <si>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</si>
  <si>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</si>
  <si>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</si>
  <si>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</si>
  <si>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</si>
  <si>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</si>
  <si>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</si>
  <si>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</si>
  <si>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</si>
  <si>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</si>
  <si>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</si>
  <si>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</si>
  <si>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</si>
  <si>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</si>
  <si>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</si>
  <si>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</si>
  <si>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</si>
  <si>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</si>
  <si>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</si>
  <si>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</si>
  <si>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</si>
  <si>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</si>
  <si>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</si>
  <si>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</si>
  <si>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</si>
  <si>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</si>
  <si>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</si>
  <si>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</si>
  <si>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</si>
  <si>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</si>
  <si>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</si>
  <si>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</si>
  <si>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</si>
  <si>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</si>
  <si>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</si>
  <si>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</si>
  <si>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</si>
  <si>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</si>
  <si>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</si>
  <si>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</si>
  <si>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</si>
  <si>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</si>
  <si>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</si>
  <si>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</si>
  <si>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</si>
  <si>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</si>
  <si>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</si>
  <si>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</si>
  <si>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</si>
  <si>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</si>
  <si>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</si>
  <si>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</si>
  <si>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</si>
  <si>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</si>
  <si>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</si>
  <si>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</si>
  <si>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</si>
  <si>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</si>
  <si>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</si>
  <si>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</si>
  <si>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</si>
  <si>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</si>
  <si>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</si>
  <si>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</si>
  <si>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</si>
  <si>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</si>
  <si>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</si>
  <si>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</si>
  <si>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</si>
  <si>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</si>
  <si>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</si>
  <si>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</si>
  <si>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</si>
  <si>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</si>
  <si>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</si>
  <si>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</si>
  <si>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</si>
  <si>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</si>
  <si>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</si>
  <si>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</si>
  <si>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</si>
  <si>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</si>
  <si>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</si>
  <si>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</si>
  <si>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</si>
  <si>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</si>
  <si>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</si>
  <si>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</si>
  <si>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</si>
  <si>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</si>
  <si>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</si>
  <si>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</si>
  <si>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</si>
  <si>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</si>
  <si>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</si>
  <si>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</si>
  <si>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</si>
  <si>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</si>
  <si>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</si>
  <si>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</si>
  <si>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</si>
  <si>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</si>
  <si>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</si>
  <si>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</si>
  <si>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</si>
  <si>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</si>
  <si>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</si>
  <si>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</si>
  <si>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</si>
  <si>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</si>
  <si>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</si>
  <si>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</si>
  <si>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</si>
  <si>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</si>
  <si>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</si>
  <si>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</si>
  <si>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</si>
  <si>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</si>
  <si>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</si>
  <si>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</si>
  <si>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</si>
  <si>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</si>
  <si>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</si>
  <si>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</si>
  <si>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</si>
  <si>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</si>
  <si>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</si>
  <si>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</si>
  <si>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</si>
  <si>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</si>
  <si>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</si>
  <si>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</si>
  <si>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</si>
  <si>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</si>
  <si>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</si>
  <si>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</si>
  <si>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</si>
  <si>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</si>
  <si>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</si>
  <si>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</si>
  <si>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</si>
  <si>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</si>
  <si>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</si>
  <si>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</si>
  <si>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</si>
  <si>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</si>
  <si>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</si>
  <si>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</si>
  <si>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</si>
  <si>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</si>
  <si>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</si>
  <si>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</si>
  <si>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</si>
  <si>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</si>
  <si>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</si>
  <si>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</si>
  <si>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</si>
  <si>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</si>
  <si>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</si>
  <si>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</si>
  <si>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</si>
  <si>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</si>
  <si>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</si>
  <si>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</si>
  <si>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</si>
  <si>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</si>
  <si>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</si>
  <si>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</si>
  <si>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</si>
  <si>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</si>
  <si>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</si>
  <si>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</si>
  <si>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</si>
  <si>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</si>
  <si>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</si>
  <si>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</si>
  <si>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</si>
  <si>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</si>
  <si>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</si>
  <si>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</si>
  <si>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</si>
  <si>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</si>
  <si>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</si>
  <si>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</si>
  <si>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</si>
  <si>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</si>
  <si>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</si>
  <si>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</si>
  <si>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</si>
  <si>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</si>
  <si>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</si>
  <si>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</si>
  <si>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</si>
  <si>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</si>
  <si>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</si>
  <si>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</si>
  <si>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</si>
  <si>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</si>
  <si>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</si>
  <si>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</si>
  <si>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</si>
  <si>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</si>
  <si>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</si>
  <si>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</si>
  <si>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</si>
  <si>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</si>
  <si>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</si>
  <si>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</si>
  <si>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</si>
  <si>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</si>
  <si>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</si>
  <si>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</si>
  <si>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</si>
  <si>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</si>
  <si>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</si>
  <si>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</si>
  <si>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</si>
  <si>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</si>
  <si>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</si>
  <si>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</si>
  <si>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</si>
  <si>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</si>
  <si>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</si>
  <si>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</si>
  <si>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</si>
  <si>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</si>
  <si>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</si>
  <si>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</si>
  <si>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</si>
  <si>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</si>
  <si>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</si>
  <si>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</si>
  <si>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</si>
  <si>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</si>
  <si>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</si>
  <si>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</si>
  <si>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</si>
  <si>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</si>
  <si>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</si>
  <si>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</si>
  <si>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</si>
  <si>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</si>
  <si>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</si>
  <si>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</si>
  <si>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</si>
  <si>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</si>
  <si>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</si>
  <si>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</si>
  <si>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</si>
  <si>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</si>
  <si>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</si>
  <si>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</si>
  <si>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</si>
  <si>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</si>
  <si>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</si>
  <si>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</si>
  <si>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</si>
  <si>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</si>
  <si>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</si>
  <si>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</si>
  <si>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</si>
  <si>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</si>
  <si>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</si>
  <si>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</si>
  <si>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</si>
  <si>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</si>
  <si>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</si>
  <si>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</si>
  <si>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</si>
  <si>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</si>
  <si>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</si>
  <si>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</si>
  <si>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</si>
  <si>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</si>
  <si>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</si>
  <si>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</si>
  <si>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</si>
  <si>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</si>
  <si>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</si>
  <si>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</si>
  <si>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</si>
  <si>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</si>
  <si>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</si>
  <si>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</si>
  <si>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</si>
  <si>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</si>
  <si>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</si>
  <si>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</si>
  <si>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</si>
  <si>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</si>
  <si>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</si>
  <si>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</si>
  <si>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</si>
  <si>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</si>
  <si>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</si>
  <si>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</si>
  <si>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</si>
  <si>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</si>
  <si>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</si>
  <si>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</si>
  <si>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</si>
  <si>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</si>
  <si>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</si>
  <si>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</si>
  <si>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</si>
  <si>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</si>
  <si>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</si>
  <si>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</si>
  <si>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</si>
  <si>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</si>
  <si>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</si>
  <si>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</si>
  <si>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</si>
  <si>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</si>
  <si>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</si>
  <si>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</si>
  <si>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</si>
  <si>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</si>
  <si>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</si>
  <si>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</si>
  <si>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</si>
  <si>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</si>
  <si>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</si>
  <si>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</si>
  <si>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</si>
  <si>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</si>
  <si>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</si>
  <si>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</si>
  <si>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</si>
  <si>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</si>
  <si>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</si>
  <si>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</si>
  <si>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</si>
  <si>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</si>
  <si>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</si>
  <si>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</si>
  <si>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</si>
  <si>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</si>
  <si>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</si>
  <si>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</si>
  <si>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</si>
  <si>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</si>
  <si>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</si>
  <si>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</si>
  <si>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</si>
  <si>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</si>
  <si>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</si>
  <si>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</si>
  <si>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</si>
  <si>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</si>
  <si>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</si>
  <si>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</si>
  <si>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</si>
  <si>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</si>
  <si>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</si>
  <si>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</si>
  <si>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</si>
  <si>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</si>
  <si>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</si>
  <si>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</si>
  <si>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</si>
  <si>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</si>
  <si>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</si>
  <si>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</si>
  <si>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</si>
  <si>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</si>
  <si>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</si>
  <si>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</si>
  <si>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</si>
  <si>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</si>
  <si>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</si>
  <si>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</si>
  <si>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</si>
  <si>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</si>
  <si>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</si>
  <si>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</si>
  <si>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</si>
  <si>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</si>
  <si>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</si>
  <si>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</si>
  <si>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</si>
  <si>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</si>
  <si>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</si>
  <si>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</si>
  <si>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</si>
  <si>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</si>
  <si>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</si>
  <si>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</si>
  <si>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</si>
  <si>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</si>
  <si>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</si>
  <si>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</si>
  <si>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</si>
  <si>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</si>
  <si>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</si>
  <si>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</si>
  <si>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</si>
  <si>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</si>
  <si>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</si>
  <si>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</si>
  <si>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</si>
  <si>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</si>
  <si>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</si>
  <si>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</si>
  <si>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</si>
  <si>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</si>
  <si>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</si>
  <si>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</si>
  <si>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</si>
  <si>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</si>
  <si>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</si>
  <si>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</si>
  <si>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</si>
  <si>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</si>
  <si>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</si>
  <si>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</si>
  <si>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</si>
  <si>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</si>
  <si>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</si>
  <si>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</si>
  <si>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</si>
  <si>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</si>
  <si>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</si>
  <si>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</si>
  <si>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</si>
  <si>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</si>
  <si>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</si>
  <si>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</si>
  <si>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</si>
  <si>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</si>
  <si>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</si>
  <si>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</si>
  <si>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</si>
  <si>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</si>
  <si>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</si>
  <si>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</si>
  <si>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</si>
  <si>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</si>
  <si>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</si>
  <si>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</si>
  <si>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</si>
  <si>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</si>
  <si>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</si>
  <si>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</si>
  <si>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</si>
  <si>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</si>
  <si>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</si>
  <si>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</si>
  <si>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</si>
  <si>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</si>
  <si>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</si>
  <si>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</si>
  <si>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</si>
  <si>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</si>
  <si>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</si>
  <si>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</si>
  <si>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</si>
  <si>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</si>
  <si>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</si>
  <si>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</si>
  <si>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</si>
  <si>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</si>
  <si>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</si>
  <si>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</si>
  <si>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</si>
  <si>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</si>
  <si>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</si>
  <si>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</si>
  <si>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</si>
  <si>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</si>
  <si>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</si>
  <si>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</si>
  <si>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</si>
  <si>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</si>
  <si>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</si>
  <si>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</si>
  <si>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</si>
  <si>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</si>
  <si>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</si>
  <si>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</si>
  <si>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</si>
  <si>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</si>
  <si>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</si>
  <si>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</si>
  <si>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</si>
  <si>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</si>
  <si>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</si>
  <si>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</si>
  <si>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</si>
  <si>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</si>
  <si>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</si>
  <si>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</si>
  <si>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</si>
  <si>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</si>
  <si>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</si>
  <si>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</si>
  <si>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</si>
  <si>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</si>
  <si>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</si>
  <si>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</si>
  <si>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</si>
  <si>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</si>
  <si>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</si>
  <si>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</si>
  <si>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</si>
  <si>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</si>
  <si>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</si>
  <si>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</si>
  <si>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</si>
  <si>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</si>
  <si>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</si>
  <si>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</si>
  <si>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</si>
  <si>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</si>
  <si>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</si>
  <si>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</si>
  <si>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</si>
  <si>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</si>
  <si>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</si>
  <si>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</si>
  <si>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</si>
  <si>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</si>
  <si>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</si>
  <si>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</si>
  <si>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</si>
  <si>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</si>
  <si>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</si>
  <si>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</si>
  <si>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</si>
  <si>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</si>
  <si>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</si>
  <si>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</si>
  <si>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</si>
  <si>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</si>
  <si>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</si>
  <si>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</si>
  <si>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</si>
  <si>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</si>
  <si>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</si>
  <si>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</si>
  <si>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</si>
  <si>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</si>
  <si>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</si>
  <si>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</si>
  <si>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</si>
  <si>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</si>
  <si>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</si>
  <si>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</si>
  <si>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</si>
  <si>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</si>
  <si>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</si>
  <si>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</si>
  <si>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</si>
  <si>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</si>
  <si>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</si>
  <si>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</si>
  <si>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</si>
  <si>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</si>
  <si>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</si>
  <si>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</si>
  <si>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</si>
  <si>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</si>
  <si>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</si>
  <si>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</si>
  <si>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</si>
  <si>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</si>
  <si>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</si>
  <si>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</si>
  <si>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</si>
  <si>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</si>
  <si>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</si>
  <si>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</si>
  <si>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</si>
  <si>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</si>
  <si>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</si>
  <si>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</si>
  <si>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</si>
  <si>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</si>
  <si>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</si>
  <si>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</si>
  <si>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</si>
  <si>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</si>
  <si>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</si>
  <si>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</si>
  <si>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</si>
  <si>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</si>
  <si>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</si>
  <si>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</si>
  <si>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</si>
  <si>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</si>
  <si>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</si>
  <si>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</si>
  <si>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</si>
  <si>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</si>
  <si>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</si>
  <si>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</si>
  <si>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</si>
  <si>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</si>
  <si>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</si>
  <si>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</si>
  <si>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</si>
  <si>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</si>
  <si>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</si>
  <si>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</si>
  <si>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</si>
  <si>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</si>
  <si>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</si>
  <si>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</si>
  <si>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</si>
  <si>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</si>
  <si>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</si>
  <si>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</si>
  <si>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</si>
  <si>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</si>
  <si>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</si>
  <si>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</si>
  <si>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</si>
  <si>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</si>
  <si>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</si>
  <si>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</si>
  <si>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</si>
  <si>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</si>
  <si>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</si>
  <si>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</si>
  <si>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</si>
  <si>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</si>
  <si>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</si>
  <si>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</si>
  <si>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</si>
  <si>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</si>
  <si>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</si>
  <si>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</si>
  <si>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</si>
  <si>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</si>
  <si>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</si>
  <si>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</si>
  <si>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</si>
  <si>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</si>
  <si>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</si>
  <si>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</si>
  <si>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</si>
  <si>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</si>
  <si>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</si>
  <si>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</si>
  <si>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</si>
  <si>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</si>
  <si>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</si>
  <si>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</si>
  <si>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</si>
  <si>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</si>
  <si>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</si>
  <si>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</si>
  <si>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</si>
  <si>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</si>
  <si>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</si>
  <si>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</si>
  <si>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</si>
  <si>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</si>
  <si>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</si>
  <si>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</si>
  <si>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</si>
  <si>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</si>
  <si>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</si>
  <si>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</si>
  <si>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</si>
  <si>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</si>
  <si>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</si>
  <si>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</si>
  <si>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</si>
  <si>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</si>
  <si>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</si>
  <si>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</si>
  <si>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</si>
  <si>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</si>
  <si>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</si>
  <si>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</si>
  <si>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</si>
  <si>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</si>
  <si>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</si>
  <si>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</si>
  <si>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</si>
  <si>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</si>
  <si>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</si>
  <si>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</si>
  <si>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</si>
  <si>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</si>
  <si>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</si>
  <si>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</si>
  <si>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</si>
  <si>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</si>
  <si>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</si>
  <si>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</si>
  <si>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</si>
  <si>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</si>
  <si>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</si>
  <si>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</si>
  <si>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</si>
  <si>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</si>
  <si>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</si>
  <si>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</si>
  <si>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</si>
  <si>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</si>
  <si>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</si>
  <si>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</si>
  <si>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</si>
  <si>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</si>
  <si>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</si>
  <si>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</si>
  <si>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</si>
  <si>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</si>
  <si>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</si>
  <si>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</si>
  <si>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</si>
  <si>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</si>
  <si>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</si>
  <si>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</si>
  <si>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</si>
  <si>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</si>
  <si>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</si>
  <si>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</si>
  <si>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</si>
  <si>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</si>
  <si>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</si>
  <si>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</si>
  <si>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</si>
  <si>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</si>
  <si>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</si>
  <si>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</si>
  <si>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</si>
  <si>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</si>
  <si>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</si>
  <si>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</si>
  <si>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</si>
  <si>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</si>
  <si>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</si>
  <si>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</si>
  <si>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</si>
  <si>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</si>
  <si>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</si>
  <si>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</si>
  <si>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</si>
  <si>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</si>
  <si>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</si>
  <si>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</si>
  <si>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</si>
  <si>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</si>
  <si>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</si>
  <si>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</si>
  <si>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</si>
  <si>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</si>
  <si>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</si>
  <si>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</si>
  <si>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</si>
  <si>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</si>
  <si>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</si>
  <si>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</si>
  <si>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</si>
  <si>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</si>
  <si>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</si>
  <si>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</si>
  <si>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</si>
  <si>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</si>
  <si>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</si>
  <si>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</si>
  <si>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</si>
  <si>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</si>
  <si>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</si>
  <si>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</si>
  <si>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</si>
  <si>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</si>
  <si>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</si>
  <si>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</si>
  <si>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</si>
  <si>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</si>
  <si>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</si>
  <si>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</si>
  <si>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</si>
  <si>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</si>
  <si>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</si>
  <si>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</si>
  <si>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</si>
  <si>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</si>
  <si>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</si>
  <si>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</si>
  <si>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</si>
  <si>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</si>
  <si>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</si>
  <si>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</si>
  <si>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</si>
  <si>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</si>
  <si>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</si>
  <si>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</si>
  <si>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</si>
  <si>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</si>
  <si>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</si>
  <si>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</si>
  <si>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</si>
  <si>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</si>
  <si>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</si>
  <si>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</si>
  <si>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</si>
  <si>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</si>
  <si>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</si>
  <si>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</si>
  <si>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</si>
  <si>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</si>
  <si>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</si>
  <si>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</si>
  <si>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</si>
  <si>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</si>
  <si>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</si>
  <si>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</si>
  <si>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</si>
  <si>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</si>
  <si>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</si>
  <si>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</si>
  <si>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</si>
  <si>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</si>
  <si>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</si>
  <si>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</si>
  <si>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</si>
  <si>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</si>
  <si>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</si>
  <si>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</si>
  <si>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</si>
  <si>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</si>
  <si>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</si>
  <si>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</si>
  <si>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</si>
  <si>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</si>
  <si>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</si>
  <si>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</si>
  <si>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</si>
  <si>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</si>
  <si>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</si>
  <si>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</si>
  <si>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</si>
  <si>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</si>
  <si>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</si>
  <si>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</si>
  <si>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</si>
  <si>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</si>
  <si>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</si>
  <si>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</si>
  <si>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</si>
  <si>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</si>
  <si>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</si>
  <si>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</si>
  <si>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</si>
  <si>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</si>
  <si>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</si>
  <si>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</si>
  <si>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</si>
  <si>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</si>
  <si>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</si>
  <si>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</si>
  <si>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</si>
  <si>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</si>
  <si>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</si>
  <si>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</si>
  <si>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</si>
  <si>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</si>
  <si>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</si>
  <si>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</si>
  <si>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</si>
  <si>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</si>
  <si>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</si>
  <si>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</si>
  <si>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</si>
  <si>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</si>
  <si>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</si>
  <si>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</si>
  <si>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</si>
  <si>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</si>
  <si>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</si>
  <si>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</si>
  <si>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</si>
  <si>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</si>
  <si>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</si>
  <si>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</si>
  <si>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</si>
  <si>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</si>
  <si>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</si>
  <si>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</si>
  <si>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</si>
  <si>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</si>
  <si>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</si>
  <si>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</si>
  <si>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</si>
  <si>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</si>
  <si>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</si>
  <si>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</si>
  <si>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</si>
  <si>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</si>
  <si>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</si>
  <si>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</si>
  <si>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</si>
  <si>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</si>
  <si>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</si>
  <si>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</si>
  <si>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</si>
  <si>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</si>
  <si>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</si>
  <si>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</si>
  <si>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</si>
  <si>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</si>
  <si>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</si>
  <si>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</si>
  <si>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</si>
  <si>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</si>
  <si>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</si>
  <si>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</si>
  <si>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</si>
  <si>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</si>
  <si>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</si>
  <si>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</si>
  <si>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</si>
  <si>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</si>
  <si>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</si>
  <si>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</si>
  <si>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</si>
  <si>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</si>
  <si>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</si>
  <si>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</si>
  <si>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</si>
  <si>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</si>
  <si>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</si>
  <si>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</si>
  <si>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</si>
  <si>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</si>
  <si>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</si>
  <si>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</si>
  <si>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</si>
  <si>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</si>
  <si>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</si>
  <si>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</si>
  <si>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</si>
  <si>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</si>
  <si>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</si>
  <si>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</si>
  <si>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</si>
  <si>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</si>
  <si>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</si>
  <si>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</si>
  <si>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</si>
  <si>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</si>
  <si>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</si>
  <si>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</si>
  <si>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</si>
  <si>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</si>
  <si>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</si>
  <si>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</si>
  <si>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</si>
  <si>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</si>
  <si>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</si>
  <si>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</si>
  <si>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</si>
  <si>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</si>
  <si>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</si>
  <si>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</si>
  <si>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</si>
  <si>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</si>
  <si>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</si>
  <si>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</si>
  <si>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</si>
  <si>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</si>
  <si>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</si>
  <si>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</si>
  <si>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</si>
  <si>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</si>
  <si>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</si>
  <si>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</si>
  <si>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</si>
  <si>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</si>
  <si>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</si>
  <si>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</si>
  <si>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</si>
  <si>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</si>
  <si>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</si>
  <si>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</si>
  <si>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</si>
  <si>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</si>
  <si>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</si>
  <si>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</si>
  <si>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</si>
  <si>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</si>
  <si>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</si>
  <si>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</si>
  <si>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</si>
  <si>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</si>
  <si>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</si>
  <si>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</si>
  <si>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</si>
  <si>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</si>
  <si>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</si>
  <si>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</si>
  <si>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</si>
  <si>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</si>
  <si>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</si>
  <si>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</si>
  <si>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</si>
  <si>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</si>
  <si>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</si>
  <si>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</si>
  <si>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</si>
  <si>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</si>
  <si>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</si>
  <si>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</si>
  <si>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</si>
  <si>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</si>
  <si>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</si>
  <si>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</si>
  <si>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</si>
  <si>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</si>
  <si>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</si>
  <si>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</si>
  <si>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</si>
  <si>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</si>
  <si>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</si>
  <si>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</si>
  <si>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</si>
  <si>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</si>
  <si>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</si>
  <si>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</si>
  <si>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</si>
  <si>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</si>
  <si>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</si>
  <si>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</si>
  <si>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</si>
  <si>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</si>
  <si>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</si>
  <si>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</si>
  <si>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</si>
  <si>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</si>
  <si>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</si>
  <si>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</si>
  <si>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</si>
  <si>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</si>
  <si>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</si>
  <si>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</si>
  <si>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</si>
  <si>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</si>
  <si>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</si>
  <si>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</si>
  <si>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</si>
  <si>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</si>
  <si>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</si>
  <si>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</si>
  <si>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</si>
  <si>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</si>
  <si>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</si>
  <si>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</si>
  <si>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</si>
  <si>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</si>
  <si>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</si>
  <si>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</si>
  <si>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</si>
  <si>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</si>
  <si>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</si>
  <si>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</si>
  <si>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</si>
  <si>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</si>
  <si>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</si>
  <si>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</si>
  <si>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</si>
  <si>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</si>
  <si>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</si>
  <si>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</si>
  <si>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</si>
  <si>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</si>
  <si>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</si>
  <si>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</si>
  <si>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</si>
  <si>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</si>
  <si>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</si>
  <si>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</si>
  <si>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</si>
  <si>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</si>
  <si>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</si>
  <si>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</si>
  <si>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</si>
  <si>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</si>
  <si>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</si>
  <si>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</si>
  <si>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</si>
  <si>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</si>
  <si>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</si>
  <si>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</si>
  <si>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</si>
  <si>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</si>
  <si>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</si>
  <si>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</si>
  <si>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</si>
  <si>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</si>
  <si>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</si>
  <si>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</si>
  <si>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</si>
  <si>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</si>
  <si>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</si>
  <si>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</si>
  <si>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</si>
  <si>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</si>
  <si>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</si>
  <si>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</si>
  <si>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</si>
  <si>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</si>
  <si>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</si>
  <si>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</si>
  <si>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</si>
  <si>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</si>
  <si>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</si>
  <si>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</si>
  <si>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</si>
  <si>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</si>
  <si>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</si>
  <si>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</si>
  <si>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</si>
  <si>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</si>
  <si>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</si>
  <si>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</si>
  <si>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</si>
  <si>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</si>
  <si>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</si>
  <si>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</si>
  <si>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</si>
  <si>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</si>
  <si>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</si>
  <si>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</si>
  <si>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</si>
  <si>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</si>
  <si>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</si>
  <si>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</si>
  <si>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</si>
  <si>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</si>
  <si>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</si>
  <si>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</si>
  <si>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</si>
  <si>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</si>
  <si>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</si>
  <si>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</si>
  <si>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</si>
  <si>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</si>
  <si>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</si>
  <si>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</si>
  <si>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</si>
  <si>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</si>
  <si>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</si>
  <si>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</si>
  <si>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</si>
  <si>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</si>
  <si>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</si>
  <si>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</si>
  <si>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</si>
  <si>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</si>
  <si>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</si>
  <si>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</si>
  <si>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</si>
  <si>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</si>
  <si>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</si>
  <si>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</si>
  <si>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</si>
  <si>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</si>
  <si>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</si>
  <si>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</si>
  <si>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</si>
  <si>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</si>
  <si>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</si>
  <si>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</si>
  <si>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</si>
  <si>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</si>
  <si>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</si>
  <si>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</si>
  <si>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</si>
  <si>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</si>
  <si>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</si>
  <si>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</si>
  <si>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</si>
  <si>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</si>
  <si>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</si>
  <si>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</si>
  <si>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</si>
  <si>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</si>
  <si>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</si>
  <si>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</si>
  <si>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</si>
  <si>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</si>
  <si>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</si>
  <si>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</si>
  <si>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</si>
  <si>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</si>
  <si>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</si>
  <si>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</si>
  <si>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</si>
  <si>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</si>
  <si>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</si>
  <si>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</si>
  <si>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</si>
  <si>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</si>
  <si>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</si>
  <si>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</si>
  <si>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</si>
  <si>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</si>
  <si>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</si>
  <si>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</si>
  <si>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</si>
  <si>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</si>
  <si>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</si>
  <si>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</si>
  <si>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</si>
  <si>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</si>
  <si>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</si>
  <si>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</si>
  <si>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</si>
  <si>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</si>
  <si>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</si>
  <si>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</si>
  <si>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</si>
  <si>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</si>
  <si>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</si>
  <si>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</si>
  <si>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</si>
  <si>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</si>
  <si>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</si>
  <si>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</si>
  <si>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</si>
  <si>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</si>
  <si>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</si>
  <si>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</si>
  <si>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</si>
  <si>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</si>
  <si>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</si>
  <si>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</si>
  <si>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</si>
  <si>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</si>
  <si>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</si>
  <si>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</si>
  <si>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</si>
  <si>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</si>
  <si>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</si>
  <si>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</si>
  <si>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</si>
  <si>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</si>
  <si>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</si>
  <si>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</si>
  <si>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</si>
  <si>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</si>
  <si>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</si>
  <si>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</si>
  <si>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</si>
  <si>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</si>
  <si>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</si>
  <si>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</si>
  <si>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</si>
  <si>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</si>
  <si>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</si>
  <si>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</si>
  <si>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</si>
  <si>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</si>
  <si>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</si>
  <si>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</si>
  <si>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</si>
  <si>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</si>
  <si>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</si>
  <si>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</si>
  <si>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</si>
  <si>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</si>
  <si>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</si>
  <si>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</si>
  <si>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</si>
  <si>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</si>
  <si>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</si>
  <si>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</si>
  <si>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</si>
  <si>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</si>
  <si>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</si>
  <si>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</si>
  <si>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</si>
  <si>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</si>
  <si>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</si>
  <si>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</si>
  <si>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</si>
  <si>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</si>
  <si>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</si>
  <si>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</si>
  <si>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</si>
  <si>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</si>
  <si>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</si>
  <si>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</si>
  <si>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</si>
  <si>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</si>
  <si>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</si>
  <si>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</si>
  <si>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</si>
  <si>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</si>
  <si>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</si>
  <si>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</si>
  <si>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</si>
  <si>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</si>
  <si>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</si>
  <si>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</si>
  <si>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</si>
  <si>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</si>
  <si>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</si>
  <si>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</si>
  <si>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</si>
  <si>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</si>
  <si>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</si>
  <si>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</si>
  <si>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</si>
  <si>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</si>
  <si>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</si>
  <si>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</si>
  <si>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</si>
  <si>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</si>
  <si>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</si>
  <si>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</si>
  <si>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</si>
  <si>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</si>
  <si>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</si>
  <si>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</si>
  <si>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</si>
  <si>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</si>
  <si>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</si>
  <si>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</si>
  <si>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</si>
  <si>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</si>
  <si>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</si>
  <si>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</si>
  <si>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</si>
  <si>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</si>
  <si>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</si>
  <si>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</si>
  <si>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</si>
  <si>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</si>
  <si>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</si>
  <si>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</si>
  <si>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</si>
  <si>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</si>
  <si>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</si>
  <si>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</si>
  <si>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</si>
  <si>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</si>
  <si>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</si>
  <si>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</si>
  <si>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</si>
  <si>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</si>
  <si>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</si>
  <si>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</si>
  <si>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</si>
  <si>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</si>
  <si>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</si>
  <si>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</si>
  <si>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</si>
  <si>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</si>
  <si>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</si>
  <si>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</si>
  <si>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</si>
  <si>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</si>
  <si>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</si>
  <si>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</si>
  <si>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</si>
  <si>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</si>
  <si>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</si>
  <si>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</si>
  <si>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</si>
  <si>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</si>
  <si>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</si>
  <si>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</si>
  <si>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</si>
  <si>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</si>
  <si>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</si>
  <si>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</si>
  <si>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</si>
  <si>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</si>
  <si>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</si>
  <si>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</si>
  <si>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</si>
  <si>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</si>
  <si>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</si>
  <si>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</si>
  <si>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</si>
  <si>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</si>
  <si>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</si>
  <si>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</si>
  <si>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</si>
  <si>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</si>
  <si>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</si>
  <si>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</si>
  <si>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</si>
  <si>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</si>
  <si>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</si>
  <si>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</si>
  <si>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</si>
  <si>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</si>
  <si>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</si>
  <si>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</si>
  <si>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</si>
  <si>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</si>
  <si>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</si>
  <si>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</si>
  <si>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</si>
  <si>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</si>
  <si>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</si>
  <si>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</si>
  <si>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</si>
  <si>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</si>
  <si>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</si>
  <si>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</si>
  <si>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</si>
  <si>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</si>
  <si>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</si>
  <si>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</si>
  <si>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</si>
  <si>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</si>
  <si>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</si>
  <si>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</si>
  <si>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</si>
  <si>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</si>
  <si>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</si>
  <si>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</si>
  <si>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</si>
  <si>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</si>
  <si>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</si>
  <si>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</si>
  <si>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</si>
  <si>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</si>
  <si>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</si>
  <si>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</si>
  <si>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</si>
  <si>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</si>
  <si>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</si>
  <si>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</si>
  <si>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</si>
  <si>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</si>
  <si>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</si>
  <si>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</si>
  <si>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</si>
  <si>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</si>
  <si>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</si>
  <si>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</si>
  <si>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</si>
  <si>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</si>
  <si>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</si>
  <si>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</si>
  <si>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</si>
  <si>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</si>
  <si>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</si>
  <si>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</si>
  <si>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</si>
  <si>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</si>
  <si>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</si>
  <si>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</si>
  <si>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</si>
  <si>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</si>
  <si>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</si>
  <si>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</si>
  <si>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</si>
  <si>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</si>
  <si>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</si>
  <si>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</si>
  <si>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</si>
  <si>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</si>
  <si>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</si>
  <si>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</si>
  <si>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</si>
  <si>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</si>
  <si>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</si>
  <si>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</si>
  <si>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</si>
  <si>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</si>
  <si>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</si>
  <si>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</si>
  <si>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</si>
  <si>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</si>
  <si>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</si>
  <si>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</si>
  <si>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</si>
  <si>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</si>
  <si>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</si>
  <si>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</si>
  <si>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</si>
  <si>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</si>
  <si>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</si>
  <si>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</si>
  <si>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</si>
  <si>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</si>
  <si>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</si>
  <si>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</si>
  <si>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</si>
  <si>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</si>
  <si>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</si>
  <si>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</si>
  <si>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</si>
  <si>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</si>
  <si>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</si>
  <si>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</si>
  <si>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</si>
  <si>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</si>
  <si>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</si>
  <si>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</si>
  <si>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</si>
  <si>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</si>
  <si>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</si>
  <si>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</si>
  <si>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</si>
  <si>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</si>
  <si>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</si>
  <si>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</si>
  <si>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</si>
  <si>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</si>
  <si>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</si>
  <si>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</si>
  <si>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</si>
  <si>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</si>
  <si>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</si>
  <si>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</si>
  <si>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</si>
  <si>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</si>
  <si>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</si>
  <si>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</si>
  <si>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</si>
  <si>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</si>
  <si>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</si>
  <si>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</si>
  <si>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</si>
  <si>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</si>
  <si>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</si>
  <si>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</si>
  <si>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</si>
  <si>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</si>
  <si>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</si>
  <si>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</si>
  <si>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</si>
  <si>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</si>
  <si>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</si>
  <si>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</si>
  <si>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</si>
  <si>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</si>
  <si>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</si>
  <si>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</si>
  <si>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</si>
  <si>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</si>
  <si>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</si>
  <si>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</si>
  <si>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</si>
  <si>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</si>
  <si>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</si>
  <si>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</si>
  <si>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</si>
  <si>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</si>
  <si>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</si>
  <si>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</si>
  <si>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</si>
  <si>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</si>
  <si>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</si>
  <si>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</si>
  <si>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</si>
  <si>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</si>
  <si>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</si>
  <si>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</si>
  <si>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</si>
  <si>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</si>
  <si>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</si>
  <si>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</si>
  <si>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</si>
  <si>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</si>
  <si>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</si>
  <si>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</si>
  <si>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</si>
  <si>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</si>
  <si>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</si>
  <si>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</si>
  <si>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</si>
  <si>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</si>
  <si>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</si>
  <si>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</si>
  <si>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</si>
  <si>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</si>
  <si>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</si>
  <si>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</si>
  <si>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</si>
  <si>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</si>
  <si>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</si>
  <si>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</si>
  <si>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</si>
  <si>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</si>
  <si>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</si>
  <si>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</si>
  <si>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</si>
  <si>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</si>
  <si>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</si>
  <si>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</si>
  <si>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</si>
  <si>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</si>
  <si>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</si>
  <si>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</si>
  <si>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</si>
  <si>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</si>
  <si>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</si>
  <si>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</si>
  <si>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</si>
  <si>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</si>
  <si>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</si>
  <si>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</si>
  <si>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</si>
  <si>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</si>
  <si>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</si>
  <si>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</si>
  <si>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</si>
  <si>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</si>
  <si>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</si>
  <si>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</si>
  <si>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</si>
  <si>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</si>
  <si>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</si>
  <si>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</si>
  <si>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</si>
  <si>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</si>
  <si>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</si>
  <si>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</si>
  <si>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</si>
  <si>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</si>
  <si>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</si>
  <si>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</si>
  <si>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</si>
  <si>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</si>
  <si>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</si>
  <si>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</si>
  <si>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</si>
  <si>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</si>
  <si>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</si>
  <si>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</si>
  <si>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</si>
  <si>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</si>
  <si>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</si>
  <si>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</si>
  <si>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</si>
  <si>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</si>
  <si>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</si>
  <si>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</si>
  <si>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</si>
  <si>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</si>
  <si>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</si>
  <si>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</si>
  <si>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</si>
  <si>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</si>
  <si>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</si>
  <si>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</si>
  <si>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</si>
  <si>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</si>
  <si>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</si>
  <si>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</si>
  <si>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</si>
  <si>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</si>
  <si>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</si>
  <si>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</si>
  <si>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</si>
  <si>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</si>
  <si>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</si>
  <si>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</si>
  <si>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</si>
  <si>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</si>
  <si>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</si>
  <si>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</si>
  <si>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</si>
  <si>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</si>
  <si>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</si>
  <si>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</si>
  <si>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</si>
  <si>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</si>
  <si>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</si>
  <si>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</si>
  <si>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</si>
  <si>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</si>
  <si>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</si>
  <si>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</si>
  <si>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</si>
  <si>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</si>
  <si>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</si>
  <si>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</si>
  <si>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</si>
  <si>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</si>
  <si>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</si>
  <si>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</si>
  <si>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</si>
  <si>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</si>
  <si>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</si>
  <si>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</si>
  <si>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</si>
  <si>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</si>
  <si>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</si>
  <si>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</si>
  <si>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</si>
  <si>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</si>
  <si>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</si>
  <si>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</si>
  <si>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</si>
  <si>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</si>
  <si>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</si>
  <si>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</si>
  <si>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</si>
  <si>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</si>
  <si>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</si>
  <si>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</si>
  <si>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</si>
  <si>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</si>
  <si>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</si>
  <si>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</si>
  <si>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</si>
  <si>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</si>
  <si>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</si>
  <si>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</si>
  <si>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</si>
  <si>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</si>
  <si>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</si>
  <si>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</si>
  <si>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</si>
  <si>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</si>
  <si>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</si>
  <si>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</si>
  <si>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</si>
  <si>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</si>
  <si>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</si>
  <si>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</si>
  <si>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</si>
  <si>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</si>
  <si>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</si>
  <si>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</si>
  <si>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</si>
  <si>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</si>
  <si>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</si>
  <si>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</si>
  <si>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</si>
  <si>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</si>
  <si>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</si>
  <si>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</si>
  <si>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</si>
  <si>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</si>
  <si>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</si>
  <si>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</si>
  <si>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</si>
  <si>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</si>
  <si>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</si>
  <si>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</si>
  <si>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</si>
  <si>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</si>
  <si>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</si>
  <si>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</si>
  <si>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</si>
  <si>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</si>
  <si>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</si>
  <si>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</si>
  <si>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</si>
  <si>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</si>
  <si>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</si>
  <si>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</si>
  <si>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</si>
  <si>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</si>
  <si>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</si>
  <si>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</si>
  <si>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</si>
  <si>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</si>
  <si>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</si>
  <si>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</si>
  <si>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</si>
  <si>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</si>
  <si>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</si>
  <si>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</si>
  <si>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</si>
  <si>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</si>
  <si>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</si>
  <si>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</si>
  <si>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</si>
  <si>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</si>
  <si>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</si>
  <si>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</si>
  <si>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</si>
  <si>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</si>
  <si>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</si>
  <si>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</si>
  <si>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</si>
  <si>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</si>
  <si>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</si>
  <si>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</si>
  <si>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</si>
  <si>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</si>
  <si>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</si>
  <si>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</si>
  <si>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</si>
  <si>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</si>
  <si>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</si>
  <si>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</si>
  <si>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</si>
  <si>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</si>
  <si>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</si>
  <si>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</si>
  <si>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</si>
  <si>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</si>
  <si>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</si>
  <si>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</si>
  <si>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</si>
  <si>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</si>
  <si>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</si>
  <si>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</si>
  <si>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</si>
  <si>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</si>
  <si>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</si>
  <si>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</si>
  <si>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</si>
  <si>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</si>
  <si>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</si>
  <si>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</si>
  <si>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</si>
  <si>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</si>
  <si>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</si>
  <si>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</si>
  <si>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</si>
  <si>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</si>
  <si>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</si>
  <si>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</si>
  <si>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</si>
  <si>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</si>
  <si>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</si>
  <si>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</si>
  <si>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</si>
  <si>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</si>
  <si>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</si>
  <si>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</si>
  <si>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</si>
  <si>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</si>
  <si>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</si>
  <si>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</si>
  <si>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</si>
  <si>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</si>
  <si>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</si>
  <si>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</si>
  <si>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</si>
  <si>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</si>
  <si>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</si>
  <si>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</si>
  <si>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</si>
  <si>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</si>
  <si>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</si>
  <si>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</si>
  <si>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</si>
  <si>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</si>
  <si>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</si>
  <si>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</si>
  <si>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</si>
  <si>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</si>
  <si>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</si>
  <si>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</si>
  <si>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</si>
  <si>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</si>
  <si>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</si>
  <si>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</si>
  <si>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</si>
  <si>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</si>
  <si>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</si>
  <si>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</si>
  <si>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</si>
  <si>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</si>
  <si>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</si>
  <si>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</si>
  <si>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</si>
  <si>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</si>
  <si>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</si>
  <si>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</si>
  <si>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</si>
  <si>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</si>
  <si>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</si>
  <si>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</si>
  <si>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</si>
  <si>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</si>
  <si>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</si>
  <si>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</si>
  <si>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</si>
  <si>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</si>
  <si>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</si>
  <si>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</si>
  <si>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</si>
  <si>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</si>
  <si>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</si>
  <si>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</si>
  <si>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</si>
  <si>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</si>
  <si>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</si>
  <si>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</si>
  <si>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</si>
  <si>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</si>
  <si>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</si>
  <si>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</si>
  <si>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</si>
  <si>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</si>
  <si>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</si>
  <si>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</si>
  <si>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</si>
  <si>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</si>
  <si>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</si>
  <si>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</si>
  <si>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</si>
  <si>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</si>
  <si>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</si>
  <si>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</si>
  <si>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</si>
  <si>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</si>
  <si>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</si>
  <si>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</si>
  <si>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</si>
  <si>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</si>
  <si>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</si>
  <si>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</si>
  <si>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</si>
  <si>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</si>
  <si>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</si>
  <si>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</si>
  <si>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</si>
  <si>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</si>
  <si>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</si>
  <si>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</si>
  <si>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</si>
  <si>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</si>
  <si>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</si>
  <si>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</si>
  <si>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</si>
  <si>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</si>
  <si>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</si>
  <si>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</si>
  <si>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</si>
  <si>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</si>
  <si>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</si>
  <si>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</si>
  <si>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</si>
  <si>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</si>
  <si>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</si>
  <si>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</si>
  <si>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</si>
  <si>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</si>
  <si>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</si>
  <si>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</si>
  <si>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</si>
  <si>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</si>
  <si>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</si>
  <si>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</si>
  <si>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</si>
  <si>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</si>
  <si>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</si>
  <si>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</si>
  <si>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</si>
  <si>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</si>
  <si>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</si>
  <si>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</si>
  <si>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</si>
  <si>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</si>
  <si>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</si>
  <si>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</si>
  <si>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</si>
  <si>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</si>
  <si>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</si>
  <si>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</si>
  <si>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</si>
  <si>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</si>
  <si>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</si>
  <si>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</si>
  <si>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</si>
  <si>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</si>
  <si>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</si>
  <si>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</si>
  <si>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</si>
  <si>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</si>
  <si>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</si>
  <si>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</si>
  <si>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</si>
  <si>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</si>
  <si>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</si>
  <si>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</si>
  <si>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</si>
  <si>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</si>
  <si>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</si>
  <si>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</si>
  <si>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</si>
  <si>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</si>
  <si>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</si>
  <si>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</si>
  <si>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</si>
  <si>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</si>
  <si>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</si>
  <si>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</si>
  <si>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</si>
  <si>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</si>
  <si>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</si>
  <si>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</si>
  <si>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</si>
  <si>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</si>
  <si>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</si>
  <si>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</si>
  <si>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</si>
  <si>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</si>
  <si>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</si>
  <si>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</si>
  <si>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</si>
  <si>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</si>
  <si>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</si>
  <si>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</si>
  <si>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</si>
  <si>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</si>
  <si>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</si>
  <si>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</si>
  <si>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</si>
  <si>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</si>
  <si>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</si>
  <si>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</si>
  <si>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</si>
  <si>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</si>
  <si>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</si>
  <si>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</si>
  <si>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</si>
  <si>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</si>
  <si>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</si>
  <si>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</si>
  <si>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</si>
  <si>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</si>
  <si>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</si>
  <si>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</si>
  <si>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</si>
  <si>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</si>
  <si>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</si>
  <si>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</si>
  <si>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</si>
  <si>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</si>
  <si>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</si>
  <si>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</si>
  <si>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</si>
  <si>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</si>
  <si>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</si>
  <si>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</si>
  <si>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</si>
  <si>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</si>
  <si>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</si>
  <si>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</si>
  <si>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</si>
  <si>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</si>
  <si>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</si>
  <si>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</si>
  <si>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</si>
  <si>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</si>
  <si>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</si>
  <si>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</si>
  <si>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</si>
  <si>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</si>
  <si>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</si>
  <si>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</si>
  <si>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</si>
  <si>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</si>
  <si>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</si>
  <si>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</si>
  <si>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</si>
  <si>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</si>
  <si>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</si>
  <si>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</si>
  <si>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</si>
  <si>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</si>
  <si>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</si>
  <si>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</si>
  <si>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</si>
  <si>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</si>
  <si>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</si>
  <si>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</si>
  <si>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</si>
  <si>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</si>
  <si>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</si>
  <si>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</si>
  <si>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</si>
  <si>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</si>
  <si>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</si>
  <si>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</si>
  <si>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</si>
  <si>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</si>
  <si>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</si>
  <si>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</si>
  <si>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</si>
  <si>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</si>
  <si>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</si>
  <si>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</si>
  <si>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</si>
  <si>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</si>
  <si>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</si>
  <si>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</si>
  <si>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</si>
  <si>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</si>
  <si>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</si>
  <si>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</si>
  <si>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</si>
  <si>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</si>
  <si>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</si>
  <si>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</si>
  <si>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</si>
  <si>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</si>
  <si>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</si>
  <si>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</si>
  <si>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</si>
  <si>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</si>
  <si>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</si>
  <si>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</si>
  <si>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</si>
  <si>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</si>
  <si>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</si>
  <si>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</si>
  <si>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</si>
  <si>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</si>
  <si>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</si>
  <si>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</si>
  <si>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</si>
  <si>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</si>
  <si>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</si>
  <si>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</si>
  <si>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</si>
  <si>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</si>
  <si>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</si>
  <si>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</si>
  <si>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</si>
  <si>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</si>
  <si>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</si>
  <si>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</si>
  <si>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</si>
  <si>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</si>
  <si>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</si>
  <si>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</si>
  <si>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</si>
  <si>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</si>
  <si>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</si>
  <si>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</si>
  <si>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</si>
  <si>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</si>
  <si>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</si>
  <si>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</si>
  <si>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</si>
  <si>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</si>
  <si>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</si>
  <si>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</si>
  <si>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</si>
  <si>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</si>
  <si>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</si>
  <si>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</si>
  <si>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</si>
  <si>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</si>
  <si>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</si>
  <si>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</si>
  <si>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</si>
  <si>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</si>
  <si>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</si>
  <si>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</si>
  <si>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</si>
  <si>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</si>
  <si>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</si>
  <si>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</si>
  <si>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</si>
  <si>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</si>
  <si>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</si>
  <si>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</si>
  <si>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</si>
  <si>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</si>
  <si>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</si>
  <si>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</si>
  <si>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</si>
  <si>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</si>
  <si>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</si>
  <si>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</si>
  <si>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</si>
  <si>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</si>
  <si>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</si>
  <si>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</si>
  <si>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</si>
  <si>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</si>
  <si>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</si>
  <si>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</si>
  <si>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</si>
  <si>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</si>
  <si>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</si>
  <si>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</si>
  <si>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</si>
  <si>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</si>
  <si>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</si>
  <si>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</si>
  <si>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</si>
  <si>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</si>
  <si>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</si>
  <si>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</si>
  <si>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</si>
  <si>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</si>
  <si>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</si>
  <si>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</si>
  <si>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</si>
  <si>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</si>
  <si>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</si>
  <si>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</si>
  <si>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</si>
  <si>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</si>
  <si>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</si>
  <si>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</si>
  <si>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</si>
  <si>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</si>
  <si>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</si>
  <si>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</si>
  <si>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</si>
  <si>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</si>
  <si>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</si>
  <si>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</si>
  <si>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</si>
  <si>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</si>
  <si>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</si>
  <si>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</si>
  <si>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</si>
  <si>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</si>
  <si>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</si>
  <si>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</si>
  <si>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</si>
  <si>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</si>
  <si>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</si>
  <si>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</si>
  <si>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</si>
  <si>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</si>
  <si>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</si>
  <si>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</si>
  <si>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</si>
  <si>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</si>
  <si>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</si>
  <si>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</si>
  <si>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</si>
  <si>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</si>
  <si>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</si>
  <si>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</si>
  <si>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</si>
  <si>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</si>
  <si>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</si>
  <si>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</si>
  <si>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</si>
  <si>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</si>
  <si>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</si>
  <si>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</si>
  <si>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</si>
  <si>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</si>
  <si>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</si>
  <si>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</si>
  <si>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</si>
  <si>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</si>
  <si>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</si>
  <si>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</si>
  <si>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</si>
  <si>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</si>
  <si>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</si>
  <si>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</si>
  <si>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</si>
  <si>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</si>
  <si>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</si>
  <si>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</si>
  <si>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</si>
  <si>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</si>
  <si>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</si>
  <si>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</si>
  <si>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</si>
  <si>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</si>
  <si>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</si>
  <si>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</si>
  <si>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</si>
  <si>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</si>
  <si>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</si>
  <si>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</si>
  <si>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</si>
  <si>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</si>
  <si>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</si>
  <si>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</si>
  <si>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</si>
  <si>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</si>
  <si>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</si>
  <si>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</si>
  <si>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</si>
  <si>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</si>
  <si>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</si>
  <si>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</si>
  <si>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</si>
  <si>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</si>
  <si>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</si>
  <si>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</si>
  <si>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</si>
  <si>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</si>
  <si>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</si>
  <si>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</si>
  <si>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</si>
  <si>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</si>
  <si>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</si>
  <si>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</si>
  <si>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</si>
  <si>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</si>
  <si>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</si>
  <si>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</si>
  <si>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</si>
  <si>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</si>
  <si>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</si>
  <si>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</si>
  <si>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</si>
  <si>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</si>
  <si>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</si>
  <si>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</si>
  <si>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</si>
  <si>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</si>
  <si>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</si>
  <si>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</si>
  <si>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</si>
  <si>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</si>
  <si>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</si>
  <si>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</si>
  <si>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</si>
  <si>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</si>
  <si>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</si>
  <si>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</si>
  <si>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</si>
  <si>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</si>
  <si>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</si>
  <si>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</si>
  <si>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</si>
  <si>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</si>
  <si>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</si>
  <si>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</si>
  <si>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</si>
  <si>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</si>
  <si>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</si>
  <si>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</si>
  <si>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</si>
  <si>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</si>
  <si>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</si>
  <si>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</si>
  <si>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</si>
  <si>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</si>
  <si>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</si>
  <si>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</si>
  <si>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</si>
  <si>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</si>
  <si>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</si>
  <si>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</si>
  <si>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</si>
  <si>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</si>
  <si>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</si>
  <si>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</si>
  <si>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</si>
  <si>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</si>
  <si>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</si>
  <si>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</si>
  <si>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</si>
  <si>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</si>
  <si>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</si>
  <si>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</si>
  <si>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</si>
  <si>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</si>
  <si>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</si>
  <si>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</si>
  <si>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</si>
  <si>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</si>
  <si>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</si>
  <si>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</si>
  <si>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</si>
  <si>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</si>
  <si>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</si>
  <si>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</si>
  <si>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</si>
  <si>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</si>
  <si>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</si>
  <si>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</si>
  <si>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</si>
  <si>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</si>
  <si>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</si>
  <si>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</si>
  <si>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</si>
  <si>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</si>
  <si>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</si>
  <si>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</si>
  <si>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</si>
  <si>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</si>
  <si>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</si>
  <si>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</si>
  <si>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</si>
  <si>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</si>
  <si>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</si>
  <si>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</si>
  <si>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</si>
  <si>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</si>
  <si>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</si>
  <si>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</si>
  <si>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</si>
  <si>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</si>
  <si>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</si>
  <si>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</si>
  <si>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</si>
  <si>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</si>
  <si>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</si>
  <si>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</si>
  <si>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</si>
  <si>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</si>
  <si>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</si>
  <si>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</si>
  <si>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</si>
  <si>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</si>
  <si>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</si>
  <si>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</si>
  <si>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</si>
  <si>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</si>
  <si>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</si>
  <si>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</si>
  <si>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</si>
  <si>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</si>
  <si>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</si>
  <si>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</si>
  <si>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</si>
  <si>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</si>
  <si>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</si>
  <si>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</si>
  <si>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</si>
  <si>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</si>
  <si>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</si>
  <si>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</si>
  <si>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</si>
  <si>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</si>
  <si>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</si>
  <si>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</si>
  <si>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</si>
  <si>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</si>
  <si>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</si>
  <si>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</si>
  <si>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</si>
  <si>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</si>
  <si>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</si>
  <si>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</si>
  <si>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</si>
  <si>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</si>
  <si>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</si>
  <si>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</si>
  <si>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</si>
  <si>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</si>
  <si>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</si>
  <si>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</si>
  <si>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</si>
  <si>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</si>
  <si>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</si>
  <si>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</si>
  <si>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</si>
  <si>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</si>
  <si>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</si>
  <si>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</si>
  <si>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</si>
  <si>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</si>
  <si>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</si>
  <si>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</si>
  <si>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</si>
  <si>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</si>
  <si>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</si>
  <si>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</si>
  <si>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</si>
  <si>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</si>
  <si>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</si>
  <si>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</si>
  <si>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</si>
  <si>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</si>
  <si>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</si>
  <si>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</si>
  <si>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</si>
  <si>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</si>
  <si>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</si>
  <si>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</si>
  <si>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</si>
  <si>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</si>
  <si>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</si>
  <si>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</si>
  <si>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</si>
  <si>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</si>
  <si>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</si>
  <si>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</si>
  <si>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</si>
  <si>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</si>
  <si>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</si>
  <si>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</si>
  <si>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</si>
  <si>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</si>
  <si>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</si>
  <si>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</si>
  <si>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</si>
  <si>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</si>
  <si>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</si>
  <si>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</si>
  <si>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</si>
  <si>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</si>
  <si>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</si>
  <si>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</si>
  <si>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</si>
  <si>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</si>
  <si>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</si>
  <si>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</si>
  <si>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</si>
  <si>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</si>
  <si>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</si>
  <si>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</si>
  <si>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</si>
  <si>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</si>
  <si>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</si>
  <si>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</si>
  <si>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</si>
  <si>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</si>
  <si>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</si>
  <si>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</si>
  <si>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</si>
  <si>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</si>
  <si>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</si>
  <si>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</si>
  <si>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</si>
  <si>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</si>
  <si>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</si>
  <si>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</si>
  <si>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</si>
  <si>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</si>
  <si>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</si>
  <si>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</si>
  <si>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</si>
  <si>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</si>
  <si>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</si>
  <si>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</si>
  <si>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</si>
  <si>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</si>
  <si>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</si>
  <si>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</si>
  <si>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</si>
  <si>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</si>
  <si>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</si>
  <si>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</si>
  <si>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</si>
  <si>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</si>
  <si>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</si>
  <si>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</si>
  <si>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</si>
  <si>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</si>
  <si>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</si>
  <si>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</si>
  <si>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</si>
  <si>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</si>
  <si>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</si>
  <si>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</si>
  <si>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</si>
  <si>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</si>
  <si>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</si>
  <si>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</si>
  <si>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</si>
  <si>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</si>
  <si>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</si>
  <si>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</si>
  <si>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</si>
  <si>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</si>
  <si>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</si>
  <si>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</si>
  <si>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</si>
  <si>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</si>
  <si>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</si>
  <si>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</si>
  <si>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</si>
  <si>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</si>
  <si>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</si>
  <si>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</si>
  <si>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</si>
  <si>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</si>
  <si>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</si>
  <si>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</si>
  <si>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</si>
  <si>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</si>
  <si>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</si>
  <si>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</si>
  <si>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</si>
  <si>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</si>
  <si>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</si>
  <si>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</si>
  <si>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</si>
  <si>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</si>
  <si>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</si>
  <si>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</si>
  <si>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</si>
  <si>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</si>
  <si>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</si>
  <si>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</si>
  <si>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</si>
  <si>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</si>
  <si>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</si>
  <si>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</si>
  <si>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</si>
  <si>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</si>
  <si>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</si>
  <si>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</si>
  <si>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</si>
  <si>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</si>
  <si>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</si>
  <si>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</si>
  <si>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</si>
  <si>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</si>
  <si>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</si>
  <si>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</si>
  <si>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</si>
  <si>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</si>
  <si>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</si>
  <si>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</si>
  <si>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</si>
  <si>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</si>
  <si>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</si>
  <si>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</si>
  <si>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</si>
  <si>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</si>
  <si>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</si>
  <si>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</si>
  <si>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</si>
  <si>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</si>
  <si>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</si>
  <si>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</si>
  <si>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</si>
  <si>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</si>
  <si>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</si>
  <si>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</si>
  <si>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</si>
  <si>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</si>
  <si>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</si>
  <si>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</si>
  <si>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</si>
  <si>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</si>
  <si>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</si>
  <si>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</si>
  <si>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</si>
  <si>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</si>
  <si>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</si>
  <si>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</si>
  <si>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</si>
  <si>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</si>
  <si>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</si>
  <si>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</si>
  <si>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</si>
  <si>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</si>
  <si>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</si>
  <si>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</si>
  <si>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</si>
  <si>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</si>
  <si>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</si>
  <si>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</si>
  <si>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</si>
  <si>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</si>
  <si>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</si>
  <si>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</si>
  <si>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</si>
  <si>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</si>
  <si>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</si>
  <si>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</si>
  <si>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</si>
  <si>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</si>
  <si>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</si>
  <si>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</si>
  <si>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</si>
  <si>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</si>
  <si>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</si>
  <si>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</si>
  <si>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</si>
  <si>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</si>
  <si>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</si>
  <si>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</si>
  <si>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</si>
  <si>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</si>
  <si>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</si>
  <si>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</si>
  <si>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</si>
  <si>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</si>
  <si>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</si>
  <si>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</si>
  <si>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</si>
  <si>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</si>
  <si>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</si>
  <si>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</si>
  <si>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</si>
  <si>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</si>
  <si>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</si>
  <si>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</si>
  <si>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</si>
  <si>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</si>
  <si>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</si>
  <si>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</si>
  <si>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</si>
  <si>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</si>
  <si>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</si>
  <si>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</si>
  <si>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</si>
  <si>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</si>
  <si>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</si>
  <si>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</si>
  <si>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</si>
  <si>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</si>
  <si>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</si>
  <si>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</si>
  <si>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</si>
  <si>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</si>
  <si>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</si>
  <si>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</si>
  <si>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</si>
  <si>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</si>
  <si>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</si>
  <si>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</si>
  <si>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</si>
  <si>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</si>
  <si>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</si>
  <si>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</si>
  <si>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</si>
  <si>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</si>
  <si>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</si>
  <si>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</si>
  <si>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</si>
  <si>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</si>
  <si>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</si>
  <si>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</si>
  <si>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</si>
  <si>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</si>
  <si>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</si>
  <si>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</si>
  <si>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</si>
  <si>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</si>
  <si>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</si>
  <si>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</si>
  <si>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</si>
  <si>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</si>
  <si>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</si>
  <si>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</si>
  <si>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</si>
  <si>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</si>
  <si>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</si>
  <si>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</si>
  <si>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</si>
  <si>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</si>
  <si>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</si>
  <si>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</si>
  <si>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</si>
  <si>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</si>
  <si>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</si>
  <si>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</si>
  <si>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</si>
  <si>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</si>
  <si>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</si>
  <si>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</si>
  <si>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</si>
  <si>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</si>
  <si>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</si>
  <si>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</si>
  <si>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</si>
  <si>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</si>
  <si>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</si>
  <si>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</si>
  <si>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</si>
  <si>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</si>
  <si>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</si>
  <si>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</si>
  <si>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</si>
  <si>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</si>
  <si>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</si>
  <si>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</si>
  <si>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</si>
  <si>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</si>
  <si>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</si>
  <si>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</si>
  <si>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</si>
  <si>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</si>
  <si>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</si>
  <si>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</si>
  <si>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</si>
  <si>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</si>
  <si>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</si>
  <si>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</si>
  <si>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</si>
  <si>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</si>
  <si>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</si>
  <si>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</si>
  <si>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</si>
  <si>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</si>
  <si>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</si>
  <si>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</si>
  <si>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</si>
  <si>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</si>
  <si>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</si>
  <si>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</si>
  <si>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</si>
  <si>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</si>
  <si>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</si>
  <si>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</si>
  <si>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</si>
  <si>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</si>
  <si>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</si>
  <si>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</si>
  <si>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</si>
  <si>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</si>
  <si>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</si>
  <si>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</si>
  <si>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</si>
  <si>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</si>
  <si>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</si>
  <si>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</si>
  <si>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</si>
  <si>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</si>
  <si>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</si>
  <si>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</si>
  <si>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</si>
  <si>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</si>
  <si>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</si>
  <si>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</si>
  <si>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</si>
  <si>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</si>
  <si>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</si>
  <si>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</si>
  <si>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</si>
  <si>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</si>
  <si>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</si>
  <si>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</si>
  <si>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</si>
  <si>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</si>
  <si>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</si>
  <si>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</si>
  <si>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</si>
  <si>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</si>
  <si>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</si>
  <si>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</si>
  <si>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</si>
  <si>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</si>
  <si>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</si>
  <si>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</si>
  <si>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</si>
  <si>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</si>
  <si>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</si>
  <si>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</si>
  <si>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</si>
  <si>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</si>
  <si>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</si>
  <si>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</si>
  <si>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</si>
  <si>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</si>
  <si>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</si>
  <si>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</si>
  <si>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</si>
  <si>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</si>
  <si>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</si>
  <si>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</si>
  <si>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</si>
  <si>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</si>
  <si>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</si>
  <si>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</si>
  <si>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</si>
  <si>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</si>
  <si>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</si>
  <si>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</si>
  <si>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</si>
  <si>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</si>
  <si>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</si>
  <si>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</si>
  <si>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</si>
  <si>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</si>
  <si>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</si>
  <si>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</si>
  <si>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</si>
  <si>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</si>
  <si>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</si>
  <si>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</si>
  <si>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</si>
  <si>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</si>
  <si>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</si>
  <si>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</si>
  <si>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</si>
  <si>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</si>
  <si>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</si>
  <si>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</si>
  <si>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</si>
  <si>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</si>
  <si>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</si>
  <si>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</si>
  <si>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</si>
  <si>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</si>
  <si>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</si>
  <si>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</si>
  <si>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</si>
  <si>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</si>
  <si>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</si>
  <si>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</si>
  <si>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</si>
  <si>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</si>
  <si>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</si>
  <si>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</si>
  <si>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</si>
  <si>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</si>
  <si>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</si>
  <si>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</si>
  <si>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</si>
  <si>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</si>
  <si>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</si>
  <si>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</si>
  <si>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</si>
  <si>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</si>
  <si>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</si>
  <si>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</si>
  <si>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</si>
  <si>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</si>
  <si>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</si>
  <si>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</si>
  <si>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</si>
  <si>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</si>
  <si>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</si>
  <si>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</si>
  <si>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</si>
  <si>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</si>
  <si>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</si>
  <si>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</si>
  <si>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</si>
  <si>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</si>
  <si>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</si>
  <si>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</si>
  <si>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</si>
  <si>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</si>
  <si>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</si>
  <si>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</si>
  <si>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</si>
  <si>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</si>
  <si>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</si>
  <si>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</si>
  <si>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</si>
  <si>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</si>
  <si>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</si>
  <si>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</si>
  <si>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</si>
  <si>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</si>
  <si>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</si>
  <si>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</si>
  <si>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</si>
  <si>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</si>
  <si>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</si>
  <si>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</si>
  <si>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</si>
  <si>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</si>
  <si>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</si>
  <si>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</si>
  <si>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</si>
  <si>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</si>
  <si>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</si>
  <si>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</si>
  <si>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</si>
  <si>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</si>
  <si>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</si>
  <si>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</si>
  <si>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</si>
  <si>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</si>
  <si>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</si>
  <si>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</si>
  <si>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</si>
  <si>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</si>
  <si>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</si>
  <si>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</si>
  <si>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</si>
  <si>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</si>
  <si>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</si>
  <si>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</si>
  <si>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</si>
  <si>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</si>
  <si>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</si>
  <si>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</si>
  <si>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</si>
  <si>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</si>
  <si>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</si>
  <si>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</si>
  <si>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</si>
  <si>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</si>
  <si>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</si>
  <si>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</si>
  <si>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</si>
  <si>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</si>
  <si>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</si>
  <si>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</si>
  <si>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</si>
  <si>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</si>
  <si>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</si>
  <si>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</si>
  <si>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</si>
  <si>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</si>
  <si>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</si>
  <si>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</si>
  <si>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</si>
  <si>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</si>
  <si>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</si>
  <si>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</si>
  <si>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</si>
  <si>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</si>
  <si>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</si>
  <si>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</si>
  <si>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</si>
  <si>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</si>
  <si>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</si>
  <si>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</si>
  <si>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</si>
  <si>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</si>
  <si>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</si>
  <si>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</si>
  <si>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</si>
  <si>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</si>
  <si>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</si>
  <si>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</si>
  <si>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</si>
  <si>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</si>
  <si>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</si>
  <si>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</si>
  <si>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</si>
  <si>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</si>
  <si>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</si>
  <si>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</si>
  <si>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</si>
  <si>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</si>
  <si>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</si>
  <si>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</si>
  <si>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</si>
  <si>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</si>
  <si>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</si>
  <si>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</si>
  <si>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</si>
  <si>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</si>
  <si>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</si>
  <si>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</si>
  <si>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</si>
  <si>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</si>
  <si>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</si>
  <si>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</si>
  <si>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</si>
  <si>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</si>
  <si>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</si>
  <si>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</si>
  <si>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</si>
  <si>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</si>
  <si>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</si>
  <si>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</si>
  <si>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</si>
  <si>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</si>
  <si>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</si>
  <si>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</si>
  <si>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</si>
  <si>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</si>
  <si>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</si>
  <si>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</si>
  <si>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</si>
  <si>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</si>
  <si>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</si>
  <si>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</si>
  <si>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</si>
  <si>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</si>
  <si>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</si>
  <si>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</si>
  <si>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</si>
  <si>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</si>
  <si>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</si>
  <si>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</si>
  <si>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</si>
  <si>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</si>
  <si>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</si>
  <si>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</si>
  <si>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</si>
  <si>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</si>
  <si>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</si>
  <si>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</si>
  <si>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</si>
  <si>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</si>
  <si>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</si>
  <si>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</si>
  <si>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</si>
  <si>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</si>
  <si>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</si>
  <si>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</si>
  <si>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</si>
  <si>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</si>
  <si>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</si>
  <si>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</si>
  <si>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</si>
  <si>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</si>
  <si>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</si>
  <si>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</si>
  <si>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</si>
  <si>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</si>
  <si>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</si>
  <si>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</si>
  <si>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</si>
  <si>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</si>
  <si>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</si>
  <si>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</si>
  <si>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</si>
  <si>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</si>
  <si>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</si>
  <si>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</si>
  <si>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</si>
  <si>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</si>
  <si>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</si>
  <si>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</si>
  <si>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</si>
  <si>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</si>
  <si>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</si>
  <si>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</si>
  <si>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</si>
  <si>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</si>
  <si>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</si>
  <si>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</si>
  <si>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</si>
  <si>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</si>
  <si>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</si>
  <si>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</si>
  <si>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</si>
  <si>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</si>
  <si>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</si>
  <si>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</si>
  <si>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</si>
  <si>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</si>
  <si>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</si>
  <si>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</si>
  <si>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</si>
  <si>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</si>
  <si>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</si>
  <si>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</si>
  <si>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</si>
  <si>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</si>
  <si>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</si>
  <si>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</si>
  <si>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</si>
  <si>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</si>
  <si>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</si>
  <si>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</si>
  <si>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</si>
  <si>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</si>
  <si>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</si>
  <si>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</si>
  <si>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</si>
  <si>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</si>
  <si>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</si>
  <si>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</si>
  <si>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</si>
  <si>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</si>
  <si>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</si>
  <si>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</si>
  <si>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</si>
  <si>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</si>
  <si>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</si>
  <si>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</si>
  <si>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</si>
  <si>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</si>
  <si>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</si>
  <si>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</si>
  <si>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</si>
  <si>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</si>
  <si>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</si>
  <si>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</si>
  <si>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</si>
  <si>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</si>
  <si>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</si>
  <si>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</si>
  <si>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</si>
  <si>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</si>
  <si>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</si>
  <si>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</si>
  <si>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</si>
  <si>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</si>
  <si>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</si>
  <si>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</si>
  <si>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</si>
  <si>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</si>
  <si>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</si>
  <si>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</si>
  <si>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</si>
  <si>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</si>
  <si>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</si>
  <si>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</si>
  <si>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</si>
  <si>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</si>
  <si>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</si>
  <si>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</si>
  <si>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</si>
  <si>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</si>
  <si>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</si>
  <si>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</si>
  <si>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</si>
  <si>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</si>
  <si>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</si>
  <si>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</si>
  <si>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</si>
  <si>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</si>
  <si>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</si>
  <si>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</si>
  <si>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</si>
  <si>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</si>
  <si>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</si>
  <si>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</si>
  <si>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</si>
  <si>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</si>
  <si>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</si>
  <si>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</si>
  <si>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</si>
  <si>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</si>
  <si>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</si>
  <si>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</si>
  <si>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</si>
  <si>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</si>
  <si>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</si>
  <si>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</si>
  <si>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</si>
  <si>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</si>
  <si>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</si>
  <si>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</si>
  <si>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</si>
  <si>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</si>
  <si>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</si>
  <si>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</si>
  <si>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</si>
  <si>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</si>
  <si>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</si>
  <si>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</si>
  <si>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</si>
  <si>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</si>
  <si>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</si>
  <si>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</si>
  <si>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</si>
  <si>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</si>
  <si>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</si>
  <si>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</si>
  <si>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</si>
  <si>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</si>
  <si>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</si>
  <si>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</si>
  <si>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</si>
  <si>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</si>
  <si>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</si>
  <si>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</si>
  <si>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</si>
  <si>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</si>
  <si>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</si>
  <si>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</si>
  <si>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</si>
  <si>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</si>
  <si>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</si>
  <si>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</si>
  <si>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</si>
  <si>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</si>
  <si>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</si>
  <si>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</si>
  <si>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</si>
  <si>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</si>
  <si>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</si>
  <si>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</si>
  <si>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</si>
  <si>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</si>
  <si>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</si>
  <si>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</si>
  <si>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</si>
  <si>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</si>
  <si>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</si>
  <si>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</si>
  <si>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</si>
  <si>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</si>
  <si>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</si>
  <si>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</si>
  <si>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</si>
  <si>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</si>
  <si>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</si>
  <si>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</si>
  <si>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</si>
  <si>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</si>
  <si>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</si>
  <si>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</si>
  <si>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</si>
  <si>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</si>
  <si>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</si>
  <si>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</si>
  <si>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</si>
  <si>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</si>
  <si>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</si>
  <si>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</si>
  <si>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</si>
  <si>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</si>
  <si>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</si>
  <si>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</si>
  <si>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</si>
  <si>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</si>
  <si>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</si>
  <si>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</si>
  <si>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</si>
  <si>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</si>
  <si>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</si>
  <si>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</si>
  <si>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</si>
  <si>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</si>
  <si>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</si>
  <si>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</si>
  <si>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</si>
  <si>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</si>
  <si>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</si>
  <si>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</si>
  <si>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</si>
  <si>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</si>
  <si>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</si>
  <si>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</si>
  <si>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</si>
  <si>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</si>
  <si>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</si>
  <si>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</si>
  <si>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</si>
  <si>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</si>
  <si>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</si>
  <si>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</si>
  <si>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</si>
  <si>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</si>
  <si>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</si>
  <si>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</si>
  <si>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</si>
  <si>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</si>
  <si>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</si>
  <si>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</si>
  <si>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</si>
  <si>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</si>
  <si>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</si>
  <si>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</si>
  <si>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</si>
  <si>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</si>
  <si>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</si>
  <si>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</si>
  <si>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</si>
  <si>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</si>
  <si>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</si>
  <si>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</si>
  <si>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</si>
  <si>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</si>
  <si>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</si>
  <si>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</si>
  <si>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</si>
  <si>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</si>
  <si>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</si>
  <si>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</si>
  <si>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</si>
  <si>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</si>
  <si>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</si>
  <si>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</si>
  <si>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</si>
  <si>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</si>
  <si>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</si>
  <si>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</si>
  <si>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</si>
  <si>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</si>
  <si>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</si>
  <si>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</si>
  <si>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</si>
  <si>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</si>
  <si>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</si>
  <si>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</si>
  <si>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</si>
  <si>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</si>
  <si>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</si>
  <si>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</si>
  <si>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</si>
  <si>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</si>
  <si>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</si>
  <si>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</si>
  <si>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</si>
  <si>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</si>
  <si>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</si>
  <si>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</si>
  <si>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</si>
  <si>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</si>
  <si>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</si>
  <si>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</si>
  <si>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</si>
  <si>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</si>
  <si>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</si>
  <si>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</si>
  <si>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</si>
  <si>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</si>
  <si>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</si>
  <si>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</si>
  <si>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</si>
  <si>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</si>
  <si>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</si>
  <si>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</si>
  <si>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</si>
  <si>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</si>
  <si>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</si>
  <si>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</si>
  <si>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</si>
  <si>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</si>
  <si>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</si>
  <si>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</si>
  <si>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</si>
  <si>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</si>
  <si>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</si>
  <si>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</si>
  <si>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</si>
  <si>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</si>
  <si>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</si>
  <si>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</si>
  <si>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</si>
  <si>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</si>
  <si>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</si>
  <si>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</si>
  <si>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</si>
  <si>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</si>
  <si>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</si>
  <si>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</si>
  <si>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</si>
  <si>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</si>
  <si>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</si>
  <si>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</si>
  <si>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</si>
  <si>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</si>
  <si>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</si>
  <si>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</si>
  <si>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</si>
  <si>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</si>
  <si>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</si>
  <si>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</si>
  <si>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</si>
  <si>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</si>
  <si>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</si>
  <si>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</si>
  <si>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</si>
  <si>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</si>
  <si>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</si>
  <si>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</si>
  <si>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</si>
  <si>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</si>
  <si>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</si>
  <si>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</si>
  <si>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</si>
  <si>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</si>
  <si>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</si>
  <si>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</si>
  <si>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</si>
  <si>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</si>
  <si>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</si>
  <si>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</si>
  <si>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</si>
  <si>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</si>
  <si>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</si>
  <si>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</si>
  <si>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</si>
  <si>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</si>
  <si>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</si>
  <si>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</si>
  <si>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</si>
  <si>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</si>
  <si>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</si>
  <si>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</si>
  <si>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</si>
  <si>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</si>
  <si>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</si>
  <si>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</si>
  <si>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</si>
  <si>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</si>
  <si>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</si>
  <si>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</si>
  <si>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</si>
  <si>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</si>
  <si>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</si>
  <si>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</si>
  <si>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</si>
  <si>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</si>
  <si>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</si>
  <si>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</si>
  <si>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</si>
  <si>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</si>
  <si>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</si>
  <si>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</si>
  <si>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</si>
  <si>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</si>
  <si>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</si>
  <si>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</si>
  <si>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</si>
  <si>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</si>
  <si>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</si>
  <si>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</si>
  <si>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</si>
  <si>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</si>
  <si>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</si>
  <si>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</si>
  <si>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</si>
  <si>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</si>
  <si>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</si>
  <si>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</si>
  <si>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</si>
  <si>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</si>
  <si>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</si>
  <si>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</si>
  <si>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</si>
  <si>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</si>
  <si>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</si>
  <si>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</si>
  <si>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</si>
  <si>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</si>
  <si>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</si>
  <si>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</si>
  <si>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</si>
  <si>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</si>
  <si>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</si>
  <si>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</si>
  <si>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</si>
  <si>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</si>
  <si>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</si>
  <si>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</si>
  <si>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</si>
  <si>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</si>
  <si>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</si>
  <si>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</si>
  <si>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</si>
  <si>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</si>
  <si>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</si>
  <si>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</si>
  <si>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</si>
  <si>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</si>
  <si>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</si>
  <si>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</si>
  <si>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</si>
  <si>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</si>
  <si>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</si>
  <si>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</si>
  <si>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</si>
  <si>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</si>
  <si>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</si>
  <si>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</si>
  <si>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</si>
  <si>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</si>
  <si>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</si>
  <si>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</si>
  <si>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</si>
  <si>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</si>
  <si>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</si>
  <si>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</si>
  <si>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</si>
  <si>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</si>
  <si>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</si>
  <si>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</si>
  <si>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</si>
  <si>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</si>
  <si>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</si>
  <si>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</si>
  <si>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</si>
  <si>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</si>
  <si>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</si>
  <si>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</si>
  <si>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</si>
  <si>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</si>
  <si>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</si>
  <si>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</si>
  <si>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</si>
  <si>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</si>
  <si>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</si>
  <si>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</si>
  <si>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</si>
  <si>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</si>
  <si>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</si>
  <si>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</si>
  <si>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</si>
  <si>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</si>
  <si>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</si>
  <si>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</si>
  <si>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</si>
  <si>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</si>
  <si>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</si>
  <si>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</si>
  <si>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</si>
  <si>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</si>
  <si>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</si>
  <si>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</si>
  <si>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</si>
  <si>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</si>
  <si>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</si>
  <si>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</si>
  <si>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</si>
  <si>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</si>
  <si>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</si>
  <si>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</si>
  <si>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</si>
  <si>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</si>
  <si>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</si>
  <si>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</si>
  <si>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</si>
  <si>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</si>
  <si>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</si>
  <si>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</si>
  <si>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</si>
  <si>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</si>
  <si>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</si>
  <si>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</si>
  <si>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</si>
  <si>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</si>
  <si>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</si>
  <si>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</si>
  <si>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</si>
  <si>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</si>
  <si>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</si>
  <si>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</si>
  <si>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</si>
  <si>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</si>
  <si>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</si>
  <si>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</si>
  <si>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</si>
  <si>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</si>
  <si>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</si>
  <si>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</si>
  <si>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</si>
  <si>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</si>
  <si>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</si>
  <si>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</si>
  <si>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</si>
  <si>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</si>
  <si>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</si>
  <si>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</si>
  <si>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</si>
  <si>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</si>
  <si>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</si>
  <si>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</si>
  <si>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</si>
  <si>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</si>
  <si>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</si>
  <si>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</si>
  <si>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</si>
  <si>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</si>
  <si>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</si>
  <si>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</si>
  <si>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</si>
  <si>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</si>
  <si>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</si>
  <si>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</si>
  <si>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</si>
  <si>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</si>
  <si>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</si>
  <si>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</si>
  <si>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</si>
  <si>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</si>
  <si>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</si>
  <si>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</si>
  <si>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</si>
  <si>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</si>
  <si>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</si>
  <si>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</si>
  <si>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</si>
  <si>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</si>
  <si>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</si>
  <si>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</si>
  <si>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</si>
  <si>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</si>
  <si>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</si>
  <si>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</si>
  <si>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</si>
  <si>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</si>
  <si>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</si>
  <si>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</si>
  <si>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</si>
  <si>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</si>
  <si>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</si>
  <si>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</si>
  <si>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</si>
  <si>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</si>
  <si>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</si>
  <si>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</si>
  <si>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</si>
  <si>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</si>
  <si>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</si>
  <si>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</si>
  <si>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</si>
  <si>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</si>
  <si>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</si>
  <si>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</si>
  <si>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</si>
  <si>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</si>
  <si>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</si>
  <si>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</si>
  <si>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</si>
  <si>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</si>
  <si>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</si>
  <si>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</si>
  <si>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</si>
  <si>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</si>
  <si>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</si>
  <si>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</si>
  <si>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</si>
  <si>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</si>
  <si>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</si>
  <si>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</si>
  <si>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</si>
  <si>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</si>
  <si>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</si>
  <si>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</si>
  <si>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</si>
  <si>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</si>
  <si>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</si>
  <si>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</si>
  <si>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</si>
  <si>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</si>
  <si>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</si>
  <si>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</si>
  <si>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</si>
  <si>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</si>
  <si>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</si>
  <si>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</si>
  <si>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</si>
  <si>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</si>
  <si>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</si>
  <si>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</si>
  <si>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</si>
  <si>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</si>
  <si>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</si>
  <si>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</si>
  <si>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</si>
  <si>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</si>
  <si>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</si>
  <si>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</si>
  <si>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</si>
  <si>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</si>
  <si>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</si>
  <si>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</si>
  <si>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</si>
  <si>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</si>
  <si>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</si>
  <si>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</si>
  <si>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</si>
  <si>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</si>
  <si>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</si>
  <si>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</si>
  <si>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</si>
  <si>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</si>
  <si>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</si>
  <si>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</si>
  <si>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</si>
  <si>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</si>
  <si>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</si>
  <si>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</si>
  <si>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</si>
  <si>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</si>
  <si>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</si>
  <si>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</si>
  <si>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</si>
  <si>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</si>
  <si>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</si>
  <si>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</si>
  <si>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</si>
  <si>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</si>
  <si>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</si>
  <si>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</si>
  <si>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</si>
  <si>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</si>
  <si>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</si>
  <si>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</si>
  <si>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</si>
  <si>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</si>
  <si>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</si>
  <si>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</si>
  <si>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</si>
  <si>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</si>
  <si>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</si>
  <si>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</si>
  <si>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</si>
  <si>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</si>
  <si>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</si>
  <si>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</si>
  <si>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</si>
  <si>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</si>
  <si>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</si>
  <si>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</si>
  <si>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</si>
  <si>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</si>
  <si>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</si>
  <si>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</si>
  <si>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</si>
  <si>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</si>
  <si>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</si>
  <si>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</si>
  <si>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</si>
  <si>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</si>
  <si>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</si>
  <si>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</si>
  <si>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</si>
  <si>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</si>
  <si>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</si>
  <si>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</si>
  <si>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</si>
  <si>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</si>
  <si>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</si>
  <si>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</si>
  <si>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</si>
  <si>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</si>
  <si>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</si>
  <si>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</si>
  <si>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</si>
  <si>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</si>
  <si>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</si>
  <si>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</si>
  <si>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</si>
  <si>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</si>
  <si>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</si>
  <si>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</si>
  <si>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</si>
  <si>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</si>
  <si>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</si>
  <si>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</si>
  <si>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</si>
  <si>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</si>
  <si>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</si>
  <si>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</si>
  <si>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</si>
  <si>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</si>
  <si>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</si>
  <si>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</si>
  <si>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</si>
  <si>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</si>
  <si>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</si>
  <si>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</si>
  <si>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</si>
  <si>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</si>
  <si>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</si>
  <si>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</si>
  <si>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</si>
  <si>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</si>
  <si>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</si>
  <si>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</si>
  <si>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</si>
  <si>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</si>
  <si>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</si>
  <si>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</si>
  <si>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</si>
  <si>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</si>
  <si>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</si>
  <si>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</si>
  <si>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</si>
  <si>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</si>
  <si>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</si>
  <si>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</si>
  <si>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</si>
  <si>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</si>
  <si>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</si>
  <si>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</si>
  <si>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</si>
  <si>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</si>
  <si>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</si>
  <si>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</si>
  <si>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</si>
  <si>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</si>
  <si>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</si>
  <si>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</si>
  <si>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</si>
  <si>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</si>
  <si>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</si>
  <si>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</si>
  <si>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</si>
  <si>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</si>
  <si>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</si>
  <si>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</si>
  <si>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</si>
  <si>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</si>
  <si>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</si>
  <si>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</si>
  <si>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</si>
  <si>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</si>
  <si>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</si>
  <si>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</si>
  <si>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</si>
  <si>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</si>
  <si>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</si>
  <si>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</si>
  <si>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</si>
  <si>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</si>
  <si>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</si>
  <si>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</si>
  <si>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</si>
  <si>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</si>
  <si>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</si>
  <si>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</si>
  <si>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</si>
  <si>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</si>
  <si>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</si>
  <si>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</si>
  <si>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</si>
  <si>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</si>
  <si>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</si>
  <si>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</si>
  <si>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</si>
  <si>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</si>
  <si>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</si>
  <si>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</si>
  <si>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</si>
  <si>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</si>
  <si>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</si>
  <si>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</si>
  <si>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</si>
  <si>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</si>
  <si>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</si>
  <si>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</si>
  <si>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</si>
  <si>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</si>
  <si>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</si>
  <si>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</si>
  <si>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</si>
  <si>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</si>
  <si>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</si>
  <si>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</si>
  <si>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</si>
  <si>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</si>
  <si>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</si>
  <si>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</si>
  <si>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</si>
  <si>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</si>
  <si>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</si>
  <si>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</si>
  <si>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</si>
  <si>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</si>
  <si>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</si>
  <si>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</si>
  <si>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</si>
  <si>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</si>
  <si>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</si>
  <si>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</si>
  <si>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</si>
  <si>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</si>
  <si>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</si>
  <si>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</si>
  <si>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</si>
  <si>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</si>
  <si>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</si>
  <si>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</si>
  <si>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</si>
  <si>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</si>
  <si>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</si>
  <si>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</si>
  <si>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</si>
  <si>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</si>
  <si>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</si>
  <si>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</si>
  <si>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</si>
  <si>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</si>
  <si>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</si>
  <si>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</si>
  <si>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</si>
  <si>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</si>
  <si>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</si>
  <si>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</si>
  <si>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</si>
  <si>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</si>
  <si>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</si>
  <si>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</si>
  <si>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</si>
  <si>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</si>
  <si>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</si>
  <si>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</si>
  <si>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</si>
  <si>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</si>
  <si>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</si>
  <si>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</si>
  <si>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</si>
  <si>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</si>
  <si>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</si>
  <si>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</si>
  <si>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</si>
  <si>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</si>
  <si>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</si>
  <si>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</si>
  <si>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</si>
  <si>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</si>
  <si>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</si>
  <si>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</si>
  <si>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</si>
  <si>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</si>
  <si>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</si>
  <si>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</si>
  <si>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</si>
  <si>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</si>
  <si>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</si>
  <si>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</si>
  <si>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</si>
  <si>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</si>
  <si>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</si>
  <si>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</si>
  <si>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</si>
  <si>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</si>
  <si>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</si>
  <si>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</si>
  <si>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</si>
  <si>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</si>
  <si>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</si>
  <si>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</si>
  <si>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</si>
  <si>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</si>
  <si>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</si>
  <si>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</si>
  <si>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</si>
  <si>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</si>
  <si>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</si>
  <si>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</si>
  <si>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</si>
  <si>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</si>
  <si>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</si>
  <si>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</si>
  <si>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</si>
  <si>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</si>
  <si>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</si>
  <si>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</si>
  <si>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</si>
  <si>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</si>
  <si>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</si>
  <si>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</si>
  <si>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</si>
  <si>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</si>
  <si>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</si>
  <si>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</si>
  <si>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</si>
  <si>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</si>
  <si>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</si>
  <si>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</si>
  <si>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</si>
  <si>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</si>
  <si>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</si>
  <si>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</si>
  <si>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</si>
  <si>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</si>
  <si>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</si>
  <si>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</si>
  <si>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</si>
  <si>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</si>
  <si>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</si>
  <si>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</si>
  <si>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</si>
  <si>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</si>
  <si>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</si>
  <si>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</si>
  <si>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</si>
  <si>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</si>
  <si>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</si>
  <si>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</si>
  <si>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</si>
  <si>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</si>
  <si>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</si>
  <si>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</si>
  <si>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</si>
  <si>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</si>
  <si>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</si>
  <si>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</si>
  <si>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</si>
  <si>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</si>
  <si>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</si>
  <si>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</si>
  <si>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</si>
  <si>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</si>
  <si>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</si>
  <si>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</si>
  <si>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</si>
  <si>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</si>
  <si>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</si>
  <si>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</si>
  <si>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</si>
  <si>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</si>
  <si>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</si>
  <si>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</si>
  <si>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</si>
  <si>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</si>
  <si>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</si>
  <si>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</si>
  <si>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</si>
  <si>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</si>
  <si>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</si>
  <si>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</si>
  <si>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</si>
  <si>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</si>
  <si>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</si>
  <si>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</si>
  <si>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</si>
  <si>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</si>
  <si>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</si>
  <si>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</si>
  <si>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</si>
  <si>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</si>
  <si>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</si>
  <si>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</si>
  <si>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</si>
  <si>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</si>
  <si>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</si>
  <si>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</si>
  <si>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</si>
  <si>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</si>
  <si>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</si>
  <si>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</si>
  <si>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</si>
  <si>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</si>
  <si>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</si>
  <si>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</si>
  <si>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</si>
  <si>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</si>
  <si>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</si>
  <si>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</si>
  <si>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</si>
  <si>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</si>
  <si>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</si>
  <si>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</si>
  <si>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</si>
  <si>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</si>
  <si>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</si>
  <si>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</si>
  <si>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</si>
  <si>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</si>
  <si>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</si>
  <si>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</si>
  <si>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</si>
  <si>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</si>
  <si>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</si>
  <si>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</si>
  <si>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</si>
  <si>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</si>
  <si>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</si>
  <si>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</si>
  <si>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</si>
  <si>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</si>
  <si>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</si>
  <si>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</si>
  <si>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</si>
  <si>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</si>
  <si>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</si>
  <si>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</si>
  <si>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</si>
  <si>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</si>
  <si>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</si>
  <si>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</si>
  <si>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</si>
  <si>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</si>
  <si>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</si>
  <si>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</si>
  <si>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</si>
  <si>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</si>
  <si>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</si>
  <si>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</si>
  <si>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</si>
  <si>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</si>
  <si>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</si>
  <si>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</si>
  <si>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</si>
  <si>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</si>
  <si>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</si>
  <si>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</si>
  <si>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</si>
  <si>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</si>
  <si>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</si>
  <si>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</si>
  <si>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</si>
  <si>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</si>
  <si>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</si>
  <si>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</si>
  <si>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</si>
  <si>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</si>
  <si>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</si>
  <si>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</si>
  <si>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</si>
  <si>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</si>
  <si>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</si>
  <si>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</si>
  <si>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</si>
  <si>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</si>
  <si>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</si>
  <si>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</si>
  <si>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</si>
  <si>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</si>
  <si>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</si>
  <si>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</si>
  <si>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</si>
  <si>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</si>
  <si>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</si>
  <si>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</si>
  <si>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</si>
  <si>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</si>
  <si>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</si>
  <si>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</si>
  <si>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</si>
  <si>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</si>
  <si>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</si>
  <si>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</si>
  <si>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</si>
  <si>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</si>
  <si>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</si>
  <si>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</si>
  <si>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</si>
  <si>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</si>
  <si>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</si>
  <si>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</si>
  <si>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</si>
  <si>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</si>
  <si>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</si>
  <si>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</si>
  <si>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</si>
  <si>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</si>
  <si>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</si>
  <si>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</si>
  <si>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</si>
  <si>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</si>
  <si>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</si>
  <si>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</si>
  <si>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</si>
  <si>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</si>
  <si>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</si>
  <si>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</si>
  <si>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</si>
  <si>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</si>
  <si>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</si>
  <si>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</si>
  <si>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</si>
  <si>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</si>
  <si>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</si>
  <si>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</si>
  <si>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</si>
  <si>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</si>
  <si>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</si>
  <si>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</si>
  <si>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</si>
  <si>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</si>
  <si>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</si>
  <si>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</si>
  <si>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</si>
  <si>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</si>
  <si>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</si>
  <si>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</si>
  <si>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</si>
  <si>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</si>
  <si>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</si>
  <si>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</si>
  <si>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</si>
  <si>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</si>
  <si>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</si>
  <si>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</si>
  <si>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</si>
  <si>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</si>
  <si>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</si>
  <si>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</si>
  <si>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</si>
  <si>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</si>
  <si>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</si>
  <si>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</si>
  <si>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</si>
  <si>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</si>
  <si>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</si>
  <si>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</si>
  <si>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</si>
  <si>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</si>
  <si>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</si>
  <si>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</si>
  <si>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</si>
  <si>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</si>
  <si>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</si>
  <si>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</si>
  <si>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</si>
  <si>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</si>
  <si>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</si>
  <si>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</si>
  <si>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</si>
  <si>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</si>
  <si>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</si>
  <si>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</si>
  <si>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</si>
  <si>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</si>
  <si>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</si>
  <si>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</si>
  <si>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</si>
  <si>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</si>
  <si>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</si>
  <si>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</si>
  <si>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</si>
  <si>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</si>
  <si>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</si>
  <si>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</si>
  <si>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</si>
  <si>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</si>
  <si>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</si>
  <si>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</si>
  <si>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</si>
  <si>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</si>
  <si>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</si>
  <si>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</si>
  <si>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</si>
  <si>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</si>
  <si>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</si>
  <si>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</si>
  <si>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</si>
  <si>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</si>
  <si>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</si>
  <si>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</si>
  <si>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</si>
  <si>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</si>
  <si>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</si>
  <si>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</si>
  <si>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</si>
  <si>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</si>
  <si>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</si>
  <si>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</si>
  <si>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</si>
  <si>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</si>
  <si>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</si>
  <si>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</si>
  <si>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</si>
  <si>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</si>
  <si>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</si>
  <si>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</si>
  <si>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</si>
  <si>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</si>
  <si>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</si>
  <si>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</si>
  <si>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</si>
  <si>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</si>
  <si>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</si>
  <si>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</si>
  <si>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</si>
  <si>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</si>
  <si>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</si>
  <si>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</si>
  <si>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</si>
  <si>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</si>
  <si>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</si>
  <si>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</si>
  <si>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</si>
  <si>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</si>
  <si>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</si>
  <si>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</si>
  <si>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</si>
  <si>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</si>
  <si>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</si>
  <si>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</si>
  <si>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</si>
  <si>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</si>
  <si>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</si>
  <si>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</si>
  <si>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</si>
  <si>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</si>
  <si>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</si>
  <si>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</si>
  <si>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</si>
  <si>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</si>
  <si>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</si>
  <si>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</si>
  <si>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</si>
  <si>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</si>
  <si>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</si>
  <si>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</si>
  <si>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</si>
  <si>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</si>
  <si>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</si>
  <si>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</si>
  <si>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</si>
  <si>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</si>
  <si>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</si>
  <si>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</si>
  <si>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</si>
  <si>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</si>
  <si>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</si>
  <si>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</si>
  <si>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</si>
  <si>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</si>
  <si>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</si>
  <si>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</si>
  <si>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</si>
  <si>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</si>
  <si>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</si>
  <si>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</si>
  <si>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</si>
  <si>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</si>
  <si>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</si>
  <si>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</si>
  <si>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</si>
  <si>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</si>
  <si>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</si>
  <si>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</si>
  <si>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</si>
  <si>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</si>
  <si>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</si>
  <si>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</si>
  <si>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</si>
  <si>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</si>
  <si>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</si>
  <si>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</si>
  <si>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</si>
  <si>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</si>
  <si>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</si>
  <si>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</si>
  <si>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</si>
  <si>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</si>
  <si>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</si>
  <si>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</si>
  <si>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</si>
  <si>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</si>
  <si>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</si>
  <si>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</si>
  <si>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</si>
  <si>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</si>
  <si>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</si>
  <si>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</si>
  <si>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</si>
  <si>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</si>
  <si>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</si>
  <si>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</si>
  <si>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</si>
  <si>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</si>
  <si>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</si>
  <si>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</si>
  <si>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</si>
  <si>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</si>
  <si>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</si>
  <si>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</si>
  <si>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</si>
  <si>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</si>
  <si>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</si>
  <si>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</si>
  <si>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</si>
  <si>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</si>
  <si>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</si>
  <si>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</si>
  <si>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</si>
  <si>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</si>
  <si>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</si>
  <si>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</si>
  <si>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</si>
  <si>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</si>
  <si>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</si>
  <si>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</si>
  <si>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</si>
  <si>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</si>
  <si>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</si>
  <si>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</si>
  <si>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</si>
  <si>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</si>
  <si>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</si>
  <si>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</si>
  <si>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</si>
  <si>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</si>
  <si>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</si>
  <si>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</si>
  <si>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</si>
  <si>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</si>
  <si>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</si>
  <si>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</si>
  <si>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</si>
  <si>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</si>
  <si>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</si>
  <si>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</si>
  <si>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</si>
  <si>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</si>
  <si>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</si>
  <si>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</si>
  <si>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</si>
  <si>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</si>
  <si>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</si>
  <si>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</si>
  <si>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</si>
  <si>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</si>
  <si>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</si>
  <si>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</si>
  <si>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</si>
  <si>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</si>
  <si>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</si>
  <si>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</si>
  <si>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</si>
  <si>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</si>
  <si>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</si>
  <si>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</si>
  <si>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</si>
  <si>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</si>
  <si>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</si>
  <si>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</si>
  <si>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</si>
  <si>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</si>
  <si>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</si>
  <si>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</si>
  <si>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</si>
  <si>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</si>
  <si>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</si>
  <si>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</si>
  <si>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</si>
  <si>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</si>
  <si>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</si>
  <si>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</si>
  <si>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</si>
  <si>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</si>
  <si>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</si>
  <si>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</si>
  <si>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</si>
  <si>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</si>
  <si>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</si>
  <si>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</si>
  <si>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</si>
  <si>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</si>
  <si>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</si>
  <si>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</si>
  <si>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</si>
  <si>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</si>
  <si>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</si>
  <si>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</si>
  <si>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</si>
  <si>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</si>
  <si>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</si>
  <si>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</si>
  <si>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</si>
  <si>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</si>
  <si>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</si>
  <si>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</si>
  <si>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</si>
  <si>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</si>
  <si>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</si>
  <si>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</si>
  <si>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</si>
  <si>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</si>
  <si>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</si>
  <si>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</si>
  <si>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</si>
  <si>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</si>
  <si>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</si>
  <si>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</si>
  <si>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</si>
  <si>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</si>
  <si>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</si>
  <si>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</si>
  <si>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</si>
  <si>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</si>
  <si>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</si>
  <si>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</si>
  <si>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</si>
  <si>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</si>
  <si>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</si>
  <si>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</si>
  <si>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</si>
  <si>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</si>
  <si>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</si>
  <si>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</si>
  <si>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</si>
  <si>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</si>
  <si>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</si>
  <si>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</si>
  <si>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</si>
  <si>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</si>
  <si>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</si>
  <si>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</si>
  <si>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</si>
  <si>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</si>
  <si>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</si>
  <si>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</si>
  <si>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</si>
  <si>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</si>
  <si>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</si>
  <si>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</si>
  <si>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</si>
  <si>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</si>
  <si>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</si>
  <si>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</si>
  <si>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</si>
  <si>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</si>
  <si>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</si>
  <si>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</si>
  <si>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</si>
  <si>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</si>
  <si>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</si>
  <si>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</si>
  <si>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</si>
  <si>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</si>
  <si>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</si>
  <si>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</si>
  <si>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</si>
  <si>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</si>
  <si>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</si>
  <si>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</si>
  <si>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</si>
  <si>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</si>
  <si>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</si>
  <si>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</si>
  <si>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</si>
  <si>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</si>
  <si>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</si>
  <si>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</si>
  <si>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</si>
  <si>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</si>
  <si>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</si>
  <si>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</si>
  <si>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</si>
  <si>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</si>
  <si>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</si>
  <si>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</si>
  <si>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</si>
  <si>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</si>
  <si>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</si>
  <si>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</si>
  <si>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</si>
  <si>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</si>
  <si>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</si>
  <si>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</si>
  <si>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</si>
  <si>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</si>
  <si>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</si>
  <si>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</si>
  <si>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</si>
  <si>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</si>
  <si>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</si>
  <si>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</si>
  <si>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</si>
  <si>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</si>
  <si>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</si>
  <si>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</si>
  <si>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</si>
  <si>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</si>
  <si>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</si>
  <si>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</si>
  <si>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</si>
  <si>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</si>
  <si>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</si>
  <si>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</si>
  <si>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</si>
  <si>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</si>
  <si>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</si>
  <si>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</si>
  <si>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</si>
  <si>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</si>
  <si>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</si>
  <si>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</si>
  <si>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</si>
  <si>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</si>
  <si>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</si>
  <si>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</si>
  <si>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</si>
  <si>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</si>
  <si>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</si>
  <si>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</si>
  <si>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</si>
  <si>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</si>
  <si>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</si>
  <si>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</si>
  <si>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</si>
  <si>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</si>
  <si>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</si>
  <si>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</si>
  <si>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</si>
  <si>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</si>
  <si>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</si>
  <si>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</si>
  <si>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</si>
  <si>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</si>
  <si>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</si>
  <si>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</si>
  <si>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</si>
  <si>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</si>
  <si>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</si>
  <si>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</si>
  <si>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</si>
  <si>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</si>
  <si>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</si>
  <si>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</si>
  <si>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</si>
  <si>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</si>
  <si>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</si>
  <si>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</si>
  <si>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</si>
  <si>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</si>
  <si>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</si>
  <si>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</si>
  <si>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</si>
  <si>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</si>
  <si>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</si>
  <si>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</si>
  <si>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</si>
  <si>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</si>
  <si>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</si>
  <si>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</si>
  <si>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</si>
  <si>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</si>
  <si>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</si>
  <si>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</si>
  <si>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</si>
  <si>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</si>
  <si>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</si>
  <si>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</si>
  <si>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</si>
  <si>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</si>
  <si>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</si>
  <si>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</si>
  <si>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</si>
  <si>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</si>
  <si>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</si>
  <si>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</si>
  <si>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</si>
  <si>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</si>
  <si>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</si>
  <si>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</si>
  <si>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</si>
  <si>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</si>
  <si>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</si>
  <si>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</si>
  <si>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</si>
  <si>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</si>
  <si>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</si>
  <si>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</si>
  <si>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</si>
  <si>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</si>
  <si>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</si>
  <si>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</si>
  <si>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</si>
  <si>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</si>
  <si>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</si>
  <si>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</si>
  <si>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</si>
  <si>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</si>
  <si>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</si>
  <si>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</si>
  <si>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</si>
  <si>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</si>
  <si>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</si>
  <si>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</si>
  <si>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</si>
  <si>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</si>
  <si>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</si>
  <si>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</si>
  <si>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</si>
  <si>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</si>
  <si>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</si>
  <si>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</si>
  <si>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</si>
  <si>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</si>
  <si>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</si>
  <si>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</si>
  <si>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</si>
  <si>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</si>
  <si>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</si>
  <si>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</si>
  <si>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</si>
  <si>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</si>
  <si>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</si>
  <si>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</si>
  <si>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</si>
  <si>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</si>
  <si>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</si>
  <si>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</si>
  <si>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</si>
  <si>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</si>
  <si>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</si>
  <si>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</si>
  <si>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</si>
  <si>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</si>
  <si>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</si>
  <si>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</si>
  <si>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</si>
  <si>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</si>
  <si>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</si>
  <si>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</si>
  <si>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</si>
  <si>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</si>
  <si>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</si>
  <si>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</si>
  <si>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</si>
  <si>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</si>
  <si>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</si>
  <si>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</si>
  <si>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</si>
  <si>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</si>
  <si>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</si>
  <si>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</si>
  <si>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</si>
  <si>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</si>
  <si>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</si>
  <si>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</si>
  <si>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</si>
  <si>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</si>
  <si>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</si>
  <si>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</si>
  <si>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</si>
  <si>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</si>
  <si>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</si>
  <si>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</si>
  <si>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</si>
  <si>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</si>
  <si>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</si>
  <si>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</si>
  <si>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</si>
  <si>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</si>
  <si>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</si>
  <si>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</si>
  <si>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</si>
  <si>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</si>
  <si>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</si>
  <si>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</si>
  <si>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</si>
  <si>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</si>
  <si>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</si>
  <si>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</si>
  <si>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</si>
  <si>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</si>
  <si>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</si>
  <si>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</si>
  <si>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</si>
  <si>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</si>
  <si>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</si>
  <si>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</si>
  <si>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</si>
  <si>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</si>
  <si>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</si>
  <si>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</si>
  <si>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</si>
  <si>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</si>
  <si>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</si>
  <si>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</si>
  <si>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</si>
  <si>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</si>
  <si>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</si>
  <si>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</si>
  <si>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</si>
  <si>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</si>
  <si>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</si>
  <si>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</si>
  <si>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</si>
  <si>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</si>
  <si>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</si>
  <si>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</si>
  <si>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</si>
  <si>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</si>
  <si>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</si>
  <si>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</si>
  <si>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</si>
  <si>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</si>
  <si>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</si>
  <si>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</si>
  <si>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</si>
  <si>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</si>
  <si>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</si>
  <si>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</si>
  <si>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</si>
  <si>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</si>
  <si>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</si>
  <si>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</si>
  <si>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</si>
  <si>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</si>
  <si>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</si>
  <si>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</si>
  <si>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</si>
  <si>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</si>
  <si>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</si>
  <si>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</si>
  <si>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</si>
  <si>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</si>
  <si>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</si>
  <si>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</si>
  <si>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</si>
  <si>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</si>
  <si>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</si>
  <si>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</si>
  <si>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</si>
  <si>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</si>
  <si>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</si>
  <si>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</si>
  <si>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</si>
  <si>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</si>
  <si>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</si>
  <si>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</si>
  <si>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</si>
  <si>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</si>
  <si>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</si>
  <si>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</si>
  <si>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</si>
  <si>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</si>
  <si>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</si>
  <si>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</si>
  <si>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</si>
  <si>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</si>
  <si>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</si>
  <si>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</si>
  <si>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</si>
  <si>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</si>
  <si>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</si>
  <si>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</si>
  <si>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</si>
  <si>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</si>
  <si>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</si>
  <si>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</si>
  <si>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</si>
  <si>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</si>
  <si>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</si>
  <si>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</si>
  <si>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</si>
  <si>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</si>
  <si>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</si>
  <si>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</si>
  <si>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</si>
  <si>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</si>
  <si>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</si>
  <si>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</si>
  <si>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</si>
  <si>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</si>
  <si>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</si>
  <si>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</si>
  <si>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</si>
  <si>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</si>
  <si>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</si>
  <si>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</si>
  <si>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</si>
  <si>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</si>
  <si>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</si>
  <si>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</si>
  <si>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</si>
  <si>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</si>
  <si>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</si>
  <si>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</si>
  <si>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</si>
  <si>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</si>
  <si>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</si>
  <si>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</si>
  <si>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</si>
  <si>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</si>
  <si>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</si>
  <si>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</si>
  <si>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</si>
  <si>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</si>
  <si>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</si>
  <si>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</si>
  <si>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</si>
  <si>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</si>
  <si>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</si>
  <si>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</si>
  <si>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</si>
  <si>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</si>
  <si>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</si>
  <si>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</si>
  <si>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</si>
  <si>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</si>
  <si>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</si>
  <si>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</si>
  <si>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</si>
  <si>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</si>
  <si>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</si>
  <si>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</si>
  <si>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</si>
  <si>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</si>
  <si>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</si>
  <si>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</si>
  <si>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</si>
  <si>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</si>
  <si>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</si>
  <si>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</si>
  <si>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</si>
  <si>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</si>
  <si>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</si>
  <si>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</si>
  <si>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</si>
  <si>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</si>
  <si>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</si>
  <si>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</si>
  <si>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</si>
  <si>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</si>
  <si>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</si>
  <si>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</si>
  <si>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</si>
  <si>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</si>
  <si>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</si>
  <si>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</si>
  <si>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</si>
  <si>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</si>
  <si>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</si>
  <si>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</si>
  <si>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</si>
  <si>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</si>
  <si>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</si>
  <si>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</si>
  <si>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</si>
  <si>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</si>
  <si>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</si>
  <si>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</si>
  <si>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</si>
  <si>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</si>
  <si>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</si>
  <si>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</si>
  <si>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</si>
  <si>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</si>
  <si>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</si>
  <si>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</si>
  <si>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</si>
  <si>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</si>
  <si>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</si>
  <si>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</si>
  <si>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</si>
  <si>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</si>
  <si>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</si>
  <si>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</si>
  <si>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</si>
  <si>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</si>
  <si>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</si>
  <si>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</si>
  <si>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</si>
  <si>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</si>
  <si>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</si>
  <si>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</si>
  <si>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</si>
  <si>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</si>
  <si>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</si>
  <si>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</si>
  <si>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</si>
  <si>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</si>
  <si>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</si>
  <si>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</si>
  <si>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</si>
  <si>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</si>
  <si>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</si>
  <si>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</si>
  <si>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</si>
  <si>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</si>
  <si>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</si>
  <si>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</si>
  <si>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</si>
  <si>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</si>
  <si>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</si>
  <si>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</si>
  <si>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</si>
  <si>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</si>
  <si>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</si>
  <si>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</si>
  <si>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</si>
  <si>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</si>
  <si>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</si>
  <si>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</si>
  <si>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</si>
  <si>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</si>
  <si>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</si>
  <si>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</si>
  <si>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</si>
  <si>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</si>
  <si>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</si>
  <si>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</si>
  <si>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</si>
  <si>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</si>
  <si>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</si>
  <si>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</si>
  <si>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</si>
  <si>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</si>
  <si>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</si>
  <si>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</si>
  <si>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</si>
  <si>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</si>
  <si>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</si>
  <si>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</si>
  <si>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</si>
  <si>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</si>
  <si>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</si>
  <si>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</si>
  <si>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</si>
  <si>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</si>
  <si>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</si>
  <si>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</si>
  <si>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</si>
  <si>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</si>
  <si>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</si>
  <si>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</si>
  <si>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</si>
  <si>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</si>
  <si>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</si>
  <si>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</si>
  <si>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</si>
  <si>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</si>
  <si>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</si>
  <si>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</si>
  <si>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</si>
  <si>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</si>
  <si>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</si>
  <si>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</si>
  <si>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</si>
  <si>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</si>
  <si>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</si>
  <si>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</si>
  <si>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</si>
  <si>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</si>
  <si>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</si>
  <si>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</si>
  <si>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</si>
  <si>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</si>
  <si>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</si>
  <si>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</si>
  <si>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</si>
  <si>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</si>
  <si>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</si>
  <si>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</si>
  <si>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</si>
  <si>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</si>
  <si>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</si>
  <si>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</si>
  <si>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</si>
  <si>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</si>
  <si>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</si>
  <si>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</si>
  <si>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</si>
  <si>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</si>
  <si>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</si>
  <si>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</si>
  <si>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</si>
  <si>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</si>
  <si>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</si>
  <si>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</si>
  <si>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</si>
  <si>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</si>
  <si>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</si>
  <si>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</si>
  <si>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</si>
  <si>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</si>
  <si>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</si>
  <si>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</si>
  <si>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</si>
  <si>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</si>
  <si>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</si>
  <si>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</si>
  <si>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</si>
  <si>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</si>
  <si>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</si>
  <si>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</si>
  <si>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</si>
  <si>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</si>
  <si>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</si>
  <si>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</si>
  <si>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</si>
  <si>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</si>
  <si>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</si>
  <si>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</si>
  <si>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</si>
  <si>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</si>
  <si>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</si>
  <si>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</si>
  <si>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</si>
  <si>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</si>
  <si>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</si>
  <si>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</si>
  <si>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</si>
  <si>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</si>
  <si>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</si>
  <si>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</si>
  <si>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</si>
  <si>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</si>
  <si>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</si>
  <si>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</si>
  <si>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</si>
  <si>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</si>
  <si>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</si>
  <si>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</si>
  <si>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</si>
  <si>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</si>
  <si>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</si>
  <si>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</si>
  <si>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</si>
  <si>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</si>
  <si>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</si>
  <si>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</si>
  <si>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</si>
  <si>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</si>
  <si>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</si>
  <si>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</si>
  <si>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</si>
  <si>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</si>
  <si>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</si>
  <si>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</si>
  <si>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</si>
  <si>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</si>
  <si>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</si>
  <si>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</si>
  <si>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</si>
  <si>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</si>
  <si>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</si>
  <si>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</si>
  <si>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</si>
  <si>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</si>
  <si>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</si>
  <si>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</si>
  <si>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</si>
  <si>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</si>
  <si>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</si>
  <si>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</si>
  <si>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</si>
  <si>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</si>
  <si>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</si>
  <si>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</si>
  <si>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</si>
  <si>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</si>
  <si>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</si>
  <si>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</si>
  <si>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</si>
  <si>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</si>
  <si>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</si>
  <si>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</si>
  <si>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</si>
  <si>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</si>
  <si>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</si>
  <si>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</si>
  <si>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</si>
  <si>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</si>
  <si>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</si>
  <si>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</si>
  <si>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</si>
  <si>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</si>
  <si>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</si>
  <si>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</si>
  <si>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</si>
  <si>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</si>
  <si>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</si>
  <si>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</si>
  <si>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</si>
  <si>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</si>
  <si>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</si>
  <si>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</si>
  <si>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</si>
  <si>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</si>
  <si>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</si>
  <si>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</si>
  <si>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</si>
  <si>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</si>
  <si>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</si>
  <si>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</si>
  <si>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</si>
  <si>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</si>
  <si>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</si>
  <si>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</si>
  <si>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</si>
  <si>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</si>
  <si>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</si>
  <si>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</si>
  <si>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</si>
  <si>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</si>
  <si>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</si>
  <si>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</si>
  <si>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</si>
  <si>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</si>
  <si>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</si>
  <si>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</si>
  <si>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</si>
  <si>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</si>
  <si>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</si>
  <si>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</si>
  <si>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</si>
  <si>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</si>
  <si>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</si>
  <si>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</si>
  <si>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</si>
  <si>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</si>
  <si>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</si>
  <si>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</si>
  <si>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</si>
  <si>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</si>
  <si>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</si>
  <si>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</si>
  <si>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</si>
  <si>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</si>
  <si>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</si>
  <si>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</si>
  <si>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</si>
  <si>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</si>
  <si>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</si>
  <si>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</si>
  <si>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</si>
  <si>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</si>
  <si>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</si>
  <si>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</si>
  <si>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</si>
  <si>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</si>
  <si>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</si>
  <si>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</si>
  <si>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</si>
  <si>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</si>
  <si>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</si>
  <si>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</si>
  <si>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</si>
  <si>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</si>
  <si>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</si>
  <si>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</si>
  <si>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</si>
  <si>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</si>
  <si>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</si>
  <si>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</si>
  <si>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</si>
  <si>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</si>
  <si>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</si>
  <si>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</si>
  <si>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</si>
  <si>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</si>
  <si>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</si>
  <si>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</si>
  <si>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</si>
  <si>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</si>
  <si>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</si>
  <si>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</si>
  <si>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</si>
  <si>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</si>
  <si>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</si>
  <si>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</si>
  <si>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</si>
  <si>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</si>
  <si>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</si>
  <si>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</si>
  <si>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</si>
  <si>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</si>
  <si>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</si>
  <si>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</si>
  <si>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</si>
  <si>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</si>
  <si>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</si>
  <si>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</si>
  <si>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</si>
  <si>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</si>
  <si>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</si>
  <si>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</si>
  <si>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</si>
  <si>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</si>
  <si>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</si>
  <si>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</si>
  <si>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</si>
  <si>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</si>
  <si>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</si>
  <si>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</si>
  <si>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</si>
  <si>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</si>
  <si>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</si>
  <si>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</si>
  <si>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</si>
  <si>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</si>
  <si>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</si>
  <si>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</si>
  <si>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</si>
  <si>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</si>
  <si>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</si>
  <si>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</si>
  <si>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</si>
  <si>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</si>
  <si>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</si>
  <si>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</si>
  <si>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</si>
  <si>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</si>
  <si>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</si>
  <si>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</si>
  <si>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</si>
  <si>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</si>
  <si>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</si>
  <si>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</si>
  <si>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</si>
  <si>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</si>
  <si>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</si>
  <si>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</si>
  <si>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</si>
  <si>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</si>
  <si>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</si>
  <si>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</si>
  <si>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</si>
  <si>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</si>
  <si>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</si>
  <si>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</si>
  <si>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</si>
  <si>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</si>
  <si>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</si>
  <si>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</si>
  <si>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</si>
  <si>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</si>
  <si>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</si>
  <si>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</si>
  <si>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</si>
  <si>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</si>
  <si>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</si>
  <si>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</si>
  <si>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</si>
  <si>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</si>
  <si>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</si>
  <si>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</si>
  <si>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</si>
  <si>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</si>
  <si>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</si>
  <si>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</si>
  <si>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</si>
  <si>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</si>
  <si>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</si>
  <si>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</si>
  <si>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</si>
  <si>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</si>
  <si>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</si>
  <si>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</si>
  <si>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</si>
  <si>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</si>
  <si>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</si>
  <si>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</si>
  <si>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</si>
  <si>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</si>
  <si>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</si>
  <si>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</si>
  <si>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</si>
  <si>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</si>
  <si>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</si>
  <si>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</si>
  <si>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</si>
  <si>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</si>
  <si>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</si>
  <si>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</si>
  <si>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</si>
  <si>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</si>
  <si>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</si>
  <si>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</si>
  <si>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</si>
  <si>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</si>
  <si>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</si>
  <si>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</si>
  <si>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</si>
  <si>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</si>
  <si>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</si>
  <si>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</si>
  <si>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</si>
  <si>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</si>
  <si>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</si>
  <si>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</si>
  <si>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</si>
  <si>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</si>
  <si>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</si>
  <si>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</si>
  <si>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</si>
  <si>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</si>
  <si>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</si>
  <si>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</si>
  <si>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</si>
  <si>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</si>
  <si>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</si>
  <si>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</si>
  <si>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</si>
  <si>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</si>
  <si>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</si>
  <si>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</si>
  <si>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</si>
  <si>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</si>
  <si>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</si>
  <si>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</si>
  <si>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</si>
  <si>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</si>
  <si>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</si>
  <si>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</si>
  <si>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</si>
  <si>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</si>
  <si>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</si>
  <si>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</si>
  <si>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</si>
  <si>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</si>
  <si>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</si>
  <si>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</si>
  <si>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</si>
  <si>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</si>
  <si>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</si>
  <si>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</si>
  <si>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</si>
  <si>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</si>
  <si>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</si>
  <si>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</si>
  <si>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</si>
  <si>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</si>
  <si>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</si>
  <si>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</si>
  <si>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</si>
  <si>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</si>
  <si>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</si>
  <si>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</si>
  <si>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</si>
  <si>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</si>
  <si>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</si>
  <si>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</si>
  <si>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</si>
  <si>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</si>
  <si>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</si>
  <si>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</si>
  <si>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</si>
  <si>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</si>
  <si>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</si>
  <si>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</si>
  <si>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</si>
  <si>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</si>
  <si>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</si>
  <si>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</si>
  <si>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</si>
  <si>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</si>
  <si>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</si>
  <si>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</si>
  <si>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</si>
  <si>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</si>
  <si>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</si>
  <si>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</si>
  <si>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</si>
  <si>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</si>
  <si>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</si>
  <si>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</si>
  <si>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</si>
  <si>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</si>
  <si>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</si>
  <si>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</si>
  <si>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</si>
  <si>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</si>
  <si>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</si>
  <si>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</si>
  <si>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</si>
  <si>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</si>
  <si>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</si>
  <si>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</si>
  <si>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</si>
  <si>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</si>
  <si>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</si>
  <si>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</si>
  <si>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</si>
  <si>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</si>
  <si>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</si>
  <si>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</si>
  <si>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</si>
  <si>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</si>
  <si>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</si>
  <si>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</si>
  <si>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</si>
  <si>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</si>
  <si>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</si>
  <si>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</si>
  <si>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</si>
  <si>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</si>
  <si>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</si>
  <si>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</si>
  <si>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</si>
  <si>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</si>
  <si>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</si>
  <si>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</si>
  <si>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</si>
  <si>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</si>
  <si>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</si>
  <si>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</si>
  <si>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</si>
  <si>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</si>
  <si>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</si>
  <si>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</si>
  <si>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</si>
  <si>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</si>
  <si>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</si>
  <si>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</si>
  <si>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</si>
  <si>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</si>
  <si>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</si>
  <si>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</si>
  <si>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</si>
  <si>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</si>
  <si>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</si>
  <si>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</si>
  <si>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</si>
  <si>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</si>
  <si>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</si>
  <si>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</si>
  <si>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</si>
  <si>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</si>
  <si>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</si>
  <si>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</si>
  <si>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</si>
  <si>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</si>
  <si>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</si>
  <si>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</si>
  <si>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</si>
  <si>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</si>
  <si>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</si>
  <si>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</si>
  <si>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</si>
  <si>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</si>
  <si>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</si>
  <si>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</si>
  <si>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</si>
  <si>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</si>
  <si>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</si>
  <si>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</si>
  <si>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</si>
  <si>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</si>
  <si>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</si>
  <si>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</si>
  <si>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</si>
  <si>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</si>
  <si>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</si>
  <si>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</si>
  <si>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</si>
  <si>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</si>
  <si>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</si>
  <si>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</si>
  <si>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</si>
  <si>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</si>
  <si>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</si>
  <si>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</si>
  <si>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</si>
  <si>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</si>
  <si>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</si>
  <si>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</si>
  <si>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</si>
  <si>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</si>
  <si>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</si>
  <si>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</si>
  <si>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</si>
  <si>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</si>
  <si>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</si>
  <si>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</si>
  <si>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</si>
  <si>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</si>
  <si>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</si>
  <si>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</si>
  <si>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</si>
  <si>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</si>
  <si>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</si>
  <si>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</si>
  <si>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</si>
  <si>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</si>
  <si>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</si>
  <si>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</si>
  <si>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</si>
  <si>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</si>
  <si>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</si>
  <si>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</si>
  <si>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</si>
  <si>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</si>
  <si>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</si>
  <si>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</si>
  <si>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</si>
  <si>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</si>
  <si>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</si>
  <si>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</si>
  <si>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</si>
  <si>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</si>
  <si>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</si>
  <si>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</si>
  <si>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</si>
  <si>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</si>
  <si>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</si>
  <si>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</si>
  <si>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</si>
  <si>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</si>
  <si>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</si>
  <si>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</si>
  <si>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</si>
  <si>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</si>
  <si>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</si>
  <si>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</si>
  <si>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</si>
  <si>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</si>
  <si>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</si>
  <si>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</si>
  <si>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</si>
  <si>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</si>
  <si>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</si>
  <si>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</si>
  <si>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</si>
  <si>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</si>
  <si>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</si>
  <si>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</si>
  <si>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</si>
  <si>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</si>
  <si>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</si>
  <si>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</si>
  <si>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</si>
  <si>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</si>
  <si>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</si>
  <si>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</si>
  <si>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</si>
  <si>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</si>
  <si>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</si>
  <si>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</si>
  <si>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</si>
  <si>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</si>
  <si>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</si>
  <si>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</si>
  <si>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</si>
  <si>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</si>
  <si>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</si>
  <si>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</si>
  <si>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</si>
  <si>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</si>
  <si>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</si>
  <si>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</si>
  <si>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</si>
  <si>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</si>
  <si>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</si>
  <si>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</si>
  <si>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</si>
  <si>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</si>
  <si>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</si>
  <si>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</si>
  <si>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</si>
  <si>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</si>
  <si>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</si>
  <si>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</si>
  <si>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</si>
  <si>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</si>
  <si>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</si>
  <si>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</si>
  <si>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</si>
  <si>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</si>
  <si>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</si>
  <si>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</si>
  <si>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</si>
  <si>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</si>
  <si>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</si>
  <si>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</si>
  <si>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</si>
  <si>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</si>
  <si>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</si>
  <si>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</si>
  <si>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</si>
  <si>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</si>
  <si>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</si>
  <si>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</si>
  <si>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</si>
  <si>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</si>
  <si>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</si>
  <si>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</si>
  <si>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</si>
  <si>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</si>
  <si>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</si>
  <si>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</si>
  <si>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</si>
  <si>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</si>
  <si>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</si>
  <si>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</si>
  <si>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</si>
  <si>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</si>
  <si>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</si>
  <si>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</si>
  <si>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</si>
  <si>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</si>
  <si>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</si>
  <si>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</si>
  <si>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</si>
  <si>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</si>
  <si>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</si>
  <si>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</si>
  <si>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</si>
  <si>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</si>
  <si>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</si>
  <si>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</si>
  <si>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</si>
  <si>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</si>
  <si>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</si>
  <si>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</si>
  <si>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</si>
  <si>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</si>
  <si>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</si>
  <si>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</si>
  <si>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</si>
  <si>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</si>
  <si>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</si>
  <si>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</si>
  <si>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</si>
  <si>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</si>
  <si>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</si>
  <si>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</si>
  <si>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</si>
  <si>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</si>
  <si>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</si>
  <si>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</si>
  <si>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</si>
  <si>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</si>
  <si>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</si>
  <si>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</si>
  <si>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</si>
  <si>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</si>
  <si>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</si>
  <si>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</si>
  <si>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</si>
  <si>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</si>
  <si>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</si>
  <si>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</si>
  <si>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</si>
  <si>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</si>
  <si>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</si>
  <si>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</si>
  <si>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</si>
  <si>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</si>
  <si>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</si>
  <si>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</si>
  <si>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</si>
  <si>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</si>
  <si>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</si>
  <si>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</si>
  <si>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</si>
  <si>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</si>
  <si>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</si>
  <si>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</si>
  <si>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</si>
  <si>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</si>
  <si>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</si>
  <si>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</si>
  <si>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</si>
  <si>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</si>
  <si>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</si>
  <si>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</si>
  <si>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</si>
  <si>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</si>
  <si>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</si>
  <si>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</si>
  <si>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</si>
  <si>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</si>
  <si>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</si>
  <si>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</si>
  <si>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</si>
  <si>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</si>
  <si>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</si>
  <si>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</si>
  <si>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</si>
  <si>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</si>
  <si>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</si>
  <si>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</si>
  <si>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</si>
  <si>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</si>
  <si>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</si>
  <si>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</si>
  <si>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</si>
  <si>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</si>
  <si>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</si>
  <si>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</si>
  <si>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</si>
  <si>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</si>
  <si>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</si>
  <si>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</si>
  <si>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</si>
  <si>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</si>
  <si>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</si>
  <si>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</si>
  <si>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</si>
  <si>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</si>
  <si>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</si>
  <si>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</si>
  <si>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</si>
  <si>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</si>
  <si>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</si>
  <si>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</si>
  <si>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</si>
  <si>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</si>
  <si>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</si>
  <si>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</si>
  <si>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</si>
  <si>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</si>
  <si>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</si>
  <si>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</si>
  <si>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</si>
  <si>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</si>
  <si>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</si>
  <si>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</si>
  <si>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</si>
  <si>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</si>
  <si>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</si>
  <si>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</si>
  <si>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</si>
  <si>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</si>
  <si>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</si>
  <si>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</si>
  <si>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</si>
  <si>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</si>
  <si>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</si>
  <si>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</si>
  <si>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</si>
  <si>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</si>
  <si>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</si>
  <si>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</si>
  <si>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</si>
  <si>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</si>
  <si>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</si>
  <si>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</si>
  <si>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</si>
  <si>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</si>
  <si>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</si>
  <si>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</si>
  <si>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</si>
  <si>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</si>
  <si>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</si>
  <si>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</si>
  <si>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</si>
  <si>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</si>
  <si>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</si>
  <si>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</si>
  <si>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</si>
  <si>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</si>
  <si>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</si>
  <si>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</si>
  <si>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</si>
  <si>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</si>
  <si>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</si>
  <si>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</si>
  <si>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</si>
  <si>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</si>
  <si>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</si>
  <si>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</si>
  <si>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</si>
  <si>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</si>
  <si>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</si>
  <si>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</si>
  <si>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</si>
  <si>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</si>
  <si>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</si>
  <si>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</si>
  <si>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</si>
  <si>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</si>
  <si>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</si>
  <si>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</si>
  <si>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</si>
  <si>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</si>
  <si>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</si>
  <si>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</si>
  <si>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</si>
  <si>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</si>
  <si>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</si>
  <si>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</si>
  <si>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</si>
  <si>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</si>
  <si>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</si>
  <si>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</si>
  <si>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</si>
  <si>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</si>
  <si>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</si>
  <si>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</si>
  <si>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</si>
  <si>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</si>
  <si>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</si>
  <si>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</si>
  <si>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</si>
  <si>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</si>
  <si>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</si>
  <si>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</si>
  <si>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</si>
  <si>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</si>
  <si>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</si>
  <si>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</si>
  <si>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</si>
  <si>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</si>
  <si>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</si>
  <si>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</si>
  <si>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</si>
  <si>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</si>
  <si>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</si>
  <si>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</si>
  <si>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</si>
  <si>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</si>
  <si>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</si>
  <si>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</si>
  <si>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</si>
  <si>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</si>
  <si>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</si>
  <si>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</si>
  <si>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</si>
  <si>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</si>
  <si>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</si>
  <si>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</si>
  <si>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</si>
  <si>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</si>
  <si>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</si>
  <si>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</si>
  <si>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</si>
  <si>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</si>
  <si>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</si>
  <si>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</si>
  <si>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</si>
  <si>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</si>
  <si>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</si>
  <si>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</si>
  <si>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</si>
  <si>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</si>
  <si>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</si>
  <si>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</si>
  <si>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</si>
  <si>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</si>
  <si>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</si>
  <si>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</si>
  <si>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</si>
  <si>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</si>
  <si>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</si>
  <si>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</si>
  <si>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</si>
  <si>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</si>
  <si>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</si>
  <si>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</si>
  <si>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</si>
  <si>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</si>
  <si>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</si>
  <si>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</si>
  <si>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</si>
  <si>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</si>
  <si>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</si>
  <si>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</si>
  <si>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</si>
  <si>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</si>
  <si>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</si>
  <si>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</si>
  <si>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</si>
  <si>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</si>
  <si>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</si>
  <si>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</si>
  <si>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</si>
  <si>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</si>
  <si>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</si>
  <si>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</si>
  <si>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</si>
  <si>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</si>
  <si>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</si>
  <si>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</si>
  <si>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</si>
  <si>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</si>
  <si>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</si>
  <si>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</si>
  <si>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</si>
  <si>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</si>
  <si>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</si>
  <si>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</si>
  <si>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</si>
  <si>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</si>
  <si>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</si>
  <si>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</si>
  <si>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</si>
  <si>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</si>
  <si>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</si>
  <si>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</si>
  <si>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</si>
  <si>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</si>
  <si>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</si>
  <si>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</si>
  <si>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</si>
  <si>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</si>
  <si>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</si>
  <si>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</si>
  <si>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</si>
  <si>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</si>
  <si>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</si>
  <si>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</si>
  <si>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</si>
  <si>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</si>
  <si>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</si>
  <si>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</si>
  <si>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</si>
  <si>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</si>
  <si>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</si>
  <si>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</si>
  <si>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</si>
  <si>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</si>
  <si>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</si>
  <si>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</si>
  <si>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</si>
  <si>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</si>
  <si>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</si>
  <si>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</si>
  <si>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</si>
  <si>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</si>
  <si>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</si>
  <si>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</si>
  <si>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</si>
  <si>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</si>
  <si>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</si>
  <si>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</si>
  <si>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</si>
  <si>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</si>
  <si>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</si>
  <si>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</si>
  <si>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</si>
  <si>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</si>
  <si>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</si>
  <si>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</si>
  <si>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</si>
  <si>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</si>
  <si>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</si>
  <si>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</si>
  <si>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</si>
  <si>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</si>
  <si>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</si>
  <si>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</si>
  <si>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</si>
  <si>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</si>
  <si>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</si>
  <si>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</si>
  <si>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</si>
  <si>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</si>
  <si>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</si>
  <si>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</si>
  <si>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</si>
  <si>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</si>
  <si>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</si>
  <si>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</si>
  <si>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</si>
  <si>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</si>
  <si>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</si>
  <si>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</si>
  <si>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</si>
  <si>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</si>
  <si>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</si>
  <si>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</si>
  <si>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</si>
  <si>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</si>
  <si>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</si>
  <si>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</si>
  <si>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</si>
  <si>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</si>
  <si>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</si>
  <si>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</si>
  <si>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</si>
  <si>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</si>
  <si>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</si>
  <si>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</si>
  <si>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</si>
  <si>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</si>
  <si>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</si>
  <si>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</si>
  <si>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</si>
  <si>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</si>
  <si>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</si>
  <si>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</si>
  <si>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</si>
  <si>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</si>
  <si>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</si>
  <si>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</si>
  <si>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</si>
  <si>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</si>
  <si>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</si>
  <si>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</si>
  <si>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</si>
  <si>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</si>
  <si>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</si>
  <si>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</si>
  <si>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</si>
  <si>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</si>
  <si>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</si>
  <si>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</si>
  <si>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</si>
  <si>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</si>
  <si>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</si>
  <si>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</si>
  <si>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</si>
  <si>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</si>
  <si>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</si>
  <si>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</si>
  <si>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</si>
  <si>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</si>
  <si>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</si>
  <si>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</si>
  <si>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</si>
  <si>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</si>
  <si>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</si>
  <si>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</si>
  <si>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</si>
  <si>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</si>
  <si>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</si>
  <si>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</si>
  <si>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</si>
  <si>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</si>
  <si>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</si>
  <si>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</si>
  <si>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</si>
  <si>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</si>
  <si>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</si>
  <si>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</si>
  <si>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</si>
  <si>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</si>
  <si>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</si>
  <si>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</si>
  <si>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</si>
  <si>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</si>
  <si>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</si>
  <si>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</si>
  <si>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</si>
  <si>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</si>
  <si>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</si>
  <si>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</si>
  <si>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</si>
  <si>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</si>
  <si>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</si>
  <si>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</si>
  <si>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</si>
  <si>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</si>
  <si>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</si>
  <si>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</si>
  <si>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</si>
  <si>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</si>
  <si>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</si>
  <si>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</si>
  <si>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</si>
  <si>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</si>
  <si>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</si>
  <si>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</si>
  <si>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</si>
  <si>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</si>
  <si>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</si>
  <si>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</si>
  <si>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</si>
  <si>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</si>
  <si>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</si>
  <si>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</si>
  <si>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</si>
  <si>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</si>
  <si>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</si>
  <si>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</si>
  <si>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</si>
  <si>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</si>
  <si>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</si>
  <si>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</si>
  <si>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</si>
  <si>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</si>
  <si>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</si>
  <si>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</si>
  <si>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</si>
  <si>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</si>
  <si>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</si>
  <si>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</si>
  <si>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</si>
  <si>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</si>
  <si>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</si>
  <si>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</si>
  <si>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</si>
  <si>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</si>
  <si>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</si>
  <si>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</si>
  <si>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</si>
  <si>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</si>
  <si>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</si>
  <si>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</si>
  <si>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</si>
  <si>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</si>
  <si>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</si>
  <si>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</si>
  <si>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</si>
  <si>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</si>
  <si>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</si>
  <si>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</si>
  <si>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</si>
  <si>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</si>
  <si>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</si>
  <si>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</si>
  <si>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</si>
  <si>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</si>
  <si>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</si>
  <si>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</si>
  <si>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</si>
  <si>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</si>
  <si>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</si>
  <si>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</si>
  <si>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</si>
  <si>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</si>
  <si>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</si>
  <si>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</si>
  <si>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</si>
  <si>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</si>
  <si>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</si>
  <si>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</si>
  <si>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</si>
  <si>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</si>
  <si>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</si>
  <si>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</si>
  <si>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</si>
  <si>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</si>
  <si>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</si>
  <si>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</si>
  <si>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</si>
  <si>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</si>
  <si>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</si>
  <si>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</si>
  <si>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</si>
  <si>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</si>
  <si>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</si>
  <si>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</si>
  <si>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</si>
  <si>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</si>
  <si>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</si>
  <si>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</si>
  <si>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</si>
  <si>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</si>
  <si>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</si>
  <si>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</si>
  <si>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</si>
  <si>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</si>
  <si>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</si>
  <si>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</si>
  <si>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</si>
  <si>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</si>
  <si>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</si>
  <si>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</si>
  <si>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</si>
  <si>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</si>
  <si>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</si>
  <si>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</si>
  <si>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</si>
  <si>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</si>
  <si>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</si>
  <si>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</si>
  <si>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</si>
  <si>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</si>
  <si>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</si>
  <si>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</si>
  <si>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</si>
  <si>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</si>
  <si>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</si>
  <si>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</si>
  <si>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</si>
  <si>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</si>
  <si>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</si>
  <si>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</si>
  <si>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</si>
  <si>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</si>
  <si>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</si>
  <si>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</si>
  <si>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</si>
  <si>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</si>
  <si>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</si>
  <si>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</si>
  <si>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</si>
  <si>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</si>
  <si>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</si>
  <si>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</si>
  <si>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</si>
  <si>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</si>
  <si>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</si>
  <si>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</si>
  <si>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</si>
  <si>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</si>
  <si>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</si>
  <si>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</si>
  <si>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</si>
  <si>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</si>
  <si>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</si>
  <si>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</si>
  <si>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</si>
  <si>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</si>
  <si>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</si>
  <si>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</si>
  <si>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</si>
  <si>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</si>
  <si>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</si>
  <si>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</si>
  <si>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</si>
  <si>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</si>
  <si>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</si>
  <si>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</si>
  <si>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</si>
  <si>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</si>
  <si>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</si>
  <si>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</si>
  <si>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</si>
  <si>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</si>
  <si>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</si>
  <si>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</si>
  <si>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</si>
  <si>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</si>
  <si>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</si>
  <si>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</si>
  <si>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</si>
  <si>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</si>
  <si>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</si>
  <si>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</si>
  <si>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</si>
  <si>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</si>
  <si>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</si>
  <si>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</si>
  <si>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</si>
  <si>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</si>
  <si>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</si>
  <si>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</si>
  <si>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</si>
  <si>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</si>
  <si>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</si>
  <si>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</si>
  <si>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</si>
  <si>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</si>
  <si>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</si>
  <si>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</si>
  <si>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</si>
  <si>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</si>
  <si>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</si>
  <si>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</si>
  <si>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</si>
  <si>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</si>
  <si>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</si>
  <si>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</si>
  <si>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</si>
  <si>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</si>
  <si>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</si>
  <si>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</si>
  <si>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</si>
  <si>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</si>
  <si>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</si>
  <si>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</si>
  <si>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</si>
  <si>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</si>
  <si>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</si>
  <si>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</si>
  <si>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</si>
  <si>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</si>
  <si>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</si>
  <si>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</si>
  <si>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</si>
  <si>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</si>
  <si>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</si>
  <si>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</si>
  <si>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</si>
  <si>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</si>
  <si>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</si>
  <si>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</si>
  <si>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</si>
  <si>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</si>
  <si>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</si>
  <si>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</si>
  <si>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</si>
  <si>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</si>
  <si>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</si>
  <si>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</si>
  <si>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</si>
  <si>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</si>
  <si>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</si>
  <si>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</si>
  <si>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</si>
  <si>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</si>
  <si>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</si>
  <si>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</si>
  <si>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</si>
  <si>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</si>
  <si>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</si>
  <si>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</si>
  <si>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</si>
  <si>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</si>
  <si>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</si>
  <si>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</si>
  <si>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</si>
  <si>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</si>
  <si>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</si>
  <si>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</si>
  <si>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</si>
  <si>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</si>
  <si>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</si>
  <si>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</si>
  <si>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</si>
  <si>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</si>
  <si>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</si>
  <si>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</si>
  <si>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</si>
  <si>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</si>
  <si>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</si>
  <si>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</si>
  <si>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</si>
  <si>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</si>
  <si>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</si>
  <si>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</si>
  <si>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</si>
  <si>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</si>
  <si>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</si>
  <si>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</si>
  <si>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</si>
  <si>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</si>
  <si>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</si>
  <si>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</si>
  <si>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</si>
  <si>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</si>
  <si>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</si>
  <si>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</si>
  <si>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</si>
  <si>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</si>
  <si>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</si>
  <si>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</si>
  <si>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</si>
  <si>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</si>
  <si>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</si>
  <si>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</si>
  <si>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</si>
  <si>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</si>
  <si>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</si>
  <si>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</si>
  <si>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</si>
  <si>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</si>
  <si>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</si>
  <si>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</si>
  <si>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</si>
  <si>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</si>
  <si>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</si>
  <si>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</si>
  <si>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</si>
  <si>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</si>
  <si>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</si>
  <si>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</si>
  <si>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</si>
  <si>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</si>
  <si>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</si>
  <si>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</si>
  <si>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</si>
  <si>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</si>
  <si>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</si>
  <si>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</si>
  <si>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</si>
  <si>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</si>
  <si>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</si>
  <si>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</si>
  <si>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</si>
  <si>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</si>
  <si>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</si>
  <si>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</si>
  <si>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</si>
  <si>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</si>
  <si>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</si>
  <si>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</si>
  <si>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</si>
  <si>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</si>
  <si>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</si>
  <si>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</si>
  <si>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</si>
  <si>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</si>
  <si>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</si>
  <si>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</si>
  <si>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</si>
  <si>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</si>
  <si>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</si>
  <si>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</si>
  <si>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</si>
  <si>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</si>
  <si>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</si>
  <si>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</si>
  <si>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</si>
  <si>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</si>
  <si>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</si>
  <si>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</si>
  <si>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</si>
  <si>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</si>
  <si>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</si>
  <si>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</si>
  <si>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</si>
  <si>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</si>
  <si>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</si>
  <si>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</si>
  <si>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</si>
  <si>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</si>
  <si>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</si>
  <si>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</si>
  <si>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</si>
  <si>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</si>
  <si>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</si>
  <si>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</si>
  <si>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</si>
  <si>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</si>
  <si>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</si>
  <si>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</si>
  <si>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</si>
  <si>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</si>
  <si>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</si>
  <si>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</si>
  <si>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</si>
  <si>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</si>
  <si>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</si>
  <si>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</si>
  <si>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</si>
  <si>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</si>
  <si>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</si>
  <si>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</si>
  <si>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</si>
  <si>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</si>
  <si>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</si>
  <si>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</si>
  <si>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</si>
  <si>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</si>
  <si>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</si>
  <si>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</si>
  <si>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</si>
  <si>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</si>
  <si>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</si>
  <si>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</si>
  <si>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</si>
  <si>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</si>
  <si>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</si>
  <si>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</si>
  <si>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</si>
  <si>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</si>
  <si>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</si>
  <si>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</si>
  <si>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</si>
  <si>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</si>
  <si>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</si>
  <si>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</si>
  <si>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</si>
  <si>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</si>
  <si>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</si>
  <si>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</si>
  <si>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</si>
  <si>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</si>
  <si>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</si>
  <si>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</si>
  <si>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</si>
  <si>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</si>
  <si>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</si>
  <si>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</si>
  <si>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</si>
  <si>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</si>
  <si>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</si>
  <si>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</si>
  <si>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</si>
  <si>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</si>
  <si>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</si>
  <si>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</si>
  <si>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</si>
  <si>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</si>
  <si>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</si>
  <si>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</si>
  <si>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</si>
  <si>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</si>
  <si>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</si>
  <si>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</si>
  <si>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</si>
  <si>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</si>
  <si>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</si>
  <si>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</si>
  <si>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</si>
  <si>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</si>
  <si>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</si>
  <si>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</si>
  <si>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</si>
  <si>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</si>
  <si>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</si>
  <si>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</si>
  <si>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</si>
  <si>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</si>
  <si>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</si>
  <si>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</si>
  <si>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</si>
  <si>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</si>
  <si>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</si>
  <si>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</si>
  <si>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</si>
  <si>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</si>
  <si>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</si>
  <si>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</si>
  <si>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</si>
  <si>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</si>
  <si>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</si>
  <si>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</si>
  <si>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</si>
  <si>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</si>
  <si>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</si>
  <si>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</si>
  <si>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</si>
  <si>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</si>
  <si>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</si>
  <si>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</si>
  <si>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</si>
  <si>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</si>
  <si>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</si>
  <si>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</si>
  <si>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</si>
  <si>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</si>
  <si>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</si>
  <si>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</si>
  <si>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</si>
  <si>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</si>
  <si>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</si>
  <si>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</si>
  <si>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</si>
  <si>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</si>
  <si>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</si>
  <si>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</si>
  <si>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</si>
  <si>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</si>
  <si>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</si>
  <si>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</si>
  <si>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</si>
  <si>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</si>
  <si>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</si>
  <si>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</si>
  <si>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</si>
  <si>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</si>
  <si>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</si>
  <si>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</si>
  <si>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</si>
  <si>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</si>
  <si>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</si>
  <si>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</si>
  <si>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</si>
  <si>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</si>
  <si>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</si>
  <si>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</si>
  <si>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</si>
  <si>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</si>
  <si>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</si>
  <si>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</si>
  <si>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</si>
  <si>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</si>
  <si>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</si>
  <si>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</si>
  <si>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</si>
  <si>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</si>
  <si>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</si>
  <si>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</si>
  <si>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</si>
  <si>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</si>
  <si>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</si>
  <si>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</si>
  <si>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</si>
  <si>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</si>
  <si>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</si>
  <si>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</si>
  <si>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</si>
  <si>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</si>
  <si>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</si>
  <si>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</si>
  <si>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</si>
  <si>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</si>
  <si>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</si>
  <si>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</si>
  <si>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</si>
  <si>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</si>
  <si>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</si>
  <si>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</si>
  <si>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</si>
  <si>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</si>
  <si>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</si>
  <si>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</si>
  <si>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</si>
  <si>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</si>
  <si>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</si>
  <si>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</si>
  <si>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</si>
  <si>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</si>
  <si>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</si>
  <si>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</si>
  <si>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</si>
  <si>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</si>
  <si>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</si>
  <si>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</si>
  <si>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</si>
  <si>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</si>
  <si>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</si>
  <si>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</si>
  <si>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</si>
  <si>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</si>
  <si>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</si>
  <si>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</si>
  <si>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</si>
  <si>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</si>
  <si>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</si>
  <si>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</si>
  <si>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</si>
  <si>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</si>
  <si>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</si>
  <si>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</si>
  <si>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</si>
  <si>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</si>
  <si>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</si>
  <si>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</si>
  <si>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</si>
  <si>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</si>
  <si>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</si>
  <si>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</si>
  <si>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</si>
  <si>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</si>
  <si>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</si>
  <si>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</si>
  <si>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</si>
  <si>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</si>
  <si>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</si>
  <si>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</si>
  <si>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</si>
  <si>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</si>
  <si>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</si>
  <si>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</si>
  <si>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</si>
  <si>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</si>
  <si>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</si>
  <si>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</si>
  <si>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</si>
  <si>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</si>
  <si>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</si>
  <si>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</si>
  <si>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</si>
  <si>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</si>
  <si>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</si>
  <si>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</si>
  <si>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</si>
  <si>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</si>
  <si>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</si>
  <si>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</si>
  <si>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</si>
  <si>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</si>
  <si>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</si>
  <si>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</si>
  <si>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</si>
  <si>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</si>
  <si>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</si>
  <si>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</si>
  <si>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</si>
  <si>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</si>
  <si>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</si>
  <si>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</si>
  <si>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</si>
  <si>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</si>
  <si>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</si>
  <si>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</si>
  <si>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</si>
  <si>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</si>
  <si>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</si>
  <si>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</si>
  <si>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</si>
  <si>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</si>
  <si>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</si>
  <si>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</si>
  <si>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</si>
  <si>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</si>
  <si>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</si>
  <si>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</si>
  <si>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</si>
  <si>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</si>
  <si>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</si>
  <si>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</si>
  <si>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</si>
  <si>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</si>
  <si>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</si>
  <si>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</si>
  <si>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</si>
  <si>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</si>
  <si>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</si>
  <si>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</si>
  <si>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</si>
  <si>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</si>
  <si>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</si>
  <si>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</si>
  <si>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</si>
  <si>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</si>
  <si>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</si>
  <si>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</si>
  <si>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</si>
  <si>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</si>
  <si>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</si>
  <si>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</si>
  <si>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</si>
  <si>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</si>
  <si>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</si>
  <si>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</si>
  <si>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</si>
  <si>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</si>
  <si>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</si>
  <si>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</si>
  <si>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</si>
  <si>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</si>
  <si>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</si>
  <si>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</si>
  <si>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</si>
  <si>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</si>
  <si>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</si>
  <si>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</si>
  <si>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</si>
  <si>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</si>
  <si>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</si>
  <si>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</si>
  <si>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</si>
  <si>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</si>
  <si>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</si>
  <si>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</si>
  <si>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</si>
  <si>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</si>
  <si>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</si>
  <si>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</si>
  <si>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</si>
  <si>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</si>
  <si>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</si>
  <si>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</si>
  <si>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</si>
  <si>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</si>
  <si>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</si>
  <si>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</si>
  <si>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</si>
  <si>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</si>
  <si>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</si>
  <si>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</si>
  <si>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</si>
  <si>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</si>
  <si>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</si>
  <si>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</si>
  <si>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</si>
  <si>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</si>
  <si>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</si>
  <si>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</si>
  <si>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</si>
  <si>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</si>
  <si>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</si>
  <si>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</si>
  <si>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</si>
  <si>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</si>
  <si>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</si>
  <si>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</si>
  <si>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</si>
  <si>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</si>
  <si>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</si>
  <si>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</si>
  <si>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</si>
  <si>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</si>
  <si>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</si>
  <si>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</si>
  <si>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</si>
  <si>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</si>
  <si>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</si>
  <si>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</si>
  <si>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</si>
  <si>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</si>
  <si>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</si>
  <si>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</si>
  <si>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</si>
  <si>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</si>
  <si>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</si>
  <si>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</si>
  <si>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</si>
  <si>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</si>
  <si>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</si>
  <si>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</si>
  <si>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</si>
  <si>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</si>
  <si>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</si>
  <si>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</si>
  <si>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</si>
  <si>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</si>
  <si>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</si>
  <si>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</si>
  <si>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</si>
  <si>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</si>
  <si>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</si>
  <si>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</si>
  <si>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</si>
  <si>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</si>
  <si>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</si>
  <si>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</si>
  <si>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</si>
  <si>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</si>
  <si>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</si>
  <si>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</si>
  <si>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</si>
  <si>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</si>
  <si>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</si>
  <si>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</si>
  <si>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</si>
  <si>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</si>
  <si>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</si>
  <si>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</si>
  <si>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</si>
  <si>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</si>
  <si>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</si>
  <si>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</si>
  <si>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</si>
  <si>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</si>
  <si>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</si>
  <si>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</si>
  <si>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</si>
  <si>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</si>
  <si>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</si>
  <si>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</si>
  <si>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</si>
  <si>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</si>
  <si>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</si>
  <si>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</si>
  <si>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</si>
  <si>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</si>
  <si>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</si>
  <si>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</si>
  <si>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</si>
  <si>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</si>
  <si>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</si>
  <si>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</si>
  <si>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</si>
  <si>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</si>
  <si>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</si>
  <si>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</si>
  <si>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</si>
  <si>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</si>
  <si>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</si>
  <si>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</si>
  <si>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</si>
  <si>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</si>
  <si>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</si>
  <si>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</si>
  <si>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</si>
  <si>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</si>
  <si>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</si>
  <si>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</si>
  <si>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</si>
  <si>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</si>
  <si>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</si>
  <si>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</si>
  <si>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</si>
  <si>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</si>
  <si>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</si>
  <si>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</si>
  <si>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</si>
  <si>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</si>
  <si>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</si>
  <si>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</si>
  <si>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</si>
  <si>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</si>
  <si>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</si>
  <si>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</si>
  <si>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</si>
  <si>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</si>
  <si>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</si>
  <si>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</si>
  <si>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</si>
  <si>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</si>
  <si>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</si>
  <si>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</si>
  <si>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</si>
  <si>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</si>
  <si>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</si>
  <si>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</si>
  <si>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</si>
  <si>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</si>
  <si>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</si>
  <si>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</si>
  <si>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</si>
  <si>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</si>
  <si>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</si>
  <si>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</si>
  <si>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</si>
  <si>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</si>
  <si>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</si>
  <si>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</si>
  <si>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</si>
  <si>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</si>
  <si>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</si>
  <si>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</si>
  <si>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</si>
  <si>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</si>
  <si>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</si>
  <si>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</si>
  <si>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</si>
  <si>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</si>
  <si>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</si>
  <si>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</si>
  <si>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</si>
  <si>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</si>
  <si>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</si>
  <si>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</si>
  <si>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</si>
  <si>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</si>
  <si>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</si>
  <si>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</si>
  <si>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</si>
  <si>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</si>
  <si>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</si>
  <si>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</si>
  <si>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</si>
  <si>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</si>
  <si>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</si>
  <si>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</si>
  <si>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</si>
  <si>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</si>
  <si>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</si>
  <si>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</si>
  <si>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</si>
  <si>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</si>
  <si>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</si>
  <si>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</si>
  <si>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</si>
  <si>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</si>
  <si>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</si>
  <si>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</si>
  <si>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</si>
  <si>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</si>
  <si>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</si>
  <si>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</si>
  <si>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</si>
  <si>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</si>
  <si>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</si>
  <si>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</si>
  <si>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</si>
  <si>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</si>
  <si>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</si>
  <si>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</si>
  <si>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</si>
  <si>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</si>
  <si>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</si>
  <si>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</si>
  <si>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</si>
  <si>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</si>
  <si>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</si>
  <si>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</si>
  <si>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</si>
  <si>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</si>
  <si>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</si>
  <si>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</si>
  <si>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</si>
  <si>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</si>
  <si>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</si>
  <si>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</si>
  <si>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</si>
  <si>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</si>
  <si>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</si>
  <si>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</si>
  <si>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</si>
  <si>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</si>
  <si>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</si>
  <si>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</si>
  <si>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</si>
  <si>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</si>
  <si>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</si>
  <si>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</si>
  <si>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</si>
  <si>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</si>
  <si>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</si>
  <si>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</si>
  <si>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</si>
  <si>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</si>
  <si>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</si>
  <si>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</si>
  <si>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</si>
  <si>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</si>
  <si>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</si>
  <si>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</si>
  <si>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</si>
  <si>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</si>
  <si>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</si>
  <si>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</si>
  <si>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</si>
  <si>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</si>
  <si>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</si>
  <si>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</si>
  <si>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</si>
  <si>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</si>
  <si>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</si>
  <si>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</si>
  <si>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</si>
  <si>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</si>
  <si>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</si>
  <si>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</si>
  <si>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</si>
  <si>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</si>
  <si>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</si>
  <si>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</si>
  <si>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</si>
  <si>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</si>
  <si>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</si>
  <si>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</si>
  <si>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</si>
  <si>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</si>
  <si>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</si>
  <si>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</si>
  <si>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</si>
  <si>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</si>
  <si>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</si>
  <si>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</si>
  <si>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</si>
  <si>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</si>
  <si>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</si>
  <si>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</si>
  <si>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</si>
  <si>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</si>
  <si>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</si>
  <si>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</si>
  <si>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</si>
  <si>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</si>
  <si>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</si>
  <si>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</si>
  <si>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</si>
  <si>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</si>
  <si>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</si>
  <si>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</si>
  <si>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</si>
  <si>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</si>
  <si>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</si>
  <si>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</si>
  <si>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</si>
  <si>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</si>
  <si>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</si>
  <si>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</si>
  <si>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</si>
  <si>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</si>
  <si>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</si>
  <si>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</si>
  <si>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</si>
  <si>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</si>
  <si>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</si>
  <si>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</si>
  <si>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</si>
  <si>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</si>
  <si>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</si>
  <si>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</si>
  <si>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</si>
  <si>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</si>
  <si>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</si>
  <si>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</si>
  <si>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</si>
  <si>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</si>
  <si>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</si>
  <si>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</si>
  <si>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</si>
  <si>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</si>
  <si>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</si>
  <si>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</si>
  <si>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</si>
  <si>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</si>
  <si>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</si>
  <si>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</si>
  <si>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</si>
  <si>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</si>
  <si>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</si>
  <si>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</si>
  <si>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</si>
  <si>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</si>
  <si>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</si>
  <si>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</si>
  <si>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</si>
  <si>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</si>
  <si>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</si>
  <si>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</si>
  <si>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</si>
  <si>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</si>
  <si>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</si>
  <si>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</si>
  <si>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</si>
  <si>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</si>
  <si>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</si>
  <si>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</si>
  <si>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</si>
  <si>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</si>
  <si>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</si>
  <si>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</si>
  <si>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</si>
  <si>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</si>
  <si>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</si>
  <si>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</si>
  <si>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</si>
  <si>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</si>
  <si>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</si>
  <si>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</si>
  <si>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</si>
  <si>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</si>
  <si>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</si>
  <si>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</si>
  <si>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</si>
  <si>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</si>
  <si>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</si>
  <si>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</si>
  <si>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</si>
  <si>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</si>
  <si>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</si>
  <si>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</si>
  <si>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</si>
  <si>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</si>
  <si>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</si>
  <si>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</si>
  <si>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</si>
  <si>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</si>
  <si>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</si>
  <si>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</si>
  <si>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</si>
  <si>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</si>
  <si>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</si>
  <si>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</si>
  <si>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</si>
  <si>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</si>
  <si>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</si>
  <si>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</si>
  <si>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</si>
  <si>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</si>
  <si>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</si>
  <si>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</si>
  <si>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</si>
  <si>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</si>
  <si>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</si>
  <si>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</si>
  <si>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</si>
  <si>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</si>
  <si>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</si>
  <si>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</si>
  <si>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</si>
  <si>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</si>
  <si>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</si>
  <si>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</si>
  <si>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</si>
  <si>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</si>
  <si>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</si>
  <si>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</si>
  <si>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</si>
  <si>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</si>
  <si>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</si>
  <si>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</si>
  <si>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</si>
  <si>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</si>
  <si>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</si>
  <si>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</si>
  <si>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</si>
  <si>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</si>
  <si>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</si>
  <si>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</si>
  <si>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</si>
  <si>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</si>
  <si>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</si>
  <si>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</si>
  <si>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</si>
  <si>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</si>
  <si>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</si>
  <si>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</si>
  <si>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</si>
  <si>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</si>
  <si>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</si>
  <si>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</si>
  <si>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</si>
  <si>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</si>
  <si>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</si>
  <si>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</si>
  <si>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</si>
  <si>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</si>
  <si>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</si>
  <si>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</si>
  <si>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</si>
  <si>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</si>
  <si>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</si>
  <si>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</si>
  <si>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</si>
  <si>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</si>
  <si>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</si>
  <si>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</si>
  <si>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</si>
  <si>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</si>
  <si>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</si>
  <si>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</si>
  <si>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</si>
  <si>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</si>
  <si>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</si>
  <si>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</si>
  <si>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</si>
  <si>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</si>
  <si>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</si>
  <si>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</si>
  <si>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</si>
  <si>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</si>
  <si>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</si>
  <si>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</si>
  <si>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</si>
  <si>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</si>
  <si>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</si>
  <si>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</si>
  <si>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</si>
  <si>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</si>
  <si>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</si>
  <si>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</si>
  <si>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</si>
  <si>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</si>
  <si>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</si>
  <si>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</si>
  <si>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</si>
  <si>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</si>
  <si>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</si>
  <si>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</si>
  <si>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</si>
  <si>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</si>
  <si>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</si>
  <si>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</si>
  <si>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</si>
  <si>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</si>
  <si>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</si>
  <si>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</si>
  <si>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</si>
  <si>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</si>
  <si>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</si>
  <si>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</si>
  <si>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</si>
  <si>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</si>
  <si>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</si>
  <si>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</si>
  <si>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</si>
  <si>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</si>
  <si>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</si>
  <si>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</si>
  <si>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</si>
  <si>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</si>
  <si>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</si>
  <si>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</si>
  <si>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</si>
  <si>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</si>
  <si>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</si>
  <si>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</si>
  <si>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</si>
  <si>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</si>
  <si>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</si>
  <si>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</si>
  <si>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</si>
  <si>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</si>
  <si>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</si>
  <si>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</si>
  <si>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</si>
  <si>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</si>
  <si>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</si>
  <si>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</si>
  <si>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</si>
  <si>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</si>
  <si>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</si>
  <si>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</si>
  <si>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</si>
  <si>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</si>
  <si>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</si>
  <si>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</si>
  <si>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</si>
  <si>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</si>
  <si>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</si>
  <si>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</si>
  <si>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</si>
  <si>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</si>
  <si>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</si>
  <si>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</si>
  <si>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</si>
  <si>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</si>
  <si>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</si>
  <si>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</si>
  <si>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</si>
  <si>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</si>
  <si>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</si>
  <si>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</si>
  <si>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</si>
  <si>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</si>
  <si>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</si>
  <si>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</si>
  <si>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</si>
  <si>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</si>
  <si>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</si>
  <si>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</si>
  <si>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</si>
  <si>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</si>
  <si>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</si>
  <si>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</si>
  <si>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</si>
  <si>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</si>
  <si>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</si>
  <si>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</si>
  <si>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</si>
  <si>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</si>
  <si>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</si>
  <si>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</si>
  <si>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</si>
  <si>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</si>
  <si>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</si>
  <si>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</si>
  <si>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</si>
  <si>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</si>
  <si>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</si>
  <si>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</si>
  <si>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</si>
  <si>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</si>
  <si>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</si>
  <si>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</si>
  <si>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</si>
  <si>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</si>
  <si>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</si>
  <si>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</si>
  <si>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</si>
  <si>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</si>
  <si>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</si>
  <si>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</si>
  <si>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</si>
  <si>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</si>
  <si>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</si>
  <si>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</si>
  <si>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</si>
  <si>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</si>
  <si>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</si>
  <si>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</si>
  <si>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</si>
  <si>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</si>
  <si>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</si>
  <si>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</si>
  <si>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</si>
  <si>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</si>
  <si>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</si>
  <si>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</si>
  <si>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</si>
  <si>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</si>
  <si>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</si>
  <si>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</si>
  <si>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</si>
  <si>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</si>
  <si>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</si>
  <si>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</si>
  <si>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</si>
  <si>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</si>
  <si>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</si>
  <si>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</si>
  <si>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</si>
  <si>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</si>
  <si>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</si>
  <si>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</si>
  <si>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</si>
  <si>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</si>
  <si>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</si>
  <si>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</si>
  <si>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</si>
  <si>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</si>
  <si>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</si>
  <si>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</si>
  <si>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</si>
  <si>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</si>
  <si>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</si>
  <si>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</si>
  <si>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</si>
  <si>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</si>
  <si>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</si>
  <si>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</si>
  <si>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</si>
  <si>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</si>
  <si>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</si>
  <si>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</si>
  <si>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</si>
  <si>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</si>
  <si>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</si>
  <si>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</si>
  <si>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</si>
  <si>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</si>
  <si>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</si>
  <si>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</si>
  <si>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</si>
  <si>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</si>
  <si>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</si>
  <si>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</si>
  <si>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</si>
  <si>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</si>
  <si>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</si>
  <si>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</si>
  <si>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</si>
  <si>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</si>
  <si>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</si>
  <si>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</si>
  <si>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</si>
  <si>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</si>
  <si>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</si>
  <si>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</si>
  <si>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</si>
  <si>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</si>
  <si>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</si>
  <si>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</si>
  <si>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</si>
  <si>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</si>
  <si>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</si>
  <si>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</si>
  <si>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</si>
  <si>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</si>
  <si>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</si>
  <si>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</si>
  <si>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</si>
  <si>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</si>
  <si>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</si>
  <si>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</si>
  <si>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</si>
  <si>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</si>
  <si>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</si>
  <si>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</si>
  <si>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</si>
  <si>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</si>
  <si>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</si>
  <si>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</si>
  <si>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</si>
  <si>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</si>
  <si>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</si>
  <si>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</si>
  <si>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</si>
  <si>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</si>
  <si>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</si>
  <si>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</si>
  <si>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</si>
  <si>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</si>
  <si>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</si>
  <si>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</si>
  <si>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</si>
  <si>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</si>
  <si>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</si>
  <si>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</si>
  <si>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</si>
  <si>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</si>
  <si>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</si>
  <si>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</si>
  <si>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</si>
  <si>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</si>
  <si>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</si>
  <si>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</si>
  <si>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</si>
  <si>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</si>
  <si>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</si>
  <si>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</si>
  <si>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</si>
  <si>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</si>
  <si>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</si>
  <si>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</si>
  <si>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</si>
  <si>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</si>
  <si>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</si>
  <si>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</si>
  <si>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</si>
  <si>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</si>
  <si>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</si>
  <si>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</si>
  <si>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</si>
  <si>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</si>
  <si>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</si>
  <si>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</si>
  <si>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</si>
  <si>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</si>
  <si>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</si>
  <si>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</si>
  <si>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</si>
  <si>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</si>
  <si>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</si>
  <si>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</si>
  <si>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</si>
  <si>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</si>
  <si>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</si>
  <si>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</si>
  <si>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</si>
  <si>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</si>
  <si>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</si>
  <si>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</si>
  <si>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</si>
  <si>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</si>
  <si>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</si>
  <si>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</si>
  <si>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</si>
  <si>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</si>
  <si>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</si>
  <si>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</si>
  <si>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</si>
  <si>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</si>
  <si>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</si>
  <si>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</si>
  <si>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</si>
  <si>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</si>
  <si>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</si>
  <si>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</si>
  <si>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</si>
  <si>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</si>
  <si>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</si>
  <si>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</si>
  <si>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</si>
  <si>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</si>
  <si>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</si>
  <si>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</si>
  <si>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</si>
  <si>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</si>
  <si>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</si>
  <si>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</si>
  <si>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</si>
  <si>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</si>
  <si>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</si>
  <si>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</si>
  <si>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</si>
  <si>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</si>
  <si>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</si>
  <si>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</si>
  <si>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</si>
  <si>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</si>
  <si>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</si>
  <si>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</si>
  <si>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</si>
  <si>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</si>
  <si>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</si>
  <si>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</si>
  <si>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</si>
  <si>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</si>
  <si>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</si>
  <si>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</si>
  <si>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</si>
  <si>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</si>
  <si>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</si>
  <si>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</si>
  <si>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</si>
  <si>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</si>
  <si>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</si>
  <si>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</si>
  <si>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</si>
  <si>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</si>
  <si>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</si>
  <si>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</si>
  <si>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</si>
  <si>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</si>
  <si>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food court hydery</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</si>
  <si>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</si>
  <si>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</si>
  <si>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</si>
  <si>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</si>
  <si>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</si>
  <si>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</si>
  <si>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</si>
  <si>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</si>
  <si>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</si>
  <si>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</si>
  <si>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</si>
  <si>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</si>
  <si>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</si>
  <si>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</si>
  <si>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</si>
  <si>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</si>
  <si>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</si>
  <si>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</si>
  <si>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</si>
  <si>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</si>
  <si>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</si>
  <si>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</si>
  <si>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</si>
  <si>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</si>
  <si>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</si>
  <si>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</si>
  <si>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</si>
  <si>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</si>
  <si>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</si>
  <si>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</si>
  <si>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</si>
  <si>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</si>
  <si>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</si>
  <si>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</si>
  <si>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</si>
  <si>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</si>
  <si>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</si>
  <si>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</si>
  <si>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</si>
  <si>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</si>
  <si>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</si>
  <si>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</si>
  <si>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</si>
  <si>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</si>
  <si>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</si>
  <si>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</si>
  <si>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</si>
  <si>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</si>
  <si>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</si>
  <si>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</si>
  <si>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</si>
  <si>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</si>
  <si>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</si>
  <si>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</si>
  <si>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</si>
  <si>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</si>
  <si>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</si>
  <si>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</si>
  <si>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</si>
  <si>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</si>
  <si>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</si>
  <si>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</si>
  <si>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</si>
  <si>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</si>
  <si>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</si>
  <si>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</si>
  <si>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</si>
  <si>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</si>
  <si>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</si>
  <si>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</si>
  <si>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</si>
  <si>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</si>
  <si>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</si>
  <si>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</si>
  <si>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</si>
  <si>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</si>
  <si>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</si>
  <si>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</si>
  <si>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</si>
  <si>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</si>
  <si>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</si>
  <si>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</si>
  <si>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</si>
  <si>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</si>
  <si>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</si>
  <si>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</si>
  <si>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</si>
  <si>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</si>
  <si>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</si>
  <si>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</si>
  <si>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</si>
  <si>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</si>
  <si>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Online by Adeel for: Invoice # 1539
FILING FEE FOR ANNUAL INCOME TAX RETURN - TY - 2023
FILING FEE FOR MONTHLY SERVICE SALES TAX RETURN (SRB)
FOR THE PERIOD FROM JANUARY-2023 - DECEMBER-2023</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</si>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</sst>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9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83">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16-Mar-24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66.695060763886" createdVersion="5" refreshedVersion="8" minRefreshableVersion="3" recordCount="18916" xr:uid="{00000000-000A-0000-FFFF-FFFF2E000000}">
  <cacheSource type="worksheet">
    <worksheetSource ref="A1:H19840" sheet="Posting"/>
  </cacheSource>
  <cacheFields count="8">
    <cacheField name="Date" numFmtId="0">
      <sharedItems containsDate="1" containsBlank="1" containsMixedTypes="1" minDate="2013-12-15T00:00:00" maxDate="2024-03-16T00:00:00" count="228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9">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food court hydery"/>
        <s v="Dawat e Hadiyah"/>
        <s v="Rehmant shipping"/>
        <s v="BAH 12th Floor"/>
        <s v="Jamia tus Saifiyah"/>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7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DWP Pakistan"/>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80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9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Paid to scon air vent 10 nos"/>
        <s v="purchased cloth tape 2&quot; from puri - 10 nos"/>
        <s v="purchase SS clip 50 nos "/>
        <s v="purchsaed u bolt from hussain traders"/>
        <s v="Received crossed cash meezan Chq rec from Khusar bhai in acc of Bahria project (Given to Habib insulation)"/>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eived from NEC in acc of Trifit (given to Fakhri brothers for Tri Fit Fire Valvces deal against GST invoice)"/>
        <s v="Received from Bank Al Falah (Transferred in MCB)"/>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67.449203472221" createdVersion="5" refreshedVersion="8" minRefreshableVersion="3" recordCount="4143" xr:uid="{00000000-000A-0000-FFFF-FFFF2F000000}">
  <cacheSource type="worksheet">
    <worksheetSource ref="A1:H5525" sheet="Supplier"/>
  </cacheSource>
  <cacheFields count="8">
    <cacheField name="Date" numFmtId="0">
      <sharedItems containsNonDate="0" containsDate="1" containsString="0" containsBlank="1" minDate="2015-11-24T00:00:00" maxDate="2024-03-08T00:00:00" count="1338">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5">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BAF maintenance"/>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De Creator"/>
        <s v="Mehran Engineering"/>
        <s v="Build pro"/>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1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97"/>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27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104"/>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104"/>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104"/>
    <x v="773"/>
    <x v="9757"/>
    <n v="20000"/>
    <m/>
    <n v="-20000"/>
    <x v="113"/>
  </r>
  <r>
    <x v="2184"/>
    <x v="73"/>
    <x v="474"/>
    <x v="233"/>
    <n v="800"/>
    <m/>
    <n v="-800"/>
    <x v="113"/>
  </r>
  <r>
    <x v="2185"/>
    <x v="4"/>
    <x v="4"/>
    <x v="9659"/>
    <n v="4000"/>
    <m/>
    <n v="-4000"/>
    <x v="113"/>
  </r>
  <r>
    <x v="2185"/>
    <x v="105"/>
    <x v="278"/>
    <x v="9758"/>
    <n v="182980"/>
    <m/>
    <n v="-182980"/>
    <x v="113"/>
  </r>
  <r>
    <x v="2185"/>
    <x v="105"/>
    <x v="474"/>
    <x v="233"/>
    <n v="500"/>
    <m/>
    <n v="-500"/>
    <x v="113"/>
  </r>
  <r>
    <x v="2185"/>
    <x v="105"/>
    <x v="285"/>
    <x v="7068"/>
    <n v="500"/>
    <m/>
    <n v="-500"/>
    <x v="113"/>
  </r>
  <r>
    <x v="2185"/>
    <x v="105"/>
    <x v="758"/>
    <x v="9759"/>
    <n v="10000"/>
    <m/>
    <n v="-10000"/>
    <x v="113"/>
  </r>
  <r>
    <x v="2185"/>
    <x v="105"/>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104"/>
    <x v="314"/>
    <x v="898"/>
    <n v="8500"/>
    <m/>
    <n v="-8500"/>
    <x v="113"/>
  </r>
  <r>
    <x v="2186"/>
    <x v="73"/>
    <x v="278"/>
    <x v="9764"/>
    <n v="1050"/>
    <m/>
    <n v="-1050"/>
    <x v="113"/>
  </r>
  <r>
    <x v="2186"/>
    <x v="73"/>
    <x v="4"/>
    <x v="9765"/>
    <n v="12000"/>
    <m/>
    <n v="-12000"/>
    <x v="113"/>
  </r>
  <r>
    <x v="2186"/>
    <x v="94"/>
    <x v="735"/>
    <x v="8439"/>
    <n v="100000"/>
    <m/>
    <n v="-100000"/>
    <x v="113"/>
  </r>
  <r>
    <x v="2186"/>
    <x v="76"/>
    <x v="518"/>
    <x v="9477"/>
    <n v="40000"/>
    <m/>
    <n v="-40000"/>
    <x v="113"/>
  </r>
  <r>
    <x v="2186"/>
    <x v="73"/>
    <x v="795"/>
    <x v="9536"/>
    <n v="10000"/>
    <m/>
    <n v="-10000"/>
    <x v="113"/>
  </r>
  <r>
    <x v="2187"/>
    <x v="23"/>
    <x v="474"/>
    <x v="9766"/>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7"/>
    <n v="47000"/>
    <m/>
    <n v="-47000"/>
    <x v="113"/>
  </r>
  <r>
    <x v="2187"/>
    <x v="23"/>
    <x v="474"/>
    <x v="9766"/>
    <n v="3000"/>
    <m/>
    <n v="-3000"/>
    <x v="113"/>
  </r>
  <r>
    <x v="2187"/>
    <x v="94"/>
    <x v="474"/>
    <x v="233"/>
    <n v="2000"/>
    <m/>
    <n v="-2000"/>
    <x v="113"/>
  </r>
  <r>
    <x v="2187"/>
    <x v="4"/>
    <x v="4"/>
    <x v="9659"/>
    <n v="2000"/>
    <m/>
    <n v="-2000"/>
    <x v="113"/>
  </r>
  <r>
    <x v="2187"/>
    <x v="99"/>
    <x v="474"/>
    <x v="9768"/>
    <n v="500"/>
    <m/>
    <n v="-500"/>
    <x v="113"/>
  </r>
  <r>
    <x v="2187"/>
    <x v="106"/>
    <x v="474"/>
    <x v="9768"/>
    <n v="550"/>
    <m/>
    <n v="-550"/>
    <x v="113"/>
  </r>
  <r>
    <x v="2187"/>
    <x v="94"/>
    <x v="278"/>
    <x v="7582"/>
    <n v="2500"/>
    <m/>
    <n v="-2500"/>
    <x v="113"/>
  </r>
  <r>
    <x v="2187"/>
    <x v="94"/>
    <x v="474"/>
    <x v="9769"/>
    <n v="1500"/>
    <m/>
    <n v="-1500"/>
    <x v="113"/>
  </r>
  <r>
    <x v="2187"/>
    <x v="52"/>
    <x v="278"/>
    <x v="9770"/>
    <n v="2000"/>
    <m/>
    <n v="-2000"/>
    <x v="113"/>
  </r>
  <r>
    <x v="2187"/>
    <x v="4"/>
    <x v="4"/>
    <x v="9771"/>
    <n v="8000"/>
    <m/>
    <n v="-8000"/>
    <x v="113"/>
  </r>
  <r>
    <x v="2187"/>
    <x v="107"/>
    <x v="465"/>
    <x v="9772"/>
    <n v="5000"/>
    <m/>
    <n v="-5000"/>
    <x v="113"/>
  </r>
  <r>
    <x v="2188"/>
    <x v="73"/>
    <x v="756"/>
    <x v="9773"/>
    <n v="60600"/>
    <m/>
    <n v="-60600"/>
    <x v="113"/>
  </r>
  <r>
    <x v="2188"/>
    <x v="73"/>
    <x v="278"/>
    <x v="9774"/>
    <n v="9600"/>
    <m/>
    <n v="-9600"/>
    <x v="113"/>
  </r>
  <r>
    <x v="2188"/>
    <x v="94"/>
    <x v="278"/>
    <x v="9775"/>
    <n v="39950"/>
    <m/>
    <n v="-39950"/>
    <x v="113"/>
  </r>
  <r>
    <x v="2188"/>
    <x v="94"/>
    <x v="474"/>
    <x v="233"/>
    <n v="2000"/>
    <m/>
    <n v="-2000"/>
    <x v="113"/>
  </r>
  <r>
    <x v="2188"/>
    <x v="73"/>
    <x v="474"/>
    <x v="233"/>
    <n v="1500"/>
    <m/>
    <n v="-1500"/>
    <x v="113"/>
  </r>
  <r>
    <x v="2188"/>
    <x v="73"/>
    <x v="278"/>
    <x v="9776"/>
    <n v="18000"/>
    <m/>
    <n v="-18000"/>
    <x v="113"/>
  </r>
  <r>
    <x v="2189"/>
    <x v="94"/>
    <x v="390"/>
    <x v="9777"/>
    <n v="2400"/>
    <m/>
    <n v="-2400"/>
    <x v="113"/>
  </r>
  <r>
    <x v="2189"/>
    <x v="91"/>
    <x v="474"/>
    <x v="233"/>
    <n v="2000"/>
    <m/>
    <n v="-2000"/>
    <x v="113"/>
  </r>
  <r>
    <x v="2189"/>
    <x v="4"/>
    <x v="629"/>
    <x v="898"/>
    <n v="5000"/>
    <m/>
    <n v="-5000"/>
    <x v="113"/>
  </r>
  <r>
    <x v="2189"/>
    <x v="91"/>
    <x v="434"/>
    <x v="9778"/>
    <n v="4860"/>
    <m/>
    <n v="-4860"/>
    <x v="113"/>
  </r>
  <r>
    <x v="2189"/>
    <x v="91"/>
    <x v="278"/>
    <x v="9779"/>
    <n v="63240"/>
    <m/>
    <n v="-63240"/>
    <x v="113"/>
  </r>
  <r>
    <x v="2189"/>
    <x v="91"/>
    <x v="278"/>
    <x v="9780"/>
    <n v="5280"/>
    <m/>
    <n v="-5280"/>
    <x v="113"/>
  </r>
  <r>
    <x v="2189"/>
    <x v="94"/>
    <x v="619"/>
    <x v="9462"/>
    <n v="250000"/>
    <m/>
    <n v="-250000"/>
    <x v="113"/>
  </r>
  <r>
    <x v="2189"/>
    <x v="4"/>
    <x v="813"/>
    <x v="9781"/>
    <n v="50000"/>
    <m/>
    <n v="-50000"/>
    <x v="113"/>
  </r>
  <r>
    <x v="2189"/>
    <x v="65"/>
    <x v="278"/>
    <x v="9782"/>
    <n v="25500"/>
    <m/>
    <n v="-25500"/>
    <x v="113"/>
  </r>
  <r>
    <x v="2189"/>
    <x v="7"/>
    <x v="198"/>
    <x v="9783"/>
    <n v="900"/>
    <m/>
    <n v="-900"/>
    <x v="113"/>
  </r>
  <r>
    <x v="2189"/>
    <x v="4"/>
    <x v="4"/>
    <x v="9659"/>
    <n v="1000"/>
    <m/>
    <n v="-1000"/>
    <x v="113"/>
  </r>
  <r>
    <x v="2190"/>
    <x v="94"/>
    <x v="278"/>
    <x v="9784"/>
    <n v="1800"/>
    <m/>
    <n v="-1800"/>
    <x v="113"/>
  </r>
  <r>
    <x v="2190"/>
    <x v="94"/>
    <x v="278"/>
    <x v="9785"/>
    <n v="1250"/>
    <m/>
    <n v="-1250"/>
    <x v="113"/>
  </r>
  <r>
    <x v="2190"/>
    <x v="7"/>
    <x v="27"/>
    <x v="5204"/>
    <n v="2905"/>
    <m/>
    <n v="-2905"/>
    <x v="113"/>
  </r>
  <r>
    <x v="2190"/>
    <x v="4"/>
    <x v="27"/>
    <x v="5204"/>
    <n v="9220"/>
    <m/>
    <n v="-9220"/>
    <x v="113"/>
  </r>
  <r>
    <x v="2190"/>
    <x v="94"/>
    <x v="474"/>
    <x v="233"/>
    <n v="3000"/>
    <m/>
    <n v="-3000"/>
    <x v="113"/>
  </r>
  <r>
    <x v="2190"/>
    <x v="94"/>
    <x v="474"/>
    <x v="9786"/>
    <n v="250"/>
    <m/>
    <n v="-250"/>
    <x v="113"/>
  </r>
  <r>
    <x v="2190"/>
    <x v="79"/>
    <x v="474"/>
    <x v="9787"/>
    <n v="300"/>
    <m/>
    <n v="-300"/>
    <x v="113"/>
  </r>
  <r>
    <x v="2190"/>
    <x v="94"/>
    <x v="285"/>
    <x v="9788"/>
    <n v="1000"/>
    <m/>
    <n v="-1000"/>
    <x v="113"/>
  </r>
  <r>
    <x v="2190"/>
    <x v="4"/>
    <x v="4"/>
    <x v="9659"/>
    <n v="1000"/>
    <m/>
    <n v="-1000"/>
    <x v="113"/>
  </r>
  <r>
    <x v="2190"/>
    <x v="94"/>
    <x v="474"/>
    <x v="233"/>
    <n v="250"/>
    <m/>
    <n v="-250"/>
    <x v="113"/>
  </r>
  <r>
    <x v="2190"/>
    <x v="73"/>
    <x v="655"/>
    <x v="9789"/>
    <n v="100000"/>
    <m/>
    <n v="-100000"/>
    <x v="113"/>
  </r>
  <r>
    <x v="2190"/>
    <x v="90"/>
    <x v="758"/>
    <x v="8439"/>
    <n v="75000"/>
    <m/>
    <n v="-750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0"/>
    <n v="15600"/>
    <m/>
    <n v="-15600"/>
    <x v="113"/>
  </r>
  <r>
    <x v="2191"/>
    <x v="79"/>
    <x v="278"/>
    <x v="9791"/>
    <n v="1000"/>
    <m/>
    <n v="-1000"/>
    <x v="113"/>
  </r>
  <r>
    <x v="2191"/>
    <x v="94"/>
    <x v="278"/>
    <x v="9792"/>
    <n v="7500"/>
    <m/>
    <n v="-7500"/>
    <x v="113"/>
  </r>
  <r>
    <x v="2191"/>
    <x v="94"/>
    <x v="278"/>
    <x v="9793"/>
    <n v="540"/>
    <m/>
    <n v="-540"/>
    <x v="113"/>
  </r>
  <r>
    <x v="2191"/>
    <x v="73"/>
    <x v="698"/>
    <x v="9794"/>
    <n v="500000"/>
    <m/>
    <n v="-500000"/>
    <x v="113"/>
  </r>
  <r>
    <x v="2181"/>
    <x v="84"/>
    <x v="716"/>
    <x v="9795"/>
    <n v="65000"/>
    <m/>
    <n v="-65000"/>
    <x v="113"/>
  </r>
  <r>
    <x v="2181"/>
    <x v="94"/>
    <x v="716"/>
    <x v="9796"/>
    <n v="135000"/>
    <m/>
    <n v="-135000"/>
    <x v="113"/>
  </r>
  <r>
    <x v="2182"/>
    <x v="97"/>
    <x v="369"/>
    <x v="9797"/>
    <n v="186000"/>
    <m/>
    <n v="-186000"/>
    <x v="113"/>
  </r>
  <r>
    <x v="2185"/>
    <x v="65"/>
    <x v="78"/>
    <x v="9798"/>
    <n v="412181"/>
    <m/>
    <n v="-412181"/>
    <x v="113"/>
  </r>
  <r>
    <x v="2187"/>
    <x v="108"/>
    <x v="814"/>
    <x v="9799"/>
    <n v="1071000"/>
    <m/>
    <n v="-1071000"/>
    <x v="113"/>
  </r>
  <r>
    <x v="2189"/>
    <x v="1"/>
    <x v="261"/>
    <x v="9800"/>
    <n v="27362"/>
    <m/>
    <n v="-27362"/>
    <x v="113"/>
  </r>
  <r>
    <x v="2189"/>
    <x v="22"/>
    <x v="261"/>
    <x v="9800"/>
    <n v="35367"/>
    <m/>
    <n v="-35367"/>
    <x v="113"/>
  </r>
  <r>
    <x v="2189"/>
    <x v="23"/>
    <x v="261"/>
    <x v="9800"/>
    <n v="32760"/>
    <m/>
    <n v="-32760"/>
    <x v="113"/>
  </r>
  <r>
    <x v="2185"/>
    <x v="67"/>
    <x v="97"/>
    <x v="9801"/>
    <m/>
    <n v="412181"/>
    <n v="412181"/>
    <x v="113"/>
  </r>
  <r>
    <x v="2185"/>
    <x v="99"/>
    <x v="97"/>
    <x v="9802"/>
    <m/>
    <n v="8053923"/>
    <n v="8053923"/>
    <x v="113"/>
  </r>
  <r>
    <x v="2187"/>
    <x v="97"/>
    <x v="97"/>
    <x v="9803"/>
    <m/>
    <n v="4658436"/>
    <n v="4658436"/>
    <x v="113"/>
  </r>
  <r>
    <x v="2187"/>
    <x v="94"/>
    <x v="97"/>
    <x v="9804"/>
    <m/>
    <n v="6010680"/>
    <n v="6010680"/>
    <x v="113"/>
  </r>
  <r>
    <x v="2187"/>
    <x v="94"/>
    <x v="97"/>
    <x v="9804"/>
    <m/>
    <n v="5060000"/>
    <n v="5060000"/>
    <x v="113"/>
  </r>
  <r>
    <x v="2187"/>
    <x v="94"/>
    <x v="97"/>
    <x v="9805"/>
    <m/>
    <n v="10000000"/>
    <n v="10000000"/>
    <x v="113"/>
  </r>
  <r>
    <x v="2187"/>
    <x v="94"/>
    <x v="97"/>
    <x v="9806"/>
    <m/>
    <n v="1071000"/>
    <n v="1071000"/>
    <x v="113"/>
  </r>
  <r>
    <x v="2191"/>
    <x v="100"/>
    <x v="97"/>
    <x v="9807"/>
    <m/>
    <n v="500000"/>
    <n v="500000"/>
    <x v="113"/>
  </r>
  <r>
    <x v="219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2"/>
    <m/>
    <n v="1680000"/>
    <m/>
    <n v="1680000"/>
    <m/>
  </r>
  <r>
    <x v="1161"/>
    <x v="105"/>
    <x v="32"/>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3"/>
    <m/>
    <n v="903164"/>
    <m/>
    <n v="903164"/>
    <m/>
  </r>
  <r>
    <x v="1166"/>
    <x v="105"/>
    <x v="33"/>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1"/>
    <m/>
    <n v="850000"/>
    <m/>
    <n v="850000"/>
    <s v="Special basin 12 Nos"/>
  </r>
  <r>
    <x v="1175"/>
    <x v="107"/>
    <x v="5"/>
    <s v="4987"/>
    <n v="8000"/>
    <m/>
    <n v="8000"/>
    <m/>
  </r>
  <r>
    <x v="1176"/>
    <x v="105"/>
    <x v="31"/>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5"/>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124"/>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2" firstHeaderRow="0" firstDataRow="1" firstDataCol="1" rowPageCount="3" colPageCount="1"/>
  <pivotFields count="8">
    <pivotField axis="axisPage" showAll="0">
      <items count="2290">
        <item x="249"/>
        <item m="1" x="2287"/>
        <item m="1" x="2242"/>
        <item m="1" x="2241"/>
        <item m="1" x="2255"/>
        <item m="1" x="2245"/>
        <item m="1" x="2207"/>
        <item m="1" x="2226"/>
        <item m="1" x="2233"/>
        <item m="1" x="2253"/>
        <item m="1" x="2232"/>
        <item m="1" x="2261"/>
        <item m="1" x="2269"/>
        <item m="1" x="2230"/>
        <item m="1" x="2276"/>
        <item m="1" x="2223"/>
        <item m="1" x="2281"/>
        <item m="1" x="2236"/>
        <item m="1" x="2196"/>
        <item m="1" x="2285"/>
        <item m="1" x="2288"/>
        <item m="1" x="2203"/>
        <item m="1" x="2244"/>
        <item m="1" x="2198"/>
        <item m="1" x="2199"/>
        <item m="1" x="2201"/>
        <item m="1" x="2215"/>
        <item m="1" x="2216"/>
        <item m="1" x="2262"/>
        <item m="1" x="2250"/>
        <item m="1" x="2251"/>
        <item m="1" x="2256"/>
        <item m="1" x="2267"/>
        <item m="1" x="2246"/>
        <item m="1" x="2208"/>
        <item m="1" x="2213"/>
        <item m="1" x="2220"/>
        <item m="1" x="2270"/>
        <item x="0"/>
        <item m="1" x="2257"/>
        <item m="1" x="2263"/>
        <item m="1" x="2221"/>
        <item x="1"/>
        <item m="1" x="2264"/>
        <item m="1" x="2283"/>
        <item x="2"/>
        <item x="3"/>
        <item m="1" x="2227"/>
        <item m="1" x="2278"/>
        <item m="1" x="2224"/>
        <item m="1" x="2274"/>
        <item m="1" x="2282"/>
        <item m="1" x="2286"/>
        <item x="4"/>
        <item m="1" x="2197"/>
        <item x="5"/>
        <item x="6"/>
        <item m="1" x="223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49"/>
        <item x="157"/>
        <item x="158"/>
        <item x="159"/>
        <item x="160"/>
        <item x="161"/>
        <item x="162"/>
        <item x="163"/>
        <item x="164"/>
        <item x="165"/>
        <item x="166"/>
        <item x="167"/>
        <item x="168"/>
        <item x="169"/>
        <item m="1" x="223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2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37"/>
        <item x="276"/>
        <item x="277"/>
        <item x="278"/>
        <item x="275"/>
        <item m="1" x="2234"/>
        <item x="279"/>
        <item x="280"/>
        <item x="281"/>
        <item x="282"/>
        <item x="283"/>
        <item x="284"/>
        <item x="285"/>
        <item x="286"/>
        <item x="287"/>
        <item x="288"/>
        <item x="289"/>
        <item x="290"/>
        <item x="291"/>
        <item x="292"/>
        <item x="293"/>
        <item x="294"/>
        <item x="295"/>
        <item x="296"/>
        <item m="1" x="2238"/>
        <item x="297"/>
        <item x="298"/>
        <item x="299"/>
        <item m="1" x="2240"/>
        <item x="300"/>
        <item x="302"/>
        <item x="303"/>
        <item x="301"/>
        <item x="304"/>
        <item x="305"/>
        <item x="306"/>
        <item x="307"/>
        <item x="308"/>
        <item x="309"/>
        <item x="310"/>
        <item x="311"/>
        <item x="312"/>
        <item m="1" x="2204"/>
        <item x="313"/>
        <item m="1" x="2206"/>
        <item x="314"/>
        <item x="315"/>
        <item x="316"/>
        <item x="317"/>
        <item x="318"/>
        <item x="319"/>
        <item x="320"/>
        <item x="321"/>
        <item m="1" x="2252"/>
        <item x="323"/>
        <item x="324"/>
        <item x="325"/>
        <item x="326"/>
        <item x="322"/>
        <item x="327"/>
        <item x="328"/>
        <item x="329"/>
        <item x="330"/>
        <item x="331"/>
        <item m="1" x="2243"/>
        <item x="332"/>
        <item m="1" x="2205"/>
        <item x="333"/>
        <item x="334"/>
        <item x="335"/>
        <item x="336"/>
        <item x="337"/>
        <item x="338"/>
        <item x="344"/>
        <item m="1" x="221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02"/>
        <item x="375"/>
        <item x="376"/>
        <item x="373"/>
        <item x="377"/>
        <item x="378"/>
        <item x="379"/>
        <item x="380"/>
        <item m="1" x="2247"/>
        <item x="381"/>
        <item x="382"/>
        <item x="383"/>
        <item x="384"/>
        <item x="385"/>
        <item x="386"/>
        <item x="387"/>
        <item x="388"/>
        <item x="389"/>
        <item x="390"/>
        <item x="391"/>
        <item x="392"/>
        <item x="393"/>
        <item x="394"/>
        <item x="395"/>
        <item x="396"/>
        <item x="397"/>
        <item x="399"/>
        <item x="400"/>
        <item x="401"/>
        <item x="398"/>
        <item x="402"/>
        <item m="1" x="2248"/>
        <item x="403"/>
        <item x="404"/>
        <item x="405"/>
        <item x="406"/>
        <item x="407"/>
        <item x="408"/>
        <item x="409"/>
        <item m="1" x="2214"/>
        <item x="410"/>
        <item x="411"/>
        <item x="421"/>
        <item x="412"/>
        <item x="413"/>
        <item x="414"/>
        <item x="415"/>
        <item x="416"/>
        <item x="417"/>
        <item m="1" x="2268"/>
        <item x="418"/>
        <item x="419"/>
        <item x="420"/>
        <item x="423"/>
        <item x="443"/>
        <item x="424"/>
        <item x="422"/>
        <item x="425"/>
        <item x="426"/>
        <item x="427"/>
        <item x="428"/>
        <item x="429"/>
        <item x="430"/>
        <item x="431"/>
        <item x="432"/>
        <item m="1" x="2260"/>
        <item x="433"/>
        <item x="434"/>
        <item x="435"/>
        <item x="436"/>
        <item x="438"/>
        <item x="437"/>
        <item x="439"/>
        <item x="440"/>
        <item x="442"/>
        <item x="441"/>
        <item x="445"/>
        <item x="446"/>
        <item x="447"/>
        <item x="444"/>
        <item x="448"/>
        <item x="449"/>
        <item x="450"/>
        <item x="451"/>
        <item x="452"/>
        <item x="453"/>
        <item x="454"/>
        <item x="455"/>
        <item x="456"/>
        <item x="457"/>
        <item m="1" x="2222"/>
        <item x="458"/>
        <item x="459"/>
        <item m="1" x="2271"/>
        <item x="460"/>
        <item x="461"/>
        <item x="462"/>
        <item x="463"/>
        <item m="1" x="2280"/>
        <item x="464"/>
        <item x="465"/>
        <item x="466"/>
        <item x="467"/>
        <item x="468"/>
        <item x="469"/>
        <item x="470"/>
        <item m="1" x="2259"/>
        <item x="471"/>
        <item x="472"/>
        <item x="473"/>
        <item x="474"/>
        <item x="475"/>
        <item x="476"/>
        <item x="477"/>
        <item x="478"/>
        <item x="479"/>
        <item x="480"/>
        <item x="481"/>
        <item x="482"/>
        <item x="483"/>
        <item x="484"/>
        <item m="1" x="2235"/>
        <item x="490"/>
        <item x="485"/>
        <item x="486"/>
        <item x="487"/>
        <item x="488"/>
        <item x="489"/>
        <item x="491"/>
        <item x="492"/>
        <item m="1" x="2228"/>
        <item m="1" x="2272"/>
        <item x="503"/>
        <item m="1" x="2275"/>
        <item x="493"/>
        <item x="494"/>
        <item x="504"/>
        <item x="495"/>
        <item x="496"/>
        <item x="497"/>
        <item x="498"/>
        <item x="499"/>
        <item x="500"/>
        <item x="501"/>
        <item x="502"/>
        <item x="505"/>
        <item x="506"/>
        <item x="507"/>
        <item x="508"/>
        <item m="1" x="222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4"/>
        <item x="564"/>
        <item x="565"/>
        <item x="566"/>
        <item x="567"/>
        <item x="568"/>
        <item x="569"/>
        <item x="570"/>
        <item x="571"/>
        <item x="572"/>
        <item x="573"/>
        <item x="574"/>
        <item m="1" x="220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0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11"/>
        <item x="698"/>
        <item x="708"/>
        <item x="709"/>
        <item x="710"/>
        <item x="699"/>
        <item x="700"/>
        <item x="701"/>
        <item x="702"/>
        <item x="703"/>
        <item x="704"/>
        <item x="705"/>
        <item x="706"/>
        <item x="707"/>
        <item x="711"/>
        <item x="726"/>
        <item x="727"/>
        <item x="734"/>
        <item x="712"/>
        <item x="728"/>
        <item x="729"/>
        <item m="1" x="225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17"/>
        <item x="753"/>
        <item m="1" x="2219"/>
        <item x="740"/>
        <item x="754"/>
        <item x="741"/>
        <item x="742"/>
        <item x="743"/>
        <item x="744"/>
        <item x="745"/>
        <item x="746"/>
        <item x="747"/>
        <item x="755"/>
        <item x="748"/>
        <item x="757"/>
        <item x="758"/>
        <item x="769"/>
        <item x="759"/>
        <item m="1" x="2266"/>
        <item x="760"/>
        <item x="761"/>
        <item x="770"/>
        <item m="1" x="2273"/>
        <item x="762"/>
        <item x="771"/>
        <item x="763"/>
        <item x="764"/>
        <item x="765"/>
        <item x="766"/>
        <item x="772"/>
        <item x="773"/>
        <item x="767"/>
        <item x="768"/>
        <item x="774"/>
        <item x="775"/>
        <item x="790"/>
        <item x="776"/>
        <item x="791"/>
        <item x="777"/>
        <item x="778"/>
        <item x="792"/>
        <item x="779"/>
        <item x="780"/>
        <item x="781"/>
        <item x="782"/>
        <item x="793"/>
        <item x="783"/>
        <item x="794"/>
        <item x="795"/>
        <item x="219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7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4"/>
        <item x="944"/>
        <item m="1" x="221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6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7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95"/>
        <item x="1583"/>
        <item x="1577"/>
        <item x="1578"/>
        <item x="1576"/>
        <item x="1579"/>
        <item x="1580"/>
        <item x="1586"/>
        <item x="1587"/>
        <item x="1581"/>
        <item x="1582"/>
        <item x="1588"/>
        <item x="1589"/>
        <item x="1590"/>
        <item x="1602"/>
        <item x="1612"/>
        <item m="1" x="221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9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t="default"/>
      </items>
    </pivotField>
    <pivotField axis="axisRow" showAll="0">
      <items count="240">
        <item sd="0" x="100"/>
        <item sd="0" x="103"/>
        <item sd="0" x="101"/>
        <item sd="0" x="99"/>
        <item sd="0" x="95"/>
        <item sd="0" x="97"/>
        <item sd="0" m="1" x="111"/>
        <item sd="0" x="94"/>
        <item sd="0" x="92"/>
        <item sd="0" x="91"/>
        <item sd="0" x="90"/>
        <item sd="0" x="52"/>
        <item sd="0" x="89"/>
        <item sd="0" x="87"/>
        <item sd="0" x="88"/>
        <item sd="0" x="85"/>
        <item sd="0" x="72"/>
        <item sd="0" x="79"/>
        <item sd="0" x="84"/>
        <item sd="0" x="83"/>
        <item sd="0" m="1" x="11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7"/>
        <item sd="0" x="49"/>
        <item sd="0" x="24"/>
        <item sd="0" x="33"/>
        <item sd="0" x="23"/>
        <item sd="0" x="22"/>
        <item sd="0" x="34"/>
        <item n="JPMC (Main Project)" sd="0" x="11"/>
        <item sd="0" x="18"/>
        <item sd="0" x="48"/>
        <item sd="0" x="46"/>
        <item sd="0" x="45"/>
        <item sd="0" x="37"/>
        <item sd="0" x="47"/>
        <item sd="0" m="1" x="151"/>
        <item sd="0" x="44"/>
        <item sd="0" m="1" x="165"/>
        <item sd="0" x="42"/>
        <item sd="0" x="40"/>
        <item sd="0" x="15"/>
        <item sd="0" x="27"/>
        <item sd="0" x="30"/>
        <item sd="0" x="25"/>
        <item sd="0" x="29"/>
        <item sd="0" x="8"/>
        <item sd="0" x="9"/>
        <item sd="0" m="1" x="160"/>
        <item sd="0" m="1" x="130"/>
        <item sd="0" m="1" x="181"/>
        <item sd="0" m="1" x="125"/>
        <item sd="0" m="1" x="137"/>
        <item sd="0" m="1" x="166"/>
        <item sd="0" x="13"/>
        <item sd="0" m="1" x="236"/>
        <item sd="0" m="1" x="216"/>
        <item sd="0" m="1" x="207"/>
        <item sd="0" m="1" x="145"/>
        <item sd="0" m="1" x="142"/>
        <item sd="0" m="1" x="232"/>
        <item sd="0" m="1" x="210"/>
        <item sd="0" m="1" x="219"/>
        <item sd="0" m="1" x="203"/>
        <item sd="0" m="1" x="193"/>
        <item sd="0" m="1" x="128"/>
        <item sd="0" m="1" x="156"/>
        <item sd="0" x="17"/>
        <item sd="0" m="1" x="162"/>
        <item sd="0" m="1" x="176"/>
        <item sd="0" m="1" x="129"/>
        <item sd="0" x="14"/>
        <item sd="0" m="1" x="226"/>
        <item sd="0" x="86"/>
        <item sd="0" m="1" x="171"/>
        <item sd="0" m="1" x="229"/>
        <item sd="0" m="1" x="164"/>
        <item sd="0" m="1" x="185"/>
        <item sd="0" m="1" x="183"/>
        <item sd="0" m="1" x="136"/>
        <item sd="0" m="1" x="174"/>
        <item sd="0" m="1" x="140"/>
        <item sd="0" m="1" x="180"/>
        <item sd="0" m="1" x="218"/>
        <item sd="0" m="1" x="175"/>
        <item sd="0" m="1" x="188"/>
        <item sd="0" x="10"/>
        <item sd="0" m="1" x="191"/>
        <item sd="0" x="1"/>
        <item sd="0" m="1" x="138"/>
        <item sd="0" m="1" x="192"/>
        <item sd="0" m="1" x="161"/>
        <item sd="0" m="1" x="220"/>
        <item sd="0" m="1" x="223"/>
        <item sd="0" m="1" x="195"/>
        <item sd="0" m="1" x="123"/>
        <item sd="0" m="1" x="144"/>
        <item sd="0" m="1" x="186"/>
        <item sd="0" m="1" x="179"/>
        <item sd="0" m="1" x="133"/>
        <item sd="0" m="1" x="127"/>
        <item sd="0" m="1" x="214"/>
        <item sd="0" x="3"/>
        <item sd="0" m="1" x="152"/>
        <item sd="0" x="7"/>
        <item sd="0" m="1" x="167"/>
        <item sd="0" x="2"/>
        <item sd="0" m="1" x="217"/>
        <item sd="0" m="1" x="173"/>
        <item sd="0" x="12"/>
        <item sd="0" m="1" x="155"/>
        <item sd="0" x="4"/>
        <item sd="0" m="1" x="235"/>
        <item sd="0" m="1" x="141"/>
        <item sd="0" m="1" x="149"/>
        <item sd="0" m="1" x="201"/>
        <item sd="0" m="1" x="209"/>
        <item sd="0" m="1" x="213"/>
        <item sd="0" m="1" x="132"/>
        <item sd="0" m="1" x="227"/>
        <item sd="0" m="1" x="143"/>
        <item sd="0" m="1" x="148"/>
        <item sd="0" x="6"/>
        <item sd="0" m="1" x="204"/>
        <item sd="0" m="1" x="208"/>
        <item sd="0" m="1" x="224"/>
        <item sd="0" m="1" x="230"/>
        <item sd="0" m="1" x="225"/>
        <item sd="0" x="16"/>
        <item sd="0" m="1" x="122"/>
        <item sd="0" m="1" x="197"/>
        <item sd="0" m="1" x="190"/>
        <item sd="0" m="1" x="206"/>
        <item sd="0" m="1" x="168"/>
        <item m="1" x="182"/>
        <item sd="0" m="1" x="146"/>
        <item sd="0" m="1" x="211"/>
        <item sd="0" m="1" x="169"/>
        <item sd="0" m="1" x="196"/>
        <item sd="0" m="1" x="222"/>
        <item sd="0" x="28"/>
        <item sd="0" m="1" x="184"/>
        <item sd="0" m="1" x="212"/>
        <item sd="0" m="1" x="238"/>
        <item sd="0" m="1" x="159"/>
        <item m="1" x="199"/>
        <item sd="0" m="1" x="198"/>
        <item sd="0" m="1" x="233"/>
        <item sd="0" m="1" x="154"/>
        <item m="1" x="221"/>
        <item sd="0" m="1" x="131"/>
        <item sd="0" m="1" x="177"/>
        <item sd="0" x="41"/>
        <item sd="0" m="1" x="187"/>
        <item sd="0" x="20"/>
        <item sd="0" x="36"/>
        <item sd="0" x="32"/>
        <item sd="0" x="31"/>
        <item sd="0" m="1" x="215"/>
        <item m="1" x="147"/>
        <item sd="0" x="51"/>
        <item sd="0" m="1" x="205"/>
        <item sd="0" m="1" x="170"/>
        <item sd="0" m="1" x="163"/>
        <item sd="0" m="1" x="135"/>
        <item sd="0" x="0"/>
        <item sd="0" x="26"/>
        <item sd="0" x="19"/>
        <item sd="0" m="1" x="157"/>
        <item sd="0" x="21"/>
        <item sd="0" m="1" x="228"/>
        <item sd="0" x="63"/>
        <item sd="0" x="64"/>
        <item sd="0" m="1" x="119"/>
        <item m="1" x="172"/>
        <item sd="0" x="70"/>
        <item m="1" x="202"/>
        <item m="1" x="134"/>
        <item m="1" x="139"/>
        <item sd="0" m="1" x="124"/>
        <item sd="0" m="1" x="194"/>
        <item sd="0" m="1" x="126"/>
        <item sd="0" m="1" x="121"/>
        <item m="1" x="189"/>
        <item sd="0" m="1" x="231"/>
        <item sd="0" x="82"/>
        <item sd="0" m="1" x="234"/>
        <item sd="0" m="1" x="178"/>
        <item sd="0" m="1" x="150"/>
        <item sd="0" x="98"/>
        <item sd="0" m="1" x="153"/>
        <item sd="0" m="1" x="200"/>
        <item sd="0" m="1" x="158"/>
        <item sd="0" m="1" x="115"/>
        <item sd="0" x="93"/>
        <item sd="0" m="1" x="118"/>
        <item sd="0" m="1" x="117"/>
        <item sd="0" m="1" x="116"/>
        <item m="1" x="120"/>
        <item sd="0" x="104"/>
        <item sd="0" x="96"/>
        <item m="1" x="112"/>
        <item m="1" x="114"/>
        <item sd="0" m="1" x="109"/>
        <item sd="0" x="102"/>
        <item m="1" x="113"/>
        <item x="107"/>
        <item x="105"/>
        <item x="108"/>
        <item x="106"/>
        <item t="default"/>
      </items>
    </pivotField>
    <pivotField axis="axisRow" showAll="0">
      <items count="1071">
        <item sd="0" x="60"/>
        <item sd="0" x="149"/>
        <item sd="0" m="1" x="913"/>
        <item sd="0" m="1" x="1011"/>
        <item sd="0" m="1" x="875"/>
        <item sd="0" x="18"/>
        <item sd="0" x="288"/>
        <item sd="0" m="1" x="1052"/>
        <item sd="0" x="146"/>
        <item sd="0" x="179"/>
        <item sd="0" m="1" x="1049"/>
        <item sd="0" x="623"/>
        <item sd="0" x="100"/>
        <item sd="0" m="1" x="860"/>
        <item sd="0" m="1" x="1015"/>
        <item sd="0" x="137"/>
        <item sd="0" m="1" x="997"/>
        <item sd="0" x="231"/>
        <item sd="0" m="1" x="831"/>
        <item sd="0" m="1" x="1002"/>
        <item sd="0" x="363"/>
        <item sd="0" x="375"/>
        <item sd="0" m="1" x="889"/>
        <item sd="0" x="208"/>
        <item sd="0" x="159"/>
        <item sd="0" x="258"/>
        <item sd="0" x="282"/>
        <item sd="0" x="144"/>
        <item sd="0" x="191"/>
        <item sd="0" x="217"/>
        <item sd="0" x="322"/>
        <item sd="0" x="256"/>
        <item sd="0" x="189"/>
        <item sd="0" m="1" x="952"/>
        <item sd="0" x="325"/>
        <item sd="0" m="1" x="1053"/>
        <item sd="0" m="1" x="950"/>
        <item sd="0" x="630"/>
        <item sd="0" x="223"/>
        <item sd="0" m="1" x="843"/>
        <item sd="0" x="239"/>
        <item sd="0" x="135"/>
        <item sd="0" x="140"/>
        <item sd="0" m="1" x="1026"/>
        <item sd="0" m="1" x="956"/>
        <item sd="0" x="219"/>
        <item sd="0" x="562"/>
        <item sd="0" x="93"/>
        <item sd="0" m="1" x="1023"/>
        <item sd="0" x="222"/>
        <item sd="0" m="1" x="856"/>
        <item sd="0" x="337"/>
        <item sd="0" x="207"/>
        <item sd="0" x="184"/>
        <item sd="0" x="152"/>
        <item sd="0" m="1" x="1036"/>
        <item sd="0" x="40"/>
        <item sd="0" x="281"/>
        <item sd="0" x="170"/>
        <item sd="0" x="317"/>
        <item sd="0" x="358"/>
        <item sd="0" x="214"/>
        <item sd="0" x="370"/>
        <item sd="0" x="279"/>
        <item sd="0" x="156"/>
        <item sd="0" x="700"/>
        <item sd="0" x="253"/>
        <item sd="0" m="1" x="1012"/>
        <item sd="0" m="1" x="822"/>
        <item sd="0" x="365"/>
        <item sd="0" m="1" x="874"/>
        <item sd="0" m="1" x="839"/>
        <item sd="0" x="259"/>
        <item sd="0" x="252"/>
        <item sd="0" m="1" x="955"/>
        <item sd="0" x="12"/>
        <item sd="0" x="352"/>
        <item sd="0" x="218"/>
        <item sd="0" x="224"/>
        <item sd="0" x="63"/>
        <item sd="0" x="8"/>
        <item sd="0" x="102"/>
        <item sd="0" m="1" x="861"/>
        <item sd="0" m="1" x="1055"/>
        <item sd="0" x="319"/>
        <item sd="0" m="1" x="866"/>
        <item sd="0" m="1" x="1066"/>
        <item sd="0" x="386"/>
        <item sd="0" x="31"/>
        <item sd="0" x="55"/>
        <item sd="0" x="227"/>
        <item sd="0" x="356"/>
        <item sd="0" x="161"/>
        <item sd="0" x="153"/>
        <item sd="0" m="1" x="940"/>
        <item sd="0" x="133"/>
        <item sd="0" m="1" x="847"/>
        <item sd="0" m="1" x="840"/>
        <item sd="0" m="1" x="1041"/>
        <item sd="0" x="46"/>
        <item sd="0" x="374"/>
        <item sd="0" m="1" x="849"/>
        <item sd="0" x="270"/>
        <item sd="0" m="1" x="930"/>
        <item sd="0" m="1" x="895"/>
        <item sd="0" m="1" x="931"/>
        <item sd="0" m="1" x="911"/>
        <item sd="0" m="1" x="1022"/>
        <item sd="0" m="1" x="965"/>
        <item sd="0" m="1" x="927"/>
        <item sd="0" x="366"/>
        <item sd="0" x="318"/>
        <item sd="0" m="1" x="888"/>
        <item sd="0" x="273"/>
        <item sd="0" m="1" x="987"/>
        <item sd="0" x="201"/>
        <item sd="0" m="1" x="915"/>
        <item sd="0" x="160"/>
        <item sd="0" m="1" x="1019"/>
        <item sd="0" m="1" x="979"/>
        <item sd="0" m="1" x="873"/>
        <item sd="0" x="277"/>
        <item sd="0" m="1" x="973"/>
        <item sd="0" x="225"/>
        <item sd="0" m="1" x="845"/>
        <item sd="0" m="1" x="848"/>
        <item sd="0" m="1" x="859"/>
        <item sd="0" x="292"/>
        <item sd="0" x="15"/>
        <item sd="0" m="1" x="886"/>
        <item sd="0" m="1" x="901"/>
        <item sd="0" x="0"/>
        <item sd="0" x="232"/>
        <item sd="0" x="213"/>
        <item sd="0" m="1" x="1021"/>
        <item sd="0" x="316"/>
        <item sd="0" m="1" x="830"/>
        <item sd="0" x="291"/>
        <item sd="0" x="333"/>
        <item sd="0" x="339"/>
        <item sd="0" x="275"/>
        <item sd="0" m="1" x="862"/>
        <item sd="0" x="174"/>
        <item sd="0" x="171"/>
        <item sd="0" x="233"/>
        <item sd="0" x="78"/>
        <item sd="0" m="1" x="921"/>
        <item sd="0" x="236"/>
        <item sd="0" x="58"/>
        <item sd="0" x="240"/>
        <item sd="0" m="1" x="855"/>
        <item sd="0" x="182"/>
        <item sd="0" x="307"/>
        <item sd="0" x="782"/>
        <item sd="0" x="290"/>
        <item sd="0" m="1" x="947"/>
        <item sd="0" m="1" x="1008"/>
        <item sd="0" x="132"/>
        <item sd="0" x="56"/>
        <item sd="0" x="126"/>
        <item sd="0" x="22"/>
        <item sd="0" x="187"/>
        <item sd="0" m="1" x="836"/>
        <item sd="0" m="1" x="1039"/>
        <item sd="0" m="1" x="842"/>
        <item sd="0" x="11"/>
        <item sd="0" x="353"/>
        <item sd="0" m="1" x="926"/>
        <item sd="0" x="124"/>
        <item sd="0" m="1" x="1069"/>
        <item sd="0" x="77"/>
        <item sd="0" m="1" x="951"/>
        <item sd="0" x="92"/>
        <item sd="0" x="35"/>
        <item sd="0" x="196"/>
        <item sd="0" m="1" x="1048"/>
        <item sd="0" x="1"/>
        <item sd="0" x="180"/>
        <item sd="0" x="285"/>
        <item sd="0" m="1" x="968"/>
        <item sd="0" x="42"/>
        <item sd="0" m="1" x="989"/>
        <item sd="0" m="1" x="959"/>
        <item sd="0" m="1" x="976"/>
        <item sd="0" m="1" x="909"/>
        <item sd="0" x="84"/>
        <item sd="0" x="106"/>
        <item sd="0" m="1" x="821"/>
        <item sd="0" x="336"/>
        <item sd="0" m="1" x="982"/>
        <item sd="0" m="1" x="823"/>
        <item sd="0" m="1" x="818"/>
        <item sd="0" m="1" x="969"/>
        <item sd="0" m="1" x="851"/>
        <item sd="0" m="1" x="999"/>
        <item sd="0" m="1" x="852"/>
        <item sd="0" x="16"/>
        <item sd="0" m="1" x="978"/>
        <item sd="0" m="1" x="891"/>
        <item sd="0" x="280"/>
        <item sd="0" x="104"/>
        <item sd="0" x="332"/>
        <item sd="0" m="1" x="914"/>
        <item sd="0" x="348"/>
        <item sd="0" x="23"/>
        <item sd="0" x="362"/>
        <item sd="0" x="237"/>
        <item sd="0" x="91"/>
        <item sd="0" x="13"/>
        <item sd="0" x="175"/>
        <item sd="0" x="343"/>
        <item sd="0" m="1" x="1059"/>
        <item sd="0" m="1" x="1034"/>
        <item sd="0" x="87"/>
        <item sd="0" x="690"/>
        <item sd="0" x="33"/>
        <item sd="0" x="19"/>
        <item sd="0" m="1" x="825"/>
        <item sd="0" x="20"/>
        <item sd="0" m="1" x="837"/>
        <item sd="0" x="96"/>
        <item sd="0" m="1" x="1051"/>
        <item sd="0" m="1" x="1028"/>
        <item sd="0" m="1" x="902"/>
        <item sd="0" x="120"/>
        <item sd="0" x="131"/>
        <item sd="0" x="119"/>
        <item sd="0" m="1" x="980"/>
        <item sd="0" m="1" x="971"/>
        <item sd="0" m="1" x="835"/>
        <item sd="0" m="1" x="957"/>
        <item sd="0" x="228"/>
        <item sd="0" x="39"/>
        <item sd="0" x="108"/>
        <item sd="0" x="24"/>
        <item sd="0" x="139"/>
        <item sd="0" m="1" x="1038"/>
        <item sd="0" x="17"/>
        <item sd="0" x="248"/>
        <item sd="0" x="48"/>
        <item sd="0" m="1" x="953"/>
        <item sd="0" m="1" x="1013"/>
        <item sd="0" x="134"/>
        <item sd="0" x="596"/>
        <item sd="0" m="1" x="923"/>
        <item sd="0" x="69"/>
        <item sd="0" x="34"/>
        <item sd="0" x="206"/>
        <item sd="0" m="1" x="1054"/>
        <item sd="0" m="1" x="929"/>
        <item sd="0" m="1" x="948"/>
        <item sd="0" m="1" x="890"/>
        <item sd="0" x="268"/>
        <item sd="0" x="376"/>
        <item sd="0" x="331"/>
        <item sd="0" m="1" x="882"/>
        <item sd="0" x="360"/>
        <item sd="0" m="1" x="1029"/>
        <item sd="0" x="89"/>
        <item sd="0" x="355"/>
        <item sd="0" m="1" x="928"/>
        <item sd="0" x="168"/>
        <item sd="0" m="1" x="826"/>
        <item sd="0" m="1" x="819"/>
        <item sd="0" x="272"/>
        <item sd="0" x="51"/>
        <item sd="0" x="190"/>
        <item sd="0" x="50"/>
        <item sd="0" x="79"/>
        <item sd="0" x="32"/>
        <item sd="0" m="1" x="1016"/>
        <item sd="0" x="188"/>
        <item sd="0" x="110"/>
        <item sd="0" m="1" x="1035"/>
        <item sd="0" m="1" x="1032"/>
        <item sd="0" m="1" x="938"/>
        <item sd="0" m="1" x="884"/>
        <item sd="0" m="1" x="933"/>
        <item sd="0" m="1" x="905"/>
        <item sd="0" x="226"/>
        <item sd="0" x="57"/>
        <item sd="0" m="1" x="936"/>
        <item sd="0" x="340"/>
        <item sd="0" x="265"/>
        <item sd="0" x="294"/>
        <item sd="0" m="1" x="963"/>
        <item sd="0" x="62"/>
        <item sd="0" x="295"/>
        <item sd="0" x="3"/>
        <item sd="0" x="151"/>
        <item sd="0" x="210"/>
        <item sd="0" x="54"/>
        <item sd="0" m="1" x="994"/>
        <item sd="0" m="1" x="977"/>
        <item sd="0" x="323"/>
        <item sd="0" m="1" x="871"/>
        <item sd="0" x="75"/>
        <item sd="0" m="1" x="900"/>
        <item sd="0" x="186"/>
        <item sd="0" x="361"/>
        <item sd="0" x="368"/>
        <item sd="0" x="327"/>
        <item sd="0" x="195"/>
        <item sd="0" m="1" x="967"/>
        <item sd="0" m="1" x="1007"/>
        <item sd="0" x="123"/>
        <item sd="0" m="1" x="897"/>
        <item sd="0" x="194"/>
        <item sd="0" x="121"/>
        <item sd="0" x="53"/>
        <item sd="0" m="1" x="1024"/>
        <item sd="0" x="278"/>
        <item sd="0" x="212"/>
        <item sd="0" m="1" x="1009"/>
        <item sd="0" m="1" x="1000"/>
        <item sd="0" m="1" x="1067"/>
        <item sd="0" m="1" x="853"/>
        <item sd="0" m="1" x="1061"/>
        <item sd="0" x="117"/>
        <item sd="0" x="111"/>
        <item sd="0" x="81"/>
        <item sd="0" x="7"/>
        <item sd="0" x="235"/>
        <item sd="0" x="287"/>
        <item sd="0" m="1" x="998"/>
        <item sd="0" m="1" x="1045"/>
        <item sd="0" x="2"/>
        <item sd="0" m="1" x="1060"/>
        <item sd="0" m="1" x="919"/>
        <item sd="0" x="163"/>
        <item sd="0" m="1" x="992"/>
        <item sd="0" m="1" x="865"/>
        <item sd="0" m="1" x="1068"/>
        <item sd="0" m="1" x="832"/>
        <item sd="0" m="1" x="829"/>
        <item sd="0" x="130"/>
        <item sd="0" x="88"/>
        <item sd="0" m="1" x="1063"/>
        <item sd="0" x="204"/>
        <item sd="0" x="72"/>
        <item sd="0" x="73"/>
        <item sd="0" x="28"/>
        <item sd="0" x="47"/>
        <item sd="0" x="181"/>
        <item sd="0" x="26"/>
        <item sd="0" x="86"/>
        <item sd="0" x="230"/>
        <item sd="0" m="1" x="935"/>
        <item sd="0" m="1" x="918"/>
        <item sd="0" m="1" x="954"/>
        <item sd="0" x="94"/>
        <item sd="0" x="107"/>
        <item sd="0" x="309"/>
        <item sd="0" x="38"/>
        <item sd="0" x="145"/>
        <item sd="0" x="101"/>
        <item sd="0" x="369"/>
        <item sd="0" x="10"/>
        <item sd="0" x="74"/>
        <item sd="0" x="264"/>
        <item sd="0" m="1" x="904"/>
        <item sd="0" x="178"/>
        <item sd="0" x="266"/>
        <item sd="0" x="364"/>
        <item sd="0" x="98"/>
        <item sd="0" x="165"/>
        <item sd="0" x="66"/>
        <item sd="0" x="5"/>
        <item sd="0" m="1" x="878"/>
        <item sd="0" x="359"/>
        <item sd="0" m="1" x="1058"/>
        <item sd="0" x="269"/>
        <item sd="0" x="215"/>
        <item sd="0" x="349"/>
        <item sd="0" x="283"/>
        <item sd="0" x="185"/>
        <item sd="0" x="220"/>
        <item sd="0" m="1" x="1046"/>
        <item sd="0" m="1" x="824"/>
        <item sd="0" x="4"/>
        <item sd="0" x="377"/>
        <item sd="0" x="262"/>
        <item sd="0" x="326"/>
        <item sd="0" x="173"/>
        <item sd="0" x="200"/>
        <item sd="0" m="1" x="863"/>
        <item sd="0" x="345"/>
        <item sd="0" x="30"/>
        <item sd="0" m="1" x="995"/>
        <item sd="0" x="242"/>
        <item sd="0" m="1" x="925"/>
        <item sd="0" m="1" x="833"/>
        <item sd="0" x="243"/>
        <item sd="0" m="1" x="1040"/>
        <item sd="0" m="1" x="1043"/>
        <item sd="0" x="303"/>
        <item sd="0" x="37"/>
        <item sd="0" x="357"/>
        <item sd="0" m="1" x="937"/>
        <item sd="0" m="1" x="988"/>
        <item sd="0" x="115"/>
        <item sd="0" m="1" x="1037"/>
        <item sd="0" m="1" x="844"/>
        <item sd="0" m="1" x="907"/>
        <item sd="0" x="128"/>
        <item sd="0" m="1" x="1044"/>
        <item sd="0" m="1" x="1020"/>
        <item sd="0" x="255"/>
        <item sd="0" x="199"/>
        <item sd="0" x="329"/>
        <item sd="0" x="297"/>
        <item sd="0" x="310"/>
        <item sd="0" x="83"/>
        <item sd="0" m="1" x="944"/>
        <item sd="0" m="1" x="827"/>
        <item sd="0" x="80"/>
        <item sd="0" m="1" x="896"/>
        <item sd="0" m="1" x="1033"/>
        <item sd="0" x="97"/>
        <item sd="0" x="289"/>
        <item sd="0" m="1" x="983"/>
        <item sd="0" x="116"/>
        <item sd="0" x="209"/>
        <item sd="0" x="198"/>
        <item sd="0" x="150"/>
        <item sd="0" x="136"/>
        <item sd="0" m="1" x="924"/>
        <item sd="0" x="109"/>
        <item sd="0" x="524"/>
        <item sd="0" m="1" x="903"/>
        <item sd="0" m="1" x="1004"/>
        <item sd="0" x="284"/>
        <item sd="0" x="296"/>
        <item sd="0" x="211"/>
        <item sd="0" x="45"/>
        <item sd="0" m="1" x="984"/>
        <item sd="0" m="1" x="975"/>
        <item sd="0" x="155"/>
        <item sd="0" m="1" x="1005"/>
        <item sd="0" x="61"/>
        <item sd="0" x="129"/>
        <item sd="0" x="105"/>
        <item sd="0" m="1" x="850"/>
        <item sd="0" x="157"/>
        <item sd="0" x="14"/>
        <item sd="0" x="43"/>
        <item sd="0" x="250"/>
        <item sd="0" x="238"/>
        <item sd="0" x="103"/>
        <item sd="0" x="70"/>
        <item sd="0" x="299"/>
        <item sd="0" x="127"/>
        <item sd="0" m="1" x="820"/>
        <item sd="0" x="193"/>
        <item sd="0" x="147"/>
        <item sd="0" m="1" x="939"/>
        <item sd="0" x="99"/>
        <item sd="0" x="344"/>
        <item sd="0" x="221"/>
        <item sd="0" m="1" x="1057"/>
        <item sd="0" m="1" x="1062"/>
        <item sd="0" x="271"/>
        <item sd="0" x="166"/>
        <item sd="0" x="286"/>
        <item sd="0" x="304"/>
        <item sd="0" m="1" x="932"/>
        <item sd="0" x="138"/>
        <item sd="0" x="41"/>
        <item sd="0" x="229"/>
        <item sd="0" m="1" x="991"/>
        <item sd="0" x="71"/>
        <item sd="0" x="64"/>
        <item sd="0" m="1" x="916"/>
        <item sd="0" m="1" x="910"/>
        <item sd="0" x="540"/>
        <item sd="0" x="44"/>
        <item sd="0" x="114"/>
        <item sd="0" x="52"/>
        <item sd="0" x="142"/>
        <item sd="0" x="82"/>
        <item sd="0" x="245"/>
        <item sd="0" x="314"/>
        <item sd="0" m="1" x="1030"/>
        <item sd="0" m="1" x="1001"/>
        <item sd="0" x="308"/>
        <item sd="0" m="1" x="961"/>
        <item sd="0" m="1" x="1027"/>
        <item sd="0" x="122"/>
        <item sd="0" x="118"/>
        <item sd="0" m="1" x="981"/>
        <item sd="0" x="169"/>
        <item sd="0" x="197"/>
        <item sd="0" x="125"/>
        <item sd="0" x="203"/>
        <item sd="0" x="267"/>
        <item sd="0" x="301"/>
        <item sd="0" x="85"/>
        <item sd="0" x="25"/>
        <item sd="0" x="244"/>
        <item sd="0" x="112"/>
        <item sd="0" x="192"/>
        <item sd="0" x="302"/>
        <item sd="0" x="260"/>
        <item sd="0" x="261"/>
        <item sd="0" m="1" x="966"/>
        <item sd="0" x="328"/>
        <item sd="0" x="350"/>
        <item sd="0" x="254"/>
        <item sd="0" x="320"/>
        <item sd="0" x="241"/>
        <item sd="0" x="158"/>
        <item sd="0" m="1" x="958"/>
        <item sd="0" m="1" x="922"/>
        <item sd="0" m="1" x="1014"/>
        <item sd="0" m="1" x="828"/>
        <item sd="0" m="1" x="880"/>
        <item sd="0" x="143"/>
        <item sd="0" m="1" x="1018"/>
        <item sd="0" x="276"/>
        <item sd="0" x="298"/>
        <item sd="0" x="424"/>
        <item sd="0" x="346"/>
        <item sd="0" x="306"/>
        <item sd="0" m="1" x="1042"/>
        <item sd="0" x="321"/>
        <item sd="0" x="313"/>
        <item sd="0" x="49"/>
        <item sd="0" x="315"/>
        <item sd="0" x="59"/>
        <item sd="0" x="183"/>
        <item sd="0" x="330"/>
        <item sd="0" x="274"/>
        <item sd="0" x="311"/>
        <item sd="0" x="249"/>
        <item sd="0" m="1" x="858"/>
        <item sd="0" m="1" x="962"/>
        <item sd="0" m="1" x="1064"/>
        <item sd="0" m="1" x="917"/>
        <item sd="0" m="1" x="899"/>
        <item sd="0" m="1" x="898"/>
        <item sd="0" x="90"/>
        <item sd="0" x="202"/>
        <item sd="0" x="67"/>
        <item sd="0" m="1" x="993"/>
        <item sd="0" x="65"/>
        <item sd="0" x="247"/>
        <item sd="0" m="1" x="869"/>
        <item sd="0" x="216"/>
        <item sd="0" m="1" x="881"/>
        <item sd="0" x="141"/>
        <item sd="0" x="177"/>
        <item sd="0" x="305"/>
        <item sd="0" m="1" x="877"/>
        <item sd="0" x="347"/>
        <item sd="0" m="1" x="1056"/>
        <item sd="0" m="1" x="942"/>
        <item sd="0" x="293"/>
        <item sd="0" x="148"/>
        <item sd="0" x="354"/>
        <item sd="0" m="1" x="996"/>
        <item sd="0" x="27"/>
        <item sd="0" m="1" x="1006"/>
        <item sd="0" x="68"/>
        <item sd="0" x="6"/>
        <item sd="0" x="263"/>
        <item sd="0" x="154"/>
        <item sd="0" x="164"/>
        <item sd="0" x="172"/>
        <item sd="0" x="205"/>
        <item sd="0" x="351"/>
        <item sd="0" m="1" x="883"/>
        <item sd="0" x="29"/>
        <item sd="0" m="1" x="1050"/>
        <item sd="0" x="9"/>
        <item sd="0" x="335"/>
        <item sd="0" m="1" x="946"/>
        <item sd="0" m="1" x="972"/>
        <item sd="0" m="1" x="912"/>
        <item sd="0" x="234"/>
        <item sd="0" x="162"/>
        <item sd="0" m="1" x="885"/>
        <item sd="0" m="1" x="1017"/>
        <item sd="0" m="1" x="1047"/>
        <item sd="0" m="1" x="1031"/>
        <item sd="0" x="300"/>
        <item sd="0" x="167"/>
        <item sd="0" x="76"/>
        <item sd="0" m="1" x="1010"/>
        <item sd="0" x="342"/>
        <item sd="0" x="341"/>
        <item sd="0" m="1" x="846"/>
        <item sd="0" m="1" x="908"/>
        <item sd="0" m="1" x="985"/>
        <item sd="0" m="1" x="964"/>
        <item sd="0" x="113"/>
        <item sd="0" x="251"/>
        <item sd="0" x="176"/>
        <item sd="0" x="372"/>
        <item sd="0" x="246"/>
        <item sd="0" m="1" x="834"/>
        <item sd="0" x="257"/>
        <item sd="0" x="95"/>
        <item sd="0" x="338"/>
        <item sd="0" x="36"/>
        <item sd="0" m="1" x="887"/>
        <item sd="0" x="21"/>
        <item sd="0" x="378"/>
        <item sd="0" x="381"/>
        <item sd="0" x="382"/>
        <item sd="0" x="379"/>
        <item sd="0" x="383"/>
        <item sd="0" x="380"/>
        <item sd="0" x="384"/>
        <item sd="0" x="385"/>
        <item sd="0" x="387"/>
        <item sd="0" m="1" x="867"/>
        <item sd="0" m="1" x="906"/>
        <item sd="0" x="388"/>
        <item sd="0" m="1" x="838"/>
        <item sd="0" x="389"/>
        <item sd="0" x="390"/>
        <item sd="0" x="391"/>
        <item sd="0" x="392"/>
        <item sd="0" x="393"/>
        <item sd="0" x="394"/>
        <item sd="0" x="396"/>
        <item sd="0" x="397"/>
        <item sd="0" x="398"/>
        <item sd="0" x="395"/>
        <item sd="0" x="373"/>
        <item sd="0" x="399"/>
        <item sd="0" m="1" x="854"/>
        <item sd="0" x="401"/>
        <item sd="0" x="400"/>
        <item sd="0" m="1" x="872"/>
        <item sd="0" x="402"/>
        <item sd="0" x="403"/>
        <item sd="0" x="404"/>
        <item sd="0" x="405"/>
        <item sd="0" x="406"/>
        <item sd="0" x="411"/>
        <item sd="0" m="1" x="93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9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74"/>
        <item sd="0" x="465"/>
        <item sd="0" x="469"/>
        <item sd="0" x="466"/>
        <item sd="0" x="467"/>
        <item sd="0" m="1" x="864"/>
        <item sd="0" x="470"/>
        <item sd="0" m="1" x="841"/>
        <item sd="0" x="472"/>
        <item sd="0" x="475"/>
        <item sd="0" x="476"/>
        <item sd="0" x="371"/>
        <item sd="0" m="1" x="945"/>
        <item sd="0" x="477"/>
        <item sd="0" x="478"/>
        <item sd="0" x="479"/>
        <item sd="0" x="473"/>
        <item sd="0" x="474"/>
        <item sd="0" x="480"/>
        <item sd="0" x="481"/>
        <item sd="0" x="482"/>
        <item sd="0" x="483"/>
        <item sd="0" x="484"/>
        <item sd="0" x="485"/>
        <item sd="0" x="486"/>
        <item sd="0" m="1" x="1003"/>
        <item sd="0" x="488"/>
        <item sd="0" x="489"/>
        <item sd="0" x="487"/>
        <item sd="0" x="492"/>
        <item sd="0" x="491"/>
        <item sd="0" x="312"/>
        <item sd="0" m="1" x="986"/>
        <item sd="0" x="490"/>
        <item sd="0" x="493"/>
        <item sd="0" x="471"/>
        <item sd="0" x="494"/>
        <item sd="0" x="495"/>
        <item sd="0" m="1" x="970"/>
        <item sd="0" x="497"/>
        <item sd="0" x="499"/>
        <item sd="0" x="500"/>
        <item sd="0" x="503"/>
        <item sd="0" m="1" x="943"/>
        <item sd="0" m="1" x="87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70"/>
        <item sd="0" x="547"/>
        <item sd="0" x="548"/>
        <item sd="0" x="549"/>
        <item sd="0" x="543"/>
        <item sd="0" x="544"/>
        <item sd="0" x="546"/>
        <item sd="0" x="550"/>
        <item sd="0" x="551"/>
        <item sd="0" x="545"/>
        <item sd="0" x="556"/>
        <item sd="0" x="557"/>
        <item sd="0" x="558"/>
        <item sd="0" x="559"/>
        <item sd="0" x="552"/>
        <item sd="0" x="553"/>
        <item sd="0" x="554"/>
        <item sd="0" m="1" x="920"/>
        <item sd="0" x="431"/>
        <item sd="0" x="555"/>
        <item sd="0" x="560"/>
        <item sd="0" x="561"/>
        <item sd="0" x="563"/>
        <item sd="0" x="564"/>
        <item sd="0" x="565"/>
        <item sd="0" m="1" x="1025"/>
        <item sd="0" x="566"/>
        <item sd="0" x="567"/>
        <item sd="0" x="571"/>
        <item sd="0" x="572"/>
        <item sd="0" x="573"/>
        <item sd="0" x="574"/>
        <item sd="0" x="568"/>
        <item sd="0" x="569"/>
        <item sd="0" x="575"/>
        <item sd="0" x="570"/>
        <item sd="0" m="1" x="94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9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6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15"/>
        <item x="683"/>
        <item x="687"/>
        <item x="689"/>
        <item x="685"/>
        <item x="686"/>
        <item x="691"/>
        <item x="684"/>
        <item x="692"/>
        <item x="693"/>
        <item x="694"/>
        <item x="695"/>
        <item x="696"/>
        <item m="1" x="868"/>
        <item x="698"/>
        <item x="699"/>
        <item x="697"/>
        <item x="701"/>
        <item x="702"/>
        <item m="1" x="990"/>
        <item x="705"/>
        <item m="1" x="816"/>
        <item x="703"/>
        <item x="704"/>
        <item x="706"/>
        <item x="707"/>
        <item x="720"/>
        <item x="708"/>
        <item x="709"/>
        <item x="710"/>
        <item x="711"/>
        <item x="712"/>
        <item x="713"/>
        <item x="714"/>
        <item x="715"/>
        <item x="716"/>
        <item x="717"/>
        <item x="718"/>
        <item x="719"/>
        <item x="721"/>
        <item x="722"/>
        <item x="723"/>
        <item x="724"/>
        <item x="725"/>
        <item m="1" x="893"/>
        <item x="726"/>
        <item x="727"/>
        <item x="730"/>
        <item m="1" x="1065"/>
        <item m="1" x="857"/>
        <item x="731"/>
        <item x="728"/>
        <item x="334"/>
        <item x="729"/>
        <item x="732"/>
        <item x="733"/>
        <item x="734"/>
        <item x="735"/>
        <item x="736"/>
        <item x="737"/>
        <item x="738"/>
        <item x="794"/>
        <item x="739"/>
        <item x="740"/>
        <item x="741"/>
        <item x="742"/>
        <item x="787"/>
        <item x="743"/>
        <item x="744"/>
        <item x="745"/>
        <item x="746"/>
        <item x="747"/>
        <item x="748"/>
        <item m="1" x="876"/>
        <item x="749"/>
        <item x="756"/>
        <item x="750"/>
        <item x="751"/>
        <item m="1" x="949"/>
        <item x="752"/>
        <item x="753"/>
        <item x="754"/>
        <item x="755"/>
        <item x="757"/>
        <item x="594"/>
        <item x="758"/>
        <item x="759"/>
        <item x="760"/>
        <item x="761"/>
        <item x="762"/>
        <item x="763"/>
        <item x="764"/>
        <item x="765"/>
        <item x="766"/>
        <item x="767"/>
        <item x="768"/>
        <item m="1" x="81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4"/>
        <item x="813"/>
        <item t="default" sd="0"/>
      </items>
    </pivotField>
    <pivotField axis="axisPage" showAll="0">
      <items count="98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795"/>
        <item x="9796"/>
        <item x="9797"/>
        <item x="9731"/>
        <item x="9798"/>
        <item x="9801"/>
        <item x="9802"/>
        <item x="9687"/>
        <item x="9688"/>
        <item x="9752"/>
        <item x="9755"/>
        <item x="9756"/>
        <item x="9757"/>
        <item x="9758"/>
        <item x="9759"/>
        <item x="9803"/>
        <item x="9760"/>
        <item x="9761"/>
        <item x="9762"/>
        <item x="9763"/>
        <item x="9764"/>
        <item x="9765"/>
        <item x="9766"/>
        <item x="9804"/>
        <item x="9805"/>
        <item x="9806"/>
        <item x="9799"/>
        <item x="9749"/>
        <item x="9750"/>
        <item x="9767"/>
        <item x="9768"/>
        <item x="9769"/>
        <item x="9770"/>
        <item x="9771"/>
        <item x="9772"/>
        <item x="9773"/>
        <item x="9774"/>
        <item x="9775"/>
        <item x="9776"/>
        <item x="9777"/>
        <item x="9778"/>
        <item x="9779"/>
        <item x="9780"/>
        <item x="9800"/>
        <item x="9781"/>
        <item x="9782"/>
        <item x="9689"/>
        <item x="9690"/>
        <item x="9783"/>
        <item x="9784"/>
        <item x="9785"/>
        <item x="9786"/>
        <item x="9787"/>
        <item x="9788"/>
        <item x="9789"/>
        <item x="9790"/>
        <item x="9791"/>
        <item x="9792"/>
        <item x="9793"/>
        <item x="9794"/>
        <item x="9807"/>
        <item t="default"/>
      </items>
    </pivotField>
    <pivotField dataField="1" showAll="0"/>
    <pivotField dataField="1" showAll="0"/>
    <pivotField dataField="1" showAll="0"/>
    <pivotField axis="axisPage" multipleItemSelectionAllowed="1"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1"/>
    <field x="2"/>
  </rowFields>
  <rowItems count="117">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2"/>
    </i>
    <i>
      <x v="53"/>
    </i>
    <i>
      <x v="54"/>
    </i>
    <i>
      <x v="55"/>
    </i>
    <i>
      <x v="56"/>
    </i>
    <i>
      <x v="57"/>
    </i>
    <i>
      <x v="58"/>
    </i>
    <i>
      <x v="59"/>
    </i>
    <i>
      <x v="60"/>
    </i>
    <i>
      <x v="61"/>
    </i>
    <i>
      <x v="62"/>
    </i>
    <i>
      <x v="63"/>
    </i>
    <i>
      <x v="64"/>
    </i>
    <i>
      <x v="66"/>
    </i>
    <i>
      <x v="68"/>
    </i>
    <i>
      <x v="69"/>
    </i>
    <i>
      <x v="70"/>
    </i>
    <i>
      <x v="71"/>
    </i>
    <i>
      <x v="72"/>
    </i>
    <i>
      <x v="73"/>
    </i>
    <i>
      <x v="74"/>
    </i>
    <i>
      <x v="75"/>
    </i>
    <i>
      <x v="76"/>
    </i>
    <i>
      <x v="83"/>
    </i>
    <i>
      <x v="96"/>
    </i>
    <i>
      <x v="100"/>
    </i>
    <i>
      <x v="102"/>
    </i>
    <i>
      <x v="115"/>
    </i>
    <i>
      <x v="117"/>
    </i>
    <i>
      <x v="131"/>
    </i>
    <i>
      <x v="133"/>
    </i>
    <i>
      <x v="135"/>
    </i>
    <i>
      <x v="138"/>
    </i>
    <i>
      <x v="140"/>
    </i>
    <i>
      <x v="151"/>
    </i>
    <i>
      <x v="157"/>
    </i>
    <i>
      <x v="169"/>
    </i>
    <i>
      <x v="181"/>
    </i>
    <i>
      <x v="183"/>
    </i>
    <i>
      <x v="184"/>
    </i>
    <i>
      <x v="185"/>
    </i>
    <i>
      <x v="186"/>
    </i>
    <i>
      <x v="189"/>
    </i>
    <i>
      <x v="194"/>
    </i>
    <i>
      <x v="195"/>
    </i>
    <i>
      <x v="196"/>
    </i>
    <i>
      <x v="198"/>
    </i>
    <i>
      <x v="200"/>
    </i>
    <i>
      <x v="201"/>
    </i>
    <i>
      <x v="204"/>
    </i>
    <i>
      <x v="214"/>
    </i>
    <i>
      <x v="218"/>
    </i>
    <i>
      <x v="223"/>
    </i>
    <i>
      <x v="228"/>
    </i>
    <i>
      <x v="229"/>
    </i>
    <i>
      <x v="233"/>
    </i>
    <i>
      <x v="235"/>
    </i>
    <i r="1">
      <x v="700"/>
    </i>
    <i>
      <x v="236"/>
    </i>
    <i r="1">
      <x v="178"/>
    </i>
    <i r="1">
      <x v="311"/>
    </i>
    <i r="1">
      <x v="716"/>
    </i>
    <i r="1">
      <x v="1015"/>
    </i>
    <i>
      <x v="237"/>
    </i>
    <i r="1">
      <x v="1068"/>
    </i>
    <i>
      <x v="238"/>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7">
    <format dxfId="682">
      <pivotArea type="all" dataOnly="0" outline="0" fieldPosition="0"/>
    </format>
    <format dxfId="681">
      <pivotArea outline="0" collapsedLevelsAreSubtotals="1" fieldPosition="0"/>
    </format>
    <format dxfId="680">
      <pivotArea dataOnly="0" labelOnly="1" outline="0" fieldPosition="0">
        <references count="1">
          <reference field="4294967294" count="3">
            <x v="0"/>
            <x v="1"/>
            <x v="2"/>
          </reference>
        </references>
      </pivotArea>
    </format>
    <format dxfId="679">
      <pivotArea type="all" dataOnly="0" outline="0" fieldPosition="0"/>
    </format>
    <format dxfId="678">
      <pivotArea outline="0" collapsedLevelsAreSubtotals="1" fieldPosition="0"/>
    </format>
    <format dxfId="677">
      <pivotArea field="1" type="button" dataOnly="0" labelOnly="1" outline="0" axis="axisRow" fieldPosition="0"/>
    </format>
    <format dxfId="676">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75">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74">
      <pivotArea dataOnly="0" labelOnly="1" grandRow="1" outline="0"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outline="0" collapsedLevelsAreSubtotals="1" fieldPosition="0"/>
    </format>
    <format dxfId="670">
      <pivotArea field="1" type="button" dataOnly="0" labelOnly="1" outline="0" axis="axisRow" fieldPosition="0"/>
    </format>
    <format dxfId="669">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68">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67">
      <pivotArea dataOnly="0" labelOnly="1" grandRow="1" outline="0" fieldPosition="0"/>
    </format>
    <format dxfId="666">
      <pivotArea dataOnly="0" labelOnly="1" outline="0" fieldPosition="0">
        <references count="1">
          <reference field="4294967294" count="3">
            <x v="0"/>
            <x v="1"/>
            <x v="2"/>
          </reference>
        </references>
      </pivotArea>
    </format>
    <format dxfId="665">
      <pivotArea type="all" dataOnly="0" outline="0" fieldPosition="0"/>
    </format>
    <format dxfId="664">
      <pivotArea field="1" type="button" dataOnly="0" labelOnly="1" outline="0" axis="axisRow" fieldPosition="0"/>
    </format>
    <format dxfId="663">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62">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61">
      <pivotArea dataOnly="0" labelOnly="1" outline="0" fieldPosition="0">
        <references count="1">
          <reference field="4294967294" count="3">
            <x v="0"/>
            <x v="1"/>
            <x v="2"/>
          </reference>
        </references>
      </pivotArea>
    </format>
    <format dxfId="660">
      <pivotArea dataOnly="0" labelOnly="1" outline="0" fieldPosition="0">
        <references count="1">
          <reference field="4294967294" count="1">
            <x v="2"/>
          </reference>
        </references>
      </pivotArea>
    </format>
    <format dxfId="659">
      <pivotArea dataOnly="0" labelOnly="1" outline="0" fieldPosition="0">
        <references count="1">
          <reference field="4294967294" count="1">
            <x v="2"/>
          </reference>
        </references>
      </pivotArea>
    </format>
    <format dxfId="658">
      <pivotArea dataOnly="0" labelOnly="1" outline="0" fieldPosition="0">
        <references count="1">
          <reference field="4294967294" count="2">
            <x v="0"/>
            <x v="1"/>
          </reference>
        </references>
      </pivotArea>
    </format>
    <format dxfId="657">
      <pivotArea dataOnly="0" labelOnly="1" outline="0" fieldPosition="0">
        <references count="1">
          <reference field="4294967294" count="2">
            <x v="0"/>
            <x v="1"/>
          </reference>
        </references>
      </pivotArea>
    </format>
    <format dxfId="656">
      <pivotArea dataOnly="0" labelOnly="1" outline="0" fieldPosition="0">
        <references count="1">
          <reference field="4294967294" count="2">
            <x v="0"/>
            <x v="1"/>
          </reference>
        </references>
      </pivotArea>
    </format>
    <format dxfId="655">
      <pivotArea dataOnly="0" labelOnly="1" outline="0" fieldPosition="0">
        <references count="1">
          <reference field="4294967294" count="2">
            <x v="0"/>
            <x v="1"/>
          </reference>
        </references>
      </pivotArea>
    </format>
    <format dxfId="654">
      <pivotArea field="1" type="button" dataOnly="0" labelOnly="1" outline="0" axis="axisRow" fieldPosition="0"/>
    </format>
    <format dxfId="653">
      <pivotArea field="1" type="button" dataOnly="0" labelOnly="1" outline="0" axis="axisRow" fieldPosition="0"/>
    </format>
    <format dxfId="652">
      <pivotArea field="1" type="button" dataOnly="0" labelOnly="1" outline="0" axis="axisRow" fieldPosition="0"/>
    </format>
    <format dxfId="651">
      <pivotArea dataOnly="0" labelOnly="1" outline="0" fieldPosition="0">
        <references count="1">
          <reference field="4294967294" count="3">
            <x v="0"/>
            <x v="1"/>
            <x v="2"/>
          </reference>
        </references>
      </pivotArea>
    </format>
    <format dxfId="650">
      <pivotArea field="1" type="button" dataOnly="0" labelOnly="1" outline="0" axis="axisRow" fieldPosition="0"/>
    </format>
    <format dxfId="649">
      <pivotArea dataOnly="0" labelOnly="1" outline="0" fieldPosition="0">
        <references count="1">
          <reference field="4294967294" count="3">
            <x v="0"/>
            <x v="1"/>
            <x v="2"/>
          </reference>
        </references>
      </pivotArea>
    </format>
    <format dxfId="648">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47">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46">
      <pivotArea collapsedLevelsAreSubtotals="1" fieldPosition="0">
        <references count="1">
          <reference field="1" count="1">
            <x v="103"/>
          </reference>
        </references>
      </pivotArea>
    </format>
    <format dxfId="645">
      <pivotArea collapsedLevelsAreSubtotals="1" fieldPosition="0">
        <references count="1">
          <reference field="1" count="1">
            <x v="104"/>
          </reference>
        </references>
      </pivotArea>
    </format>
    <format dxfId="644">
      <pivotArea collapsedLevelsAreSubtotals="1" fieldPosition="0">
        <references count="1">
          <reference field="1" count="1">
            <x v="105"/>
          </reference>
        </references>
      </pivotArea>
    </format>
    <format dxfId="643">
      <pivotArea collapsedLevelsAreSubtotals="1" fieldPosition="0">
        <references count="1">
          <reference field="1" count="1">
            <x v="106"/>
          </reference>
        </references>
      </pivotArea>
    </format>
    <format dxfId="642">
      <pivotArea collapsedLevelsAreSubtotals="1" fieldPosition="0">
        <references count="1">
          <reference field="1" count="1">
            <x v="107"/>
          </reference>
        </references>
      </pivotArea>
    </format>
    <format dxfId="641">
      <pivotArea collapsedLevelsAreSubtotals="1" fieldPosition="0">
        <references count="1">
          <reference field="1" count="1">
            <x v="108"/>
          </reference>
        </references>
      </pivotArea>
    </format>
    <format dxfId="640">
      <pivotArea collapsedLevelsAreSubtotals="1" fieldPosition="0">
        <references count="1">
          <reference field="1" count="1">
            <x v="109"/>
          </reference>
        </references>
      </pivotArea>
    </format>
    <format dxfId="639">
      <pivotArea collapsedLevelsAreSubtotals="1" fieldPosition="0">
        <references count="1">
          <reference field="1" count="1">
            <x v="110"/>
          </reference>
        </references>
      </pivotArea>
    </format>
    <format dxfId="638">
      <pivotArea collapsedLevelsAreSubtotals="1" fieldPosition="0">
        <references count="1">
          <reference field="1" count="1">
            <x v="111"/>
          </reference>
        </references>
      </pivotArea>
    </format>
    <format dxfId="637">
      <pivotArea collapsedLevelsAreSubtotals="1" fieldPosition="0">
        <references count="1">
          <reference field="1" count="1">
            <x v="112"/>
          </reference>
        </references>
      </pivotArea>
    </format>
    <format dxfId="636">
      <pivotArea collapsedLevelsAreSubtotals="1" fieldPosition="0">
        <references count="1">
          <reference field="1" count="1">
            <x v="113"/>
          </reference>
        </references>
      </pivotArea>
    </format>
    <format dxfId="635">
      <pivotArea collapsedLevelsAreSubtotals="1" fieldPosition="0">
        <references count="1">
          <reference field="1" count="1">
            <x v="114"/>
          </reference>
        </references>
      </pivotArea>
    </format>
    <format dxfId="634">
      <pivotArea collapsedLevelsAreSubtotals="1" fieldPosition="0">
        <references count="1">
          <reference field="1" count="1">
            <x v="115"/>
          </reference>
        </references>
      </pivotArea>
    </format>
    <format dxfId="633">
      <pivotArea collapsedLevelsAreSubtotals="1" fieldPosition="0">
        <references count="1">
          <reference field="1" count="1">
            <x v="116"/>
          </reference>
        </references>
      </pivotArea>
    </format>
    <format dxfId="632">
      <pivotArea collapsedLevelsAreSubtotals="1" fieldPosition="0">
        <references count="1">
          <reference field="1" count="1">
            <x v="117"/>
          </reference>
        </references>
      </pivotArea>
    </format>
    <format dxfId="631">
      <pivotArea collapsedLevelsAreSubtotals="1" fieldPosition="0">
        <references count="1">
          <reference field="1" count="1">
            <x v="118"/>
          </reference>
        </references>
      </pivotArea>
    </format>
    <format dxfId="630">
      <pivotArea collapsedLevelsAreSubtotals="1" fieldPosition="0">
        <references count="1">
          <reference field="1" count="1">
            <x v="119"/>
          </reference>
        </references>
      </pivotArea>
    </format>
    <format dxfId="629">
      <pivotArea collapsedLevelsAreSubtotals="1" fieldPosition="0">
        <references count="1">
          <reference field="1" count="1">
            <x v="120"/>
          </reference>
        </references>
      </pivotArea>
    </format>
    <format dxfId="628">
      <pivotArea collapsedLevelsAreSubtotals="1" fieldPosition="0">
        <references count="1">
          <reference field="1" count="1">
            <x v="121"/>
          </reference>
        </references>
      </pivotArea>
    </format>
    <format dxfId="627">
      <pivotArea collapsedLevelsAreSubtotals="1" fieldPosition="0">
        <references count="1">
          <reference field="1" count="1">
            <x v="122"/>
          </reference>
        </references>
      </pivotArea>
    </format>
    <format dxfId="626">
      <pivotArea collapsedLevelsAreSubtotals="1" fieldPosition="0">
        <references count="1">
          <reference field="1" count="1">
            <x v="123"/>
          </reference>
        </references>
      </pivotArea>
    </format>
    <format dxfId="625">
      <pivotArea collapsedLevelsAreSubtotals="1" fieldPosition="0">
        <references count="1">
          <reference field="1" count="1">
            <x v="124"/>
          </reference>
        </references>
      </pivotArea>
    </format>
    <format dxfId="624">
      <pivotArea collapsedLevelsAreSubtotals="1" fieldPosition="0">
        <references count="1">
          <reference field="1" count="1">
            <x v="125"/>
          </reference>
        </references>
      </pivotArea>
    </format>
    <format dxfId="623">
      <pivotArea collapsedLevelsAreSubtotals="1" fieldPosition="0">
        <references count="1">
          <reference field="1" count="1">
            <x v="126"/>
          </reference>
        </references>
      </pivotArea>
    </format>
    <format dxfId="622">
      <pivotArea collapsedLevelsAreSubtotals="1" fieldPosition="0">
        <references count="1">
          <reference field="1" count="1">
            <x v="127"/>
          </reference>
        </references>
      </pivotArea>
    </format>
    <format dxfId="621">
      <pivotArea collapsedLevelsAreSubtotals="1" fieldPosition="0">
        <references count="1">
          <reference field="1" count="1">
            <x v="128"/>
          </reference>
        </references>
      </pivotArea>
    </format>
    <format dxfId="620">
      <pivotArea collapsedLevelsAreSubtotals="1" fieldPosition="0">
        <references count="1">
          <reference field="1" count="1">
            <x v="129"/>
          </reference>
        </references>
      </pivotArea>
    </format>
    <format dxfId="619">
      <pivotArea collapsedLevelsAreSubtotals="1" fieldPosition="0">
        <references count="1">
          <reference field="1" count="1">
            <x v="130"/>
          </reference>
        </references>
      </pivotArea>
    </format>
    <format dxfId="618">
      <pivotArea collapsedLevelsAreSubtotals="1" fieldPosition="0">
        <references count="1">
          <reference field="1" count="1">
            <x v="131"/>
          </reference>
        </references>
      </pivotArea>
    </format>
    <format dxfId="617">
      <pivotArea collapsedLevelsAreSubtotals="1" fieldPosition="0">
        <references count="1">
          <reference field="1" count="1">
            <x v="132"/>
          </reference>
        </references>
      </pivotArea>
    </format>
    <format dxfId="616">
      <pivotArea collapsedLevelsAreSubtotals="1" fieldPosition="0">
        <references count="1">
          <reference field="1" count="1">
            <x v="133"/>
          </reference>
        </references>
      </pivotArea>
    </format>
    <format dxfId="615">
      <pivotArea collapsedLevelsAreSubtotals="1" fieldPosition="0">
        <references count="1">
          <reference field="1" count="1">
            <x v="134"/>
          </reference>
        </references>
      </pivotArea>
    </format>
    <format dxfId="614">
      <pivotArea collapsedLevelsAreSubtotals="1" fieldPosition="0">
        <references count="1">
          <reference field="1" count="1">
            <x v="135"/>
          </reference>
        </references>
      </pivotArea>
    </format>
    <format dxfId="613">
      <pivotArea collapsedLevelsAreSubtotals="1" fieldPosition="0">
        <references count="1">
          <reference field="1" count="1">
            <x v="136"/>
          </reference>
        </references>
      </pivotArea>
    </format>
    <format dxfId="612">
      <pivotArea collapsedLevelsAreSubtotals="1" fieldPosition="0">
        <references count="1">
          <reference field="1" count="1">
            <x v="137"/>
          </reference>
        </references>
      </pivotArea>
    </format>
    <format dxfId="611">
      <pivotArea collapsedLevelsAreSubtotals="1" fieldPosition="0">
        <references count="1">
          <reference field="1" count="1">
            <x v="138"/>
          </reference>
        </references>
      </pivotArea>
    </format>
    <format dxfId="610">
      <pivotArea collapsedLevelsAreSubtotals="1" fieldPosition="0">
        <references count="1">
          <reference field="1" count="1">
            <x v="48"/>
          </reference>
        </references>
      </pivotArea>
    </format>
    <format dxfId="609">
      <pivotArea collapsedLevelsAreSubtotals="1" fieldPosition="0">
        <references count="1">
          <reference field="1" count="1">
            <x v="139"/>
          </reference>
        </references>
      </pivotArea>
    </format>
    <format dxfId="608">
      <pivotArea collapsedLevelsAreSubtotals="1" fieldPosition="0">
        <references count="1">
          <reference field="1" count="1">
            <x v="140"/>
          </reference>
        </references>
      </pivotArea>
    </format>
    <format dxfId="607">
      <pivotArea collapsedLevelsAreSubtotals="1" fieldPosition="0">
        <references count="1">
          <reference field="1" count="1">
            <x v="141"/>
          </reference>
        </references>
      </pivotArea>
    </format>
    <format dxfId="606">
      <pivotArea collapsedLevelsAreSubtotals="1" fieldPosition="0">
        <references count="1">
          <reference field="1" count="1">
            <x v="142"/>
          </reference>
        </references>
      </pivotArea>
    </format>
    <format dxfId="605">
      <pivotArea collapsedLevelsAreSubtotals="1" fieldPosition="0">
        <references count="1">
          <reference field="1" count="1">
            <x v="143"/>
          </reference>
        </references>
      </pivotArea>
    </format>
    <format dxfId="604">
      <pivotArea collapsedLevelsAreSubtotals="1" fieldPosition="0">
        <references count="1">
          <reference field="1" count="1">
            <x v="144"/>
          </reference>
        </references>
      </pivotArea>
    </format>
    <format dxfId="603">
      <pivotArea collapsedLevelsAreSubtotals="1" fieldPosition="0">
        <references count="1">
          <reference field="1" count="1">
            <x v="145"/>
          </reference>
        </references>
      </pivotArea>
    </format>
    <format dxfId="602">
      <pivotArea collapsedLevelsAreSubtotals="1" fieldPosition="0">
        <references count="1">
          <reference field="1" count="1">
            <x v="146"/>
          </reference>
        </references>
      </pivotArea>
    </format>
    <format dxfId="601">
      <pivotArea collapsedLevelsAreSubtotals="1" fieldPosition="0">
        <references count="1">
          <reference field="1" count="1">
            <x v="147"/>
          </reference>
        </references>
      </pivotArea>
    </format>
    <format dxfId="600">
      <pivotArea collapsedLevelsAreSubtotals="1" fieldPosition="0">
        <references count="1">
          <reference field="1" count="1">
            <x v="148"/>
          </reference>
        </references>
      </pivotArea>
    </format>
    <format dxfId="599">
      <pivotArea collapsedLevelsAreSubtotals="1" fieldPosition="0">
        <references count="1">
          <reference field="1" count="1">
            <x v="149"/>
          </reference>
        </references>
      </pivotArea>
    </format>
    <format dxfId="598">
      <pivotArea collapsedLevelsAreSubtotals="1" fieldPosition="0">
        <references count="1">
          <reference field="1" count="1">
            <x v="150"/>
          </reference>
        </references>
      </pivotArea>
    </format>
    <format dxfId="597">
      <pivotArea collapsedLevelsAreSubtotals="1" fieldPosition="0">
        <references count="1">
          <reference field="1" count="1">
            <x v="151"/>
          </reference>
        </references>
      </pivotArea>
    </format>
    <format dxfId="596">
      <pivotArea collapsedLevelsAreSubtotals="1" fieldPosition="0">
        <references count="1">
          <reference field="1" count="1">
            <x v="152"/>
          </reference>
        </references>
      </pivotArea>
    </format>
    <format dxfId="595">
      <pivotArea collapsedLevelsAreSubtotals="1" fieldPosition="0">
        <references count="1">
          <reference field="1" count="1">
            <x v="153"/>
          </reference>
        </references>
      </pivotArea>
    </format>
    <format dxfId="594">
      <pivotArea collapsedLevelsAreSubtotals="1" fieldPosition="0">
        <references count="1">
          <reference field="1" count="1">
            <x v="154"/>
          </reference>
        </references>
      </pivotArea>
    </format>
    <format dxfId="593">
      <pivotArea collapsedLevelsAreSubtotals="1" fieldPosition="0">
        <references count="1">
          <reference field="1" count="1">
            <x v="155"/>
          </reference>
        </references>
      </pivotArea>
    </format>
    <format dxfId="592">
      <pivotArea collapsedLevelsAreSubtotals="1" fieldPosition="0">
        <references count="1">
          <reference field="1" count="1">
            <x v="156"/>
          </reference>
        </references>
      </pivotArea>
    </format>
    <format dxfId="591">
      <pivotArea dataOnly="0" labelOnly="1" fieldPosition="0">
        <references count="1">
          <reference field="1" count="50">
            <x v="48"/>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590">
      <pivotArea dataOnly="0" labelOnly="1" fieldPosition="0">
        <references count="1">
          <reference field="1" count="5">
            <x v="152"/>
            <x v="153"/>
            <x v="154"/>
            <x v="155"/>
            <x v="156"/>
          </reference>
        </references>
      </pivotArea>
    </format>
    <format dxfId="589">
      <pivotArea dataOnly="0" labelOnly="1" outline="0" fieldPosition="0">
        <references count="1">
          <reference field="4294967294" count="1">
            <x v="2"/>
          </reference>
        </references>
      </pivotArea>
    </format>
    <format dxfId="588">
      <pivotArea dataOnly="0" labelOnly="1" fieldPosition="0">
        <references count="1">
          <reference field="1" count="7">
            <x v="157"/>
            <x v="158"/>
            <x v="159"/>
            <x v="160"/>
            <x v="161"/>
            <x v="162"/>
            <x v="164"/>
          </reference>
        </references>
      </pivotArea>
    </format>
    <format dxfId="587">
      <pivotArea dataOnly="0" labelOnly="1" fieldPosition="0">
        <references count="1">
          <reference field="1" count="7">
            <x v="157"/>
            <x v="158"/>
            <x v="159"/>
            <x v="160"/>
            <x v="161"/>
            <x v="162"/>
            <x v="164"/>
          </reference>
        </references>
      </pivotArea>
    </format>
    <format dxfId="586">
      <pivotArea collapsedLevelsAreSubtotals="1" fieldPosition="0">
        <references count="1">
          <reference field="1" count="1">
            <x v="157"/>
          </reference>
        </references>
      </pivotArea>
    </format>
    <format dxfId="585">
      <pivotArea collapsedLevelsAreSubtotals="1" fieldPosition="0">
        <references count="1">
          <reference field="1" count="1">
            <x v="158"/>
          </reference>
        </references>
      </pivotArea>
    </format>
    <format dxfId="584">
      <pivotArea collapsedLevelsAreSubtotals="1" fieldPosition="0">
        <references count="1">
          <reference field="1" count="1">
            <x v="159"/>
          </reference>
        </references>
      </pivotArea>
    </format>
    <format dxfId="583">
      <pivotArea collapsedLevelsAreSubtotals="1" fieldPosition="0">
        <references count="1">
          <reference field="1" count="1">
            <x v="160"/>
          </reference>
        </references>
      </pivotArea>
    </format>
    <format dxfId="582">
      <pivotArea collapsedLevelsAreSubtotals="1" fieldPosition="0">
        <references count="1">
          <reference field="1" count="1">
            <x v="161"/>
          </reference>
        </references>
      </pivotArea>
    </format>
    <format dxfId="581">
      <pivotArea collapsedLevelsAreSubtotals="1" fieldPosition="0">
        <references count="1">
          <reference field="1" count="1">
            <x v="162"/>
          </reference>
        </references>
      </pivotArea>
    </format>
    <format dxfId="580">
      <pivotArea collapsedLevelsAreSubtotals="1" fieldPosition="0">
        <references count="1">
          <reference field="1" count="1">
            <x v="164"/>
          </reference>
        </references>
      </pivotArea>
    </format>
    <format dxfId="579">
      <pivotArea dataOnly="0" labelOnly="1" fieldPosition="0">
        <references count="1">
          <reference field="1" count="4">
            <x v="58"/>
            <x v="59"/>
            <x v="194"/>
            <x v="196"/>
          </reference>
        </references>
      </pivotArea>
    </format>
    <format dxfId="578">
      <pivotArea dataOnly="0" labelOnly="1" fieldPosition="0">
        <references count="1">
          <reference field="1" count="3">
            <x v="55"/>
            <x v="56"/>
            <x v="70"/>
          </reference>
        </references>
      </pivotArea>
    </format>
    <format dxfId="577">
      <pivotArea collapsedLevelsAreSubtotals="1" fieldPosition="0">
        <references count="1">
          <reference field="1" count="1">
            <x v="192"/>
          </reference>
        </references>
      </pivotArea>
    </format>
    <format dxfId="576">
      <pivotArea collapsedLevelsAreSubtotals="1" fieldPosition="0">
        <references count="1">
          <reference field="1" count="1">
            <x v="191"/>
          </reference>
        </references>
      </pivotArea>
    </format>
    <format dxfId="575">
      <pivotArea collapsedLevelsAreSubtotals="1" fieldPosition="0">
        <references count="1">
          <reference field="1" count="1">
            <x v="75"/>
          </reference>
        </references>
      </pivotArea>
    </format>
    <format dxfId="574">
      <pivotArea collapsedLevelsAreSubtotals="1" fieldPosition="0">
        <references count="1">
          <reference field="1" count="1">
            <x v="76"/>
          </reference>
        </references>
      </pivotArea>
    </format>
    <format dxfId="573">
      <pivotArea collapsedLevelsAreSubtotals="1" fieldPosition="0">
        <references count="1">
          <reference field="1" count="1">
            <x v="77"/>
          </reference>
        </references>
      </pivotArea>
    </format>
    <format dxfId="572">
      <pivotArea collapsedLevelsAreSubtotals="1" fieldPosition="0">
        <references count="1">
          <reference field="1" count="1">
            <x v="78"/>
          </reference>
        </references>
      </pivotArea>
    </format>
    <format dxfId="571">
      <pivotArea collapsedLevelsAreSubtotals="1" fieldPosition="0">
        <references count="1">
          <reference field="1" count="1">
            <x v="79"/>
          </reference>
        </references>
      </pivotArea>
    </format>
    <format dxfId="570">
      <pivotArea collapsedLevelsAreSubtotals="1" fieldPosition="0">
        <references count="1">
          <reference field="1" count="1">
            <x v="80"/>
          </reference>
        </references>
      </pivotArea>
    </format>
    <format dxfId="569">
      <pivotArea collapsedLevelsAreSubtotals="1" fieldPosition="0">
        <references count="1">
          <reference field="1" count="1">
            <x v="81"/>
          </reference>
        </references>
      </pivotArea>
    </format>
    <format dxfId="568">
      <pivotArea collapsedLevelsAreSubtotals="1" fieldPosition="0">
        <references count="1">
          <reference field="1" count="1">
            <x v="82"/>
          </reference>
        </references>
      </pivotArea>
    </format>
    <format dxfId="567">
      <pivotArea collapsedLevelsAreSubtotals="1" fieldPosition="0">
        <references count="1">
          <reference field="1" count="1">
            <x v="83"/>
          </reference>
        </references>
      </pivotArea>
    </format>
    <format dxfId="566">
      <pivotArea collapsedLevelsAreSubtotals="1" fieldPosition="0">
        <references count="1">
          <reference field="1" count="1">
            <x v="84"/>
          </reference>
        </references>
      </pivotArea>
    </format>
    <format dxfId="565">
      <pivotArea collapsedLevelsAreSubtotals="1" fieldPosition="0">
        <references count="1">
          <reference field="1" count="1">
            <x v="85"/>
          </reference>
        </references>
      </pivotArea>
    </format>
    <format dxfId="564">
      <pivotArea collapsedLevelsAreSubtotals="1" fieldPosition="0">
        <references count="1">
          <reference field="1" count="1">
            <x v="86"/>
          </reference>
        </references>
      </pivotArea>
    </format>
    <format dxfId="563">
      <pivotArea collapsedLevelsAreSubtotals="1" fieldPosition="0">
        <references count="1">
          <reference field="1" count="1">
            <x v="87"/>
          </reference>
        </references>
      </pivotArea>
    </format>
    <format dxfId="562">
      <pivotArea collapsedLevelsAreSubtotals="1" fieldPosition="0">
        <references count="1">
          <reference field="1" count="1">
            <x v="88"/>
          </reference>
        </references>
      </pivotArea>
    </format>
    <format dxfId="561">
      <pivotArea collapsedLevelsAreSubtotals="1" fieldPosition="0">
        <references count="1">
          <reference field="1" count="1">
            <x v="89"/>
          </reference>
        </references>
      </pivotArea>
    </format>
    <format dxfId="560">
      <pivotArea collapsedLevelsAreSubtotals="1" fieldPosition="0">
        <references count="1">
          <reference field="1" count="1">
            <x v="90"/>
          </reference>
        </references>
      </pivotArea>
    </format>
    <format dxfId="559">
      <pivotArea collapsedLevelsAreSubtotals="1" fieldPosition="0">
        <references count="1">
          <reference field="1" count="1">
            <x v="91"/>
          </reference>
        </references>
      </pivotArea>
    </format>
    <format dxfId="558">
      <pivotArea collapsedLevelsAreSubtotals="1" fieldPosition="0">
        <references count="1">
          <reference field="1" count="1">
            <x v="92"/>
          </reference>
        </references>
      </pivotArea>
    </format>
    <format dxfId="557">
      <pivotArea collapsedLevelsAreSubtotals="1" fieldPosition="0">
        <references count="1">
          <reference field="1" count="1">
            <x v="93"/>
          </reference>
        </references>
      </pivotArea>
    </format>
    <format dxfId="556">
      <pivotArea collapsedLevelsAreSubtotals="1" fieldPosition="0">
        <references count="1">
          <reference field="1" count="1">
            <x v="94"/>
          </reference>
        </references>
      </pivotArea>
    </format>
    <format dxfId="555">
      <pivotArea collapsedLevelsAreSubtotals="1" fieldPosition="0">
        <references count="1">
          <reference field="1" count="1">
            <x v="95"/>
          </reference>
        </references>
      </pivotArea>
    </format>
    <format dxfId="554">
      <pivotArea collapsedLevelsAreSubtotals="1" fieldPosition="0">
        <references count="1">
          <reference field="1" count="1">
            <x v="96"/>
          </reference>
        </references>
      </pivotArea>
    </format>
    <format dxfId="553">
      <pivotArea collapsedLevelsAreSubtotals="1" fieldPosition="0">
        <references count="1">
          <reference field="1" count="1">
            <x v="97"/>
          </reference>
        </references>
      </pivotArea>
    </format>
    <format dxfId="552">
      <pivotArea collapsedLevelsAreSubtotals="1" fieldPosition="0">
        <references count="1">
          <reference field="1" count="1">
            <x v="98"/>
          </reference>
        </references>
      </pivotArea>
    </format>
    <format dxfId="551">
      <pivotArea collapsedLevelsAreSubtotals="1" fieldPosition="0">
        <references count="1">
          <reference field="1" count="1">
            <x v="99"/>
          </reference>
        </references>
      </pivotArea>
    </format>
    <format dxfId="550">
      <pivotArea collapsedLevelsAreSubtotals="1" fieldPosition="0">
        <references count="1">
          <reference field="1" count="1">
            <x v="100"/>
          </reference>
        </references>
      </pivotArea>
    </format>
    <format dxfId="549">
      <pivotArea collapsedLevelsAreSubtotals="1" fieldPosition="0">
        <references count="1">
          <reference field="1" count="1">
            <x v="101"/>
          </reference>
        </references>
      </pivotArea>
    </format>
    <format dxfId="548">
      <pivotArea collapsedLevelsAreSubtotals="1" fieldPosition="0">
        <references count="1">
          <reference field="1" count="1">
            <x v="102"/>
          </reference>
        </references>
      </pivotArea>
    </format>
    <format dxfId="547">
      <pivotArea dataOnly="0" labelOnly="1" fieldPosition="0">
        <references count="1">
          <reference field="1" count="30">
            <x v="75"/>
            <x v="76"/>
            <x v="77"/>
            <x v="78"/>
            <x v="79"/>
            <x v="80"/>
            <x v="81"/>
            <x v="82"/>
            <x v="83"/>
            <x v="84"/>
            <x v="85"/>
            <x v="86"/>
            <x v="87"/>
            <x v="88"/>
            <x v="89"/>
            <x v="90"/>
            <x v="91"/>
            <x v="92"/>
            <x v="93"/>
            <x v="94"/>
            <x v="95"/>
            <x v="96"/>
            <x v="97"/>
            <x v="98"/>
            <x v="99"/>
            <x v="100"/>
            <x v="101"/>
            <x v="102"/>
            <x v="191"/>
            <x v="192"/>
          </reference>
        </references>
      </pivotArea>
    </format>
    <format dxfId="546">
      <pivotArea collapsedLevelsAreSubtotals="1" fieldPosition="0">
        <references count="2">
          <reference field="4294967294" count="2" selected="0">
            <x v="0"/>
            <x v="1"/>
          </reference>
          <reference field="1" count="1">
            <x v="165"/>
          </reference>
        </references>
      </pivotArea>
    </format>
    <format dxfId="545">
      <pivotArea collapsedLevelsAreSubtotals="1" fieldPosition="0">
        <references count="2">
          <reference field="4294967294" count="2" selected="0">
            <x v="0"/>
            <x v="1"/>
          </reference>
          <reference field="1" count="1">
            <x v="166"/>
          </reference>
        </references>
      </pivotArea>
    </format>
    <format dxfId="544">
      <pivotArea collapsedLevelsAreSubtotals="1" fieldPosition="0">
        <references count="2">
          <reference field="4294967294" count="2" selected="0">
            <x v="0"/>
            <x v="1"/>
          </reference>
          <reference field="1" count="1">
            <x v="169"/>
          </reference>
        </references>
      </pivotArea>
    </format>
    <format dxfId="543">
      <pivotArea collapsedLevelsAreSubtotals="1" fieldPosition="0">
        <references count="2">
          <reference field="4294967294" count="2" selected="0">
            <x v="0"/>
            <x v="1"/>
          </reference>
          <reference field="1" count="1">
            <x v="170"/>
          </reference>
        </references>
      </pivotArea>
    </format>
    <format dxfId="542">
      <pivotArea collapsedLevelsAreSubtotals="1" fieldPosition="0">
        <references count="2">
          <reference field="4294967294" count="2" selected="0">
            <x v="0"/>
            <x v="1"/>
          </reference>
          <reference field="1" count="1">
            <x v="171"/>
          </reference>
        </references>
      </pivotArea>
    </format>
    <format dxfId="541">
      <pivotArea collapsedLevelsAreSubtotals="1" fieldPosition="0">
        <references count="2">
          <reference field="4294967294" count="2" selected="0">
            <x v="0"/>
            <x v="1"/>
          </reference>
          <reference field="1" count="1">
            <x v="172"/>
          </reference>
        </references>
      </pivotArea>
    </format>
    <format dxfId="540">
      <pivotArea collapsedLevelsAreSubtotals="1" fieldPosition="0">
        <references count="2">
          <reference field="4294967294" count="2" selected="0">
            <x v="0"/>
            <x v="1"/>
          </reference>
          <reference field="1" count="1">
            <x v="173"/>
          </reference>
        </references>
      </pivotArea>
    </format>
    <format dxfId="539">
      <pivotArea collapsedLevelsAreSubtotals="1" fieldPosition="0">
        <references count="2">
          <reference field="4294967294" count="2" selected="0">
            <x v="0"/>
            <x v="1"/>
          </reference>
          <reference field="1" count="1">
            <x v="176"/>
          </reference>
        </references>
      </pivotArea>
    </format>
    <format dxfId="538">
      <pivotArea dataOnly="0" labelOnly="1" fieldPosition="0">
        <references count="1">
          <reference field="1" count="8">
            <x v="165"/>
            <x v="166"/>
            <x v="169"/>
            <x v="170"/>
            <x v="171"/>
            <x v="172"/>
            <x v="173"/>
            <x v="176"/>
          </reference>
        </references>
      </pivotArea>
    </format>
    <format dxfId="537">
      <pivotArea collapsedLevelsAreSubtotals="1" fieldPosition="0">
        <references count="2">
          <reference field="4294967294" count="1" selected="0">
            <x v="2"/>
          </reference>
          <reference field="1" count="1">
            <x v="165"/>
          </reference>
        </references>
      </pivotArea>
    </format>
    <format dxfId="536">
      <pivotArea collapsedLevelsAreSubtotals="1" fieldPosition="0">
        <references count="2">
          <reference field="4294967294" count="1" selected="0">
            <x v="2"/>
          </reference>
          <reference field="1" count="1">
            <x v="166"/>
          </reference>
        </references>
      </pivotArea>
    </format>
    <format dxfId="535">
      <pivotArea collapsedLevelsAreSubtotals="1" fieldPosition="0">
        <references count="2">
          <reference field="4294967294" count="1" selected="0">
            <x v="2"/>
          </reference>
          <reference field="1" count="1">
            <x v="169"/>
          </reference>
        </references>
      </pivotArea>
    </format>
    <format dxfId="534">
      <pivotArea collapsedLevelsAreSubtotals="1" fieldPosition="0">
        <references count="2">
          <reference field="4294967294" count="1" selected="0">
            <x v="2"/>
          </reference>
          <reference field="1" count="1">
            <x v="170"/>
          </reference>
        </references>
      </pivotArea>
    </format>
    <format dxfId="533">
      <pivotArea collapsedLevelsAreSubtotals="1" fieldPosition="0">
        <references count="2">
          <reference field="4294967294" count="1" selected="0">
            <x v="2"/>
          </reference>
          <reference field="1" count="1">
            <x v="171"/>
          </reference>
        </references>
      </pivotArea>
    </format>
    <format dxfId="532">
      <pivotArea collapsedLevelsAreSubtotals="1" fieldPosition="0">
        <references count="2">
          <reference field="4294967294" count="1" selected="0">
            <x v="2"/>
          </reference>
          <reference field="1" count="1">
            <x v="172"/>
          </reference>
        </references>
      </pivotArea>
    </format>
    <format dxfId="531">
      <pivotArea collapsedLevelsAreSubtotals="1" fieldPosition="0">
        <references count="2">
          <reference field="4294967294" count="1" selected="0">
            <x v="2"/>
          </reference>
          <reference field="1" count="1">
            <x v="173"/>
          </reference>
        </references>
      </pivotArea>
    </format>
    <format dxfId="530">
      <pivotArea collapsedLevelsAreSubtotals="1" fieldPosition="0">
        <references count="2">
          <reference field="4294967294" count="1" selected="0">
            <x v="2"/>
          </reference>
          <reference field="1" count="1">
            <x v="176"/>
          </reference>
        </references>
      </pivotArea>
    </format>
    <format dxfId="529">
      <pivotArea dataOnly="0" labelOnly="1" fieldPosition="0">
        <references count="1">
          <reference field="1" count="3">
            <x v="58"/>
            <x v="59"/>
            <x v="70"/>
          </reference>
        </references>
      </pivotArea>
    </format>
    <format dxfId="528">
      <pivotArea dataOnly="0" labelOnly="1" fieldPosition="0">
        <references count="1">
          <reference field="1" count="8">
            <x v="165"/>
            <x v="166"/>
            <x v="169"/>
            <x v="170"/>
            <x v="171"/>
            <x v="172"/>
            <x v="173"/>
            <x v="176"/>
          </reference>
        </references>
      </pivotArea>
    </format>
    <format dxfId="527">
      <pivotArea collapsedLevelsAreSubtotals="1" fieldPosition="0">
        <references count="1">
          <reference field="1" count="1">
            <x v="181"/>
          </reference>
        </references>
      </pivotArea>
    </format>
    <format dxfId="526">
      <pivotArea dataOnly="0" labelOnly="1" fieldPosition="0">
        <references count="1">
          <reference field="1" count="1">
            <x v="181"/>
          </reference>
        </references>
      </pivotArea>
    </format>
    <format dxfId="525">
      <pivotArea collapsedLevelsAreSubtotals="1" fieldPosition="0">
        <references count="1">
          <reference field="1" count="1">
            <x v="181"/>
          </reference>
        </references>
      </pivotArea>
    </format>
    <format dxfId="524">
      <pivotArea collapsedLevelsAreSubtotals="1" fieldPosition="0">
        <references count="1">
          <reference field="1" count="1">
            <x v="182"/>
          </reference>
        </references>
      </pivotArea>
    </format>
    <format dxfId="523">
      <pivotArea collapsedLevelsAreSubtotals="1" fieldPosition="0">
        <references count="1">
          <reference field="1" count="1">
            <x v="182"/>
          </reference>
        </references>
      </pivotArea>
    </format>
    <format dxfId="522">
      <pivotArea collapsedLevelsAreSubtotals="1" fieldPosition="0">
        <references count="1">
          <reference field="1" count="1">
            <x v="182"/>
          </reference>
        </references>
      </pivotArea>
    </format>
    <format dxfId="521">
      <pivotArea collapsedLevelsAreSubtotals="1" fieldPosition="0">
        <references count="1">
          <reference field="1" count="1">
            <x v="182"/>
          </reference>
        </references>
      </pivotArea>
    </format>
    <format dxfId="520">
      <pivotArea collapsedLevelsAreSubtotals="1" fieldPosition="0">
        <references count="1">
          <reference field="1" count="1">
            <x v="182"/>
          </reference>
        </references>
      </pivotArea>
    </format>
    <format dxfId="519">
      <pivotArea collapsedLevelsAreSubtotals="1" fieldPosition="0">
        <references count="1">
          <reference field="1" count="1">
            <x v="182"/>
          </reference>
        </references>
      </pivotArea>
    </format>
    <format dxfId="518">
      <pivotArea collapsedLevelsAreSubtotals="1" fieldPosition="0">
        <references count="1">
          <reference field="1" count="1">
            <x v="197"/>
          </reference>
        </references>
      </pivotArea>
    </format>
    <format dxfId="517">
      <pivotArea collapsedLevelsAreSubtotals="1" fieldPosition="0">
        <references count="1">
          <reference field="1" count="1">
            <x v="74"/>
          </reference>
        </references>
      </pivotArea>
    </format>
    <format dxfId="516">
      <pivotArea collapsedLevelsAreSubtotals="1" fieldPosition="0">
        <references count="1">
          <reference field="1" count="1">
            <x v="195"/>
          </reference>
        </references>
      </pivotArea>
    </format>
    <format dxfId="515">
      <pivotArea collapsedLevelsAreSubtotals="1" fieldPosition="0">
        <references count="1">
          <reference field="1" count="1">
            <x v="194"/>
          </reference>
        </references>
      </pivotArea>
    </format>
    <format dxfId="514">
      <pivotArea collapsedLevelsAreSubtotals="1" fieldPosition="0">
        <references count="1">
          <reference field="1" count="1">
            <x v="196"/>
          </reference>
        </references>
      </pivotArea>
    </format>
    <format dxfId="513">
      <pivotArea collapsedLevelsAreSubtotals="1" fieldPosition="0">
        <references count="1">
          <reference field="1" count="1">
            <x v="193"/>
          </reference>
        </references>
      </pivotArea>
    </format>
    <format dxfId="512">
      <pivotArea collapsedLevelsAreSubtotals="1" fieldPosition="0">
        <references count="1">
          <reference field="1" count="1">
            <x v="198"/>
          </reference>
        </references>
      </pivotArea>
    </format>
    <format dxfId="511">
      <pivotArea collapsedLevelsAreSubtotals="1" fieldPosition="0">
        <references count="1">
          <reference field="1" count="1">
            <x v="190"/>
          </reference>
        </references>
      </pivotArea>
    </format>
    <format dxfId="510">
      <pivotArea dataOnly="0" labelOnly="1" fieldPosition="0">
        <references count="1">
          <reference field="1" count="8">
            <x v="74"/>
            <x v="190"/>
            <x v="193"/>
            <x v="194"/>
            <x v="195"/>
            <x v="196"/>
            <x v="197"/>
            <x v="198"/>
          </reference>
        </references>
      </pivotArea>
    </format>
    <format dxfId="509">
      <pivotArea collapsedLevelsAreSubtotals="1" fieldPosition="0">
        <references count="1">
          <reference field="1" count="1">
            <x v="197"/>
          </reference>
        </references>
      </pivotArea>
    </format>
    <format dxfId="508">
      <pivotArea collapsedLevelsAreSubtotals="1" fieldPosition="0">
        <references count="1">
          <reference field="1" count="1">
            <x v="74"/>
          </reference>
        </references>
      </pivotArea>
    </format>
    <format dxfId="507">
      <pivotArea collapsedLevelsAreSubtotals="1" fieldPosition="0">
        <references count="1">
          <reference field="1" count="1">
            <x v="195"/>
          </reference>
        </references>
      </pivotArea>
    </format>
    <format dxfId="506">
      <pivotArea collapsedLevelsAreSubtotals="1" fieldPosition="0">
        <references count="1">
          <reference field="1" count="1">
            <x v="194"/>
          </reference>
        </references>
      </pivotArea>
    </format>
    <format dxfId="505">
      <pivotArea collapsedLevelsAreSubtotals="1" fieldPosition="0">
        <references count="1">
          <reference field="1" count="1">
            <x v="196"/>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98"/>
          </reference>
        </references>
      </pivotArea>
    </format>
    <format dxfId="502">
      <pivotArea collapsedLevelsAreSubtotals="1" fieldPosition="0">
        <references count="1">
          <reference field="1" count="1">
            <x v="190"/>
          </reference>
        </references>
      </pivotArea>
    </format>
    <format dxfId="501">
      <pivotArea dataOnly="0" labelOnly="1" fieldPosition="0">
        <references count="1">
          <reference field="1" count="8">
            <x v="74"/>
            <x v="190"/>
            <x v="193"/>
            <x v="194"/>
            <x v="195"/>
            <x v="196"/>
            <x v="197"/>
            <x v="198"/>
          </reference>
        </references>
      </pivotArea>
    </format>
    <format dxfId="500">
      <pivotArea collapsedLevelsAreSubtotals="1" fieldPosition="0">
        <references count="1">
          <reference field="1" count="1">
            <x v="197"/>
          </reference>
        </references>
      </pivotArea>
    </format>
    <format dxfId="499">
      <pivotArea collapsedLevelsAreSubtotals="1" fieldPosition="0">
        <references count="1">
          <reference field="1" count="1">
            <x v="74"/>
          </reference>
        </references>
      </pivotArea>
    </format>
    <format dxfId="498">
      <pivotArea collapsedLevelsAreSubtotals="1" fieldPosition="0">
        <references count="1">
          <reference field="1" count="1">
            <x v="195"/>
          </reference>
        </references>
      </pivotArea>
    </format>
    <format dxfId="497">
      <pivotArea collapsedLevelsAreSubtotals="1" fieldPosition="0">
        <references count="1">
          <reference field="1" count="1">
            <x v="194"/>
          </reference>
        </references>
      </pivotArea>
    </format>
    <format dxfId="496">
      <pivotArea collapsedLevelsAreSubtotals="1" fieldPosition="0">
        <references count="1">
          <reference field="1" count="1">
            <x v="196"/>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98"/>
          </reference>
        </references>
      </pivotArea>
    </format>
    <format dxfId="493">
      <pivotArea collapsedLevelsAreSubtotals="1" fieldPosition="0">
        <references count="1">
          <reference field="1" count="1">
            <x v="190"/>
          </reference>
        </references>
      </pivotArea>
    </format>
    <format dxfId="492">
      <pivotArea dataOnly="0" labelOnly="1" fieldPosition="0">
        <references count="1">
          <reference field="1" count="8">
            <x v="74"/>
            <x v="190"/>
            <x v="193"/>
            <x v="194"/>
            <x v="195"/>
            <x v="196"/>
            <x v="197"/>
            <x v="198"/>
          </reference>
        </references>
      </pivotArea>
    </format>
    <format dxfId="491">
      <pivotArea collapsedLevelsAreSubtotals="1" fieldPosition="0">
        <references count="1">
          <reference field="1" count="1">
            <x v="182"/>
          </reference>
        </references>
      </pivotArea>
    </format>
    <format dxfId="490">
      <pivotArea collapsedLevelsAreSubtotals="1" fieldPosition="0">
        <references count="1">
          <reference field="1" count="1">
            <x v="183"/>
          </reference>
        </references>
      </pivotArea>
    </format>
    <format dxfId="489">
      <pivotArea collapsedLevelsAreSubtotals="1" fieldPosition="0">
        <references count="1">
          <reference field="1" count="1">
            <x v="184"/>
          </reference>
        </references>
      </pivotArea>
    </format>
    <format dxfId="488">
      <pivotArea collapsedLevelsAreSubtotals="1" fieldPosition="0">
        <references count="1">
          <reference field="1" count="1">
            <x v="182"/>
          </reference>
        </references>
      </pivotArea>
    </format>
    <format dxfId="487">
      <pivotArea collapsedLevelsAreSubtotals="1" fieldPosition="0">
        <references count="1">
          <reference field="1" count="1">
            <x v="182"/>
          </reference>
        </references>
      </pivotArea>
    </format>
    <format dxfId="486">
      <pivotArea collapsedLevelsAreSubtotals="1" fieldPosition="0">
        <references count="1">
          <reference field="1" count="1">
            <x v="182"/>
          </reference>
        </references>
      </pivotArea>
    </format>
    <format dxfId="485">
      <pivotArea collapsedLevelsAreSubtotals="1" fieldPosition="0">
        <references count="1">
          <reference field="1" count="1">
            <x v="182"/>
          </reference>
        </references>
      </pivotArea>
    </format>
    <format dxfId="484">
      <pivotArea collapsedLevelsAreSubtotals="1" fieldPosition="0">
        <references count="1">
          <reference field="1" count="1">
            <x v="183"/>
          </reference>
        </references>
      </pivotArea>
    </format>
    <format dxfId="483">
      <pivotArea collapsedLevelsAreSubtotals="1" fieldPosition="0">
        <references count="1">
          <reference field="1" count="1">
            <x v="184"/>
          </reference>
        </references>
      </pivotArea>
    </format>
    <format dxfId="482">
      <pivotArea collapsedLevelsAreSubtotals="1" fieldPosition="0">
        <references count="1">
          <reference field="1" count="1">
            <x v="185"/>
          </reference>
        </references>
      </pivotArea>
    </format>
    <format dxfId="481">
      <pivotArea collapsedLevelsAreSubtotals="1" fieldPosition="0">
        <references count="1">
          <reference field="1" count="1">
            <x v="186"/>
          </reference>
        </references>
      </pivotArea>
    </format>
    <format dxfId="480">
      <pivotArea dataOnly="0" labelOnly="1" fieldPosition="0">
        <references count="1">
          <reference field="1" count="17">
            <x v="46"/>
            <x v="47"/>
            <x v="52"/>
            <x v="53"/>
            <x v="54"/>
            <x v="55"/>
            <x v="56"/>
            <x v="57"/>
            <x v="58"/>
            <x v="59"/>
            <x v="60"/>
            <x v="61"/>
            <x v="62"/>
            <x v="63"/>
            <x v="64"/>
            <x v="66"/>
            <x v="68"/>
          </reference>
        </references>
      </pivotArea>
    </format>
    <format dxfId="479">
      <pivotArea outline="0" collapsedLevelsAreSubtotals="1" fieldPosition="0"/>
    </format>
    <format dxfId="478">
      <pivotArea dataOnly="0" labelOnly="1" fieldPosition="0">
        <references count="1">
          <reference field="1" count="21">
            <x v="40"/>
            <x v="42"/>
            <x v="43"/>
            <x v="49"/>
            <x v="51"/>
            <x v="55"/>
            <x v="56"/>
            <x v="58"/>
            <x v="59"/>
            <x v="60"/>
            <x v="61"/>
            <x v="62"/>
            <x v="63"/>
            <x v="64"/>
            <x v="66"/>
            <x v="69"/>
            <x v="75"/>
            <x v="117"/>
            <x v="131"/>
            <x v="133"/>
            <x v="140"/>
          </reference>
        </references>
      </pivotArea>
    </format>
    <format dxfId="477">
      <pivotArea outline="0" collapsedLevelsAreSubtotals="1" fieldPosition="0"/>
    </format>
    <format dxfId="476">
      <pivotArea type="all" dataOnly="0" outline="0" fieldPosition="0"/>
    </format>
    <format dxfId="475">
      <pivotArea outline="0" collapsedLevelsAreSubtotals="1" fieldPosition="0"/>
    </format>
    <format dxfId="474">
      <pivotArea field="1" type="button" dataOnly="0" labelOnly="1" outline="0" axis="axisRow" fieldPosition="0"/>
    </format>
    <format dxfId="473">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472">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71">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470">
      <pivotArea dataOnly="0" labelOnly="1" grandRow="1" outline="0" fieldPosition="0"/>
    </format>
    <format dxfId="469">
      <pivotArea dataOnly="0" labelOnly="1" fieldPosition="0">
        <references count="2">
          <reference field="1" count="1" selected="0">
            <x v="41"/>
          </reference>
          <reference field="2" count="7">
            <x v="311"/>
            <x v="326"/>
            <x v="415"/>
            <x v="418"/>
            <x v="446"/>
            <x v="648"/>
            <x v="788"/>
          </reference>
        </references>
      </pivotArea>
    </format>
    <format dxfId="468">
      <pivotArea dataOnly="0" labelOnly="1" outline="0" fieldPosition="0">
        <references count="1">
          <reference field="4294967294" count="3">
            <x v="0"/>
            <x v="1"/>
            <x v="2"/>
          </reference>
        </references>
      </pivotArea>
    </format>
    <format dxfId="467">
      <pivotArea type="all" dataOnly="0" outline="0" fieldPosition="0"/>
    </format>
    <format dxfId="466">
      <pivotArea outline="0" collapsedLevelsAreSubtotals="1" fieldPosition="0"/>
    </format>
    <format dxfId="465">
      <pivotArea field="1" type="button" dataOnly="0" labelOnly="1" outline="0" axis="axisRow" fieldPosition="0"/>
    </format>
    <format dxfId="464">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463">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62">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461">
      <pivotArea dataOnly="0" labelOnly="1" grandRow="1" outline="0" fieldPosition="0"/>
    </format>
    <format dxfId="460">
      <pivotArea dataOnly="0" labelOnly="1" fieldPosition="0">
        <references count="2">
          <reference field="1" count="1" selected="0">
            <x v="41"/>
          </reference>
          <reference field="2" count="7">
            <x v="311"/>
            <x v="326"/>
            <x v="415"/>
            <x v="418"/>
            <x v="446"/>
            <x v="648"/>
            <x v="788"/>
          </reference>
        </references>
      </pivotArea>
    </format>
    <format dxfId="459">
      <pivotArea dataOnly="0" labelOnly="1" outline="0" fieldPosition="0">
        <references count="1">
          <reference field="4294967294" count="3">
            <x v="0"/>
            <x v="1"/>
            <x v="2"/>
          </reference>
        </references>
      </pivotArea>
    </format>
    <format dxfId="458">
      <pivotArea dataOnly="0" labelOnly="1" fieldPosition="0">
        <references count="1">
          <reference field="1" count="50">
            <x v="11"/>
            <x v="40"/>
            <x v="41"/>
            <x v="42"/>
            <x v="43"/>
            <x v="44"/>
            <x v="45"/>
            <x v="46"/>
            <x v="47"/>
            <x v="49"/>
            <x v="50"/>
            <x v="51"/>
            <x v="52"/>
            <x v="53"/>
            <x v="54"/>
            <x v="55"/>
            <x v="56"/>
            <x v="57"/>
            <x v="58"/>
            <x v="59"/>
            <x v="60"/>
            <x v="61"/>
            <x v="62"/>
            <x v="63"/>
            <x v="64"/>
            <x v="66"/>
            <x v="68"/>
            <x v="69"/>
            <x v="70"/>
            <x v="71"/>
            <x v="72"/>
            <x v="73"/>
            <x v="74"/>
            <x v="75"/>
            <x v="76"/>
            <x v="77"/>
            <x v="78"/>
            <x v="79"/>
            <x v="80"/>
            <x v="81"/>
            <x v="82"/>
            <x v="190"/>
            <x v="191"/>
            <x v="192"/>
            <x v="193"/>
            <x v="194"/>
            <x v="195"/>
            <x v="196"/>
            <x v="197"/>
            <x v="198"/>
          </reference>
        </references>
      </pivotArea>
    </format>
    <format dxfId="457">
      <pivotArea dataOnly="0" labelOnly="1" fieldPosition="0">
        <references count="1">
          <reference field="1" count="50">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reference>
        </references>
      </pivotArea>
    </format>
    <format dxfId="456">
      <pivotArea dataOnly="0" labelOnly="1" fieldPosition="0">
        <references count="1">
          <reference field="1" count="46">
            <x v="48"/>
            <x v="133"/>
            <x v="134"/>
            <x v="135"/>
            <x v="136"/>
            <x v="137"/>
            <x v="138"/>
            <x v="139"/>
            <x v="140"/>
            <x v="141"/>
            <x v="142"/>
            <x v="143"/>
            <x v="144"/>
            <x v="145"/>
            <x v="146"/>
            <x v="147"/>
            <x v="148"/>
            <x v="149"/>
            <x v="150"/>
            <x v="151"/>
            <x v="152"/>
            <x v="153"/>
            <x v="154"/>
            <x v="155"/>
            <x v="156"/>
            <x v="157"/>
            <x v="158"/>
            <x v="160"/>
            <x v="161"/>
            <x v="162"/>
            <x v="164"/>
            <x v="165"/>
            <x v="166"/>
            <x v="169"/>
            <x v="170"/>
            <x v="171"/>
            <x v="172"/>
            <x v="173"/>
            <x v="176"/>
            <x v="181"/>
            <x v="182"/>
            <x v="183"/>
            <x v="184"/>
            <x v="185"/>
            <x v="186"/>
            <x v="189"/>
          </reference>
        </references>
      </pivotArea>
    </format>
    <format dxfId="455">
      <pivotArea outline="0" collapsedLevelsAreSubtotals="1" fieldPosition="0"/>
    </format>
    <format dxfId="454">
      <pivotArea dataOnly="0" labelOnly="1" fieldPosition="0">
        <references count="1">
          <reference field="1" count="50">
            <x v="11"/>
            <x v="40"/>
            <x v="41"/>
            <x v="42"/>
            <x v="43"/>
            <x v="44"/>
            <x v="45"/>
            <x v="46"/>
            <x v="47"/>
            <x v="48"/>
            <x v="49"/>
            <x v="50"/>
            <x v="51"/>
            <x v="52"/>
            <x v="53"/>
            <x v="54"/>
            <x v="55"/>
            <x v="56"/>
            <x v="57"/>
            <x v="58"/>
            <x v="59"/>
            <x v="60"/>
            <x v="61"/>
            <x v="62"/>
            <x v="63"/>
            <x v="64"/>
            <x v="66"/>
            <x v="68"/>
            <x v="69"/>
            <x v="70"/>
            <x v="71"/>
            <x v="72"/>
            <x v="73"/>
            <x v="74"/>
            <x v="75"/>
            <x v="76"/>
            <x v="77"/>
            <x v="78"/>
            <x v="79"/>
            <x v="80"/>
            <x v="81"/>
            <x v="82"/>
            <x v="83"/>
            <x v="84"/>
            <x v="85"/>
            <x v="86"/>
            <x v="87"/>
            <x v="88"/>
            <x v="89"/>
            <x v="90"/>
          </reference>
        </references>
      </pivotArea>
    </format>
    <format dxfId="453">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52">
      <pivotArea dataOnly="0" labelOnly="1" fieldPosition="0">
        <references count="1">
          <reference field="1" count="46">
            <x v="141"/>
            <x v="142"/>
            <x v="143"/>
            <x v="144"/>
            <x v="145"/>
            <x v="146"/>
            <x v="147"/>
            <x v="148"/>
            <x v="149"/>
            <x v="150"/>
            <x v="151"/>
            <x v="152"/>
            <x v="153"/>
            <x v="154"/>
            <x v="155"/>
            <x v="156"/>
            <x v="157"/>
            <x v="158"/>
            <x v="160"/>
            <x v="161"/>
            <x v="162"/>
            <x v="164"/>
            <x v="165"/>
            <x v="166"/>
            <x v="169"/>
            <x v="170"/>
            <x v="171"/>
            <x v="172"/>
            <x v="173"/>
            <x v="176"/>
            <x v="181"/>
            <x v="182"/>
            <x v="183"/>
            <x v="184"/>
            <x v="185"/>
            <x v="186"/>
            <x v="189"/>
            <x v="190"/>
            <x v="191"/>
            <x v="192"/>
            <x v="193"/>
            <x v="194"/>
            <x v="195"/>
            <x v="196"/>
            <x v="197"/>
            <x v="198"/>
          </reference>
        </references>
      </pivotArea>
    </format>
    <format dxfId="451">
      <pivotArea dataOnly="0" labelOnly="1" grandRow="1" outline="0" fieldPosition="0"/>
    </format>
    <format dxfId="450">
      <pivotArea collapsedLevelsAreSubtotals="1" fieldPosition="0">
        <references count="1">
          <reference field="1" count="1">
            <x v="41"/>
          </reference>
        </references>
      </pivotArea>
    </format>
    <format dxfId="449">
      <pivotArea collapsedLevelsAreSubtotals="1" fieldPosition="0">
        <references count="1">
          <reference field="1" count="1">
            <x v="42"/>
          </reference>
        </references>
      </pivotArea>
    </format>
    <format dxfId="448">
      <pivotArea collapsedLevelsAreSubtotals="1" fieldPosition="0">
        <references count="1">
          <reference field="1" count="1">
            <x v="43"/>
          </reference>
        </references>
      </pivotArea>
    </format>
    <format dxfId="447">
      <pivotArea dataOnly="0" labelOnly="1" fieldPosition="0">
        <references count="1">
          <reference field="1" count="3">
            <x v="41"/>
            <x v="42"/>
            <x v="43"/>
          </reference>
        </references>
      </pivotArea>
    </format>
    <format dxfId="446">
      <pivotArea collapsedLevelsAreSubtotals="1" fieldPosition="0">
        <references count="1">
          <reference field="1" count="1">
            <x v="40"/>
          </reference>
        </references>
      </pivotArea>
    </format>
    <format dxfId="445">
      <pivotArea dataOnly="0" labelOnly="1" fieldPosition="0">
        <references count="1">
          <reference field="1" count="1">
            <x v="40"/>
          </reference>
        </references>
      </pivotArea>
    </format>
    <format dxfId="444">
      <pivotArea collapsedLevelsAreSubtotals="1" fieldPosition="0">
        <references count="1">
          <reference field="1" count="1">
            <x v="39"/>
          </reference>
        </references>
      </pivotArea>
    </format>
    <format dxfId="443">
      <pivotArea dataOnly="0" labelOnly="1" fieldPosition="0">
        <references count="1">
          <reference field="1" count="1">
            <x v="39"/>
          </reference>
        </references>
      </pivotArea>
    </format>
    <format dxfId="442">
      <pivotArea collapsedLevelsAreSubtotals="1" fieldPosition="0">
        <references count="1">
          <reference field="1" count="1">
            <x v="39"/>
          </reference>
        </references>
      </pivotArea>
    </format>
    <format dxfId="441">
      <pivotArea dataOnly="0" labelOnly="1" fieldPosition="0">
        <references count="1">
          <reference field="1" count="1">
            <x v="39"/>
          </reference>
        </references>
      </pivotArea>
    </format>
    <format dxfId="440">
      <pivotArea dataOnly="0" labelOnly="1" fieldPosition="0">
        <references count="1">
          <reference field="1" count="1">
            <x v="38"/>
          </reference>
        </references>
      </pivotArea>
    </format>
    <format dxfId="439">
      <pivotArea dataOnly="0" labelOnly="1" fieldPosition="0">
        <references count="1">
          <reference field="1" count="1">
            <x v="37"/>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collapsedLevelsAreSubtotals="1" fieldPosition="0">
        <references count="1">
          <reference field="1" count="1">
            <x v="35"/>
          </reference>
        </references>
      </pivotArea>
    </format>
    <format dxfId="435">
      <pivotArea collapsedLevelsAreSubtotals="1" fieldPosition="0">
        <references count="1">
          <reference field="1" count="1">
            <x v="36"/>
          </reference>
        </references>
      </pivotArea>
    </format>
    <format dxfId="434">
      <pivotArea dataOnly="0" labelOnly="1" fieldPosition="0">
        <references count="1">
          <reference field="1" count="2">
            <x v="35"/>
            <x v="36"/>
          </reference>
        </references>
      </pivotArea>
    </format>
    <format dxfId="433">
      <pivotArea dataOnly="0" labelOnly="1" fieldPosition="0">
        <references count="1">
          <reference field="1" count="2">
            <x v="200"/>
            <x v="201"/>
          </reference>
        </references>
      </pivotArea>
    </format>
    <format dxfId="432">
      <pivotArea dataOnly="0" labelOnly="1" fieldPosition="0">
        <references count="1">
          <reference field="1" count="3">
            <x v="32"/>
            <x v="33"/>
            <x v="34"/>
          </reference>
        </references>
      </pivotArea>
    </format>
    <format dxfId="431">
      <pivotArea collapsedLevelsAreSubtotals="1" fieldPosition="0">
        <references count="1">
          <reference field="1" count="1">
            <x v="32"/>
          </reference>
        </references>
      </pivotArea>
    </format>
    <format dxfId="430">
      <pivotArea collapsedLevelsAreSubtotals="1" fieldPosition="0">
        <references count="1">
          <reference field="1" count="1">
            <x v="33"/>
          </reference>
        </references>
      </pivotArea>
    </format>
    <format dxfId="429">
      <pivotArea collapsedLevelsAreSubtotals="1" fieldPosition="0">
        <references count="1">
          <reference field="1" count="1">
            <x v="34"/>
          </reference>
        </references>
      </pivotArea>
    </format>
    <format dxfId="428">
      <pivotArea collapsedLevelsAreSubtotals="1" fieldPosition="0">
        <references count="1">
          <reference field="1" count="1">
            <x v="30"/>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2">
            <x v="30"/>
            <x v="31"/>
          </reference>
        </references>
      </pivotArea>
    </format>
    <format dxfId="425">
      <pivotArea collapsedLevelsAreSubtotals="1" fieldPosition="0">
        <references count="1">
          <reference field="1" count="1">
            <x v="28"/>
          </reference>
        </references>
      </pivotArea>
    </format>
    <format dxfId="424">
      <pivotArea collapsedLevelsAreSubtotals="1" fieldPosition="0">
        <references count="1">
          <reference field="1" count="1">
            <x v="29"/>
          </reference>
        </references>
      </pivotArea>
    </format>
    <format dxfId="423">
      <pivotArea dataOnly="0" labelOnly="1" fieldPosition="0">
        <references count="1">
          <reference field="1" count="2">
            <x v="28"/>
            <x v="29"/>
          </reference>
        </references>
      </pivotArea>
    </format>
    <format dxfId="422">
      <pivotArea collapsedLevelsAreSubtotals="1" fieldPosition="0">
        <references count="1">
          <reference field="1" count="1">
            <x v="27"/>
          </reference>
        </references>
      </pivotArea>
    </format>
    <format dxfId="421">
      <pivotArea dataOnly="0" labelOnly="1" fieldPosition="0">
        <references count="1">
          <reference field="1" count="1">
            <x v="27"/>
          </reference>
        </references>
      </pivotArea>
    </format>
    <format dxfId="420">
      <pivotArea collapsedLevelsAreSubtotals="1" fieldPosition="0">
        <references count="1">
          <reference field="1" count="1">
            <x v="26"/>
          </reference>
        </references>
      </pivotArea>
    </format>
    <format dxfId="419">
      <pivotArea dataOnly="0" labelOnly="1" fieldPosition="0">
        <references count="1">
          <reference field="1" count="1">
            <x v="26"/>
          </reference>
        </references>
      </pivotArea>
    </format>
    <format dxfId="418">
      <pivotArea collapsedLevelsAreSubtotals="1" fieldPosition="0">
        <references count="1">
          <reference field="1" count="1">
            <x v="24"/>
          </reference>
        </references>
      </pivotArea>
    </format>
    <format dxfId="417">
      <pivotArea collapsedLevelsAreSubtotals="1" fieldPosition="0">
        <references count="1">
          <reference field="1" count="1">
            <x v="25"/>
          </reference>
        </references>
      </pivotArea>
    </format>
    <format dxfId="416">
      <pivotArea dataOnly="0" labelOnly="1" fieldPosition="0">
        <references count="1">
          <reference field="1" count="2">
            <x v="24"/>
            <x v="25"/>
          </reference>
        </references>
      </pivotArea>
    </format>
    <format dxfId="415">
      <pivotArea collapsedLevelsAreSubtotals="1" fieldPosition="0">
        <references count="1">
          <reference field="1" count="1">
            <x v="23"/>
          </reference>
        </references>
      </pivotArea>
    </format>
    <format dxfId="414">
      <pivotArea dataOnly="0" labelOnly="1" fieldPosition="0">
        <references count="1">
          <reference field="1" count="1">
            <x v="23"/>
          </reference>
        </references>
      </pivotArea>
    </format>
    <format dxfId="413">
      <pivotArea collapsedLevelsAreSubtotals="1" fieldPosition="0">
        <references count="1">
          <reference field="1" count="1">
            <x v="22"/>
          </reference>
        </references>
      </pivotArea>
    </format>
    <format dxfId="412">
      <pivotArea dataOnly="0" labelOnly="1" fieldPosition="0">
        <references count="1">
          <reference field="1" count="1">
            <x v="22"/>
          </reference>
        </references>
      </pivotArea>
    </format>
    <format dxfId="411">
      <pivotArea collapsedLevelsAreSubtotals="1" fieldPosition="0">
        <references count="1">
          <reference field="1" count="1">
            <x v="20"/>
          </reference>
        </references>
      </pivotArea>
    </format>
    <format dxfId="410">
      <pivotArea collapsedLevelsAreSubtotals="1" fieldPosition="0">
        <references count="1">
          <reference field="1" count="1">
            <x v="21"/>
          </reference>
        </references>
      </pivotArea>
    </format>
    <format dxfId="409">
      <pivotArea dataOnly="0" labelOnly="1" fieldPosition="0">
        <references count="1">
          <reference field="1" count="2">
            <x v="20"/>
            <x v="21"/>
          </reference>
        </references>
      </pivotArea>
    </format>
    <format dxfId="408">
      <pivotArea collapsedLevelsAreSubtotals="1" fieldPosition="0">
        <references count="1">
          <reference field="1" count="1">
            <x v="19"/>
          </reference>
        </references>
      </pivotArea>
    </format>
    <format dxfId="407">
      <pivotArea dataOnly="0" labelOnly="1" fieldPosition="0">
        <references count="1">
          <reference field="1" count="1">
            <x v="19"/>
          </reference>
        </references>
      </pivotArea>
    </format>
    <format dxfId="406">
      <pivotArea collapsedLevelsAreSubtotals="1" fieldPosition="0">
        <references count="1">
          <reference field="1" count="1">
            <x v="204"/>
          </reference>
        </references>
      </pivotArea>
    </format>
    <format dxfId="405">
      <pivotArea collapsedLevelsAreSubtotals="1" fieldPosition="0">
        <references count="1">
          <reference field="1" count="1">
            <x v="16"/>
          </reference>
        </references>
      </pivotArea>
    </format>
    <format dxfId="404">
      <pivotArea collapsedLevelsAreSubtotals="1" fieldPosition="0">
        <references count="1">
          <reference field="1" count="1">
            <x v="214"/>
          </reference>
        </references>
      </pivotArea>
    </format>
    <format dxfId="403">
      <pivotArea dataOnly="0" labelOnly="1" fieldPosition="0">
        <references count="1">
          <reference field="1" count="3">
            <x v="16"/>
            <x v="204"/>
            <x v="214"/>
          </reference>
        </references>
      </pivotArea>
    </format>
    <format dxfId="402">
      <pivotArea collapsedLevelsAreSubtotals="1" fieldPosition="0">
        <references count="1">
          <reference field="1" count="1">
            <x v="18"/>
          </reference>
        </references>
      </pivotArea>
    </format>
    <format dxfId="401">
      <pivotArea dataOnly="0" labelOnly="1" fieldPosition="0">
        <references count="1">
          <reference field="1" count="1">
            <x v="18"/>
          </reference>
        </references>
      </pivotArea>
    </format>
    <format dxfId="400">
      <pivotArea collapsedLevelsAreSubtotals="1" fieldPosition="0">
        <references count="1">
          <reference field="1" count="1">
            <x v="16"/>
          </reference>
        </references>
      </pivotArea>
    </format>
    <format dxfId="399">
      <pivotArea collapsedLevelsAreSubtotals="1" fieldPosition="0">
        <references count="1">
          <reference field="1" count="1">
            <x v="17"/>
          </reference>
        </references>
      </pivotArea>
    </format>
    <format dxfId="398">
      <pivotArea dataOnly="0" labelOnly="1" fieldPosition="0">
        <references count="1">
          <reference field="1" count="2">
            <x v="16"/>
            <x v="17"/>
          </reference>
        </references>
      </pivotArea>
    </format>
    <format dxfId="397">
      <pivotArea dataOnly="0" labelOnly="1" fieldPosition="0">
        <references count="1">
          <reference field="1" count="1">
            <x v="17"/>
          </reference>
        </references>
      </pivotArea>
    </format>
    <format dxfId="396">
      <pivotArea collapsedLevelsAreSubtotals="1" fieldPosition="0">
        <references count="1">
          <reference field="1" count="1">
            <x v="15"/>
          </reference>
        </references>
      </pivotArea>
    </format>
    <format dxfId="395">
      <pivotArea dataOnly="0" labelOnly="1" fieldPosition="0">
        <references count="1">
          <reference field="1" count="1">
            <x v="15"/>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1">
          <reference field="1" count="1">
            <x v="14"/>
          </reference>
        </references>
      </pivotArea>
    </format>
    <format dxfId="391">
      <pivotArea dataOnly="0" labelOnly="1" fieldPosition="0">
        <references count="1">
          <reference field="1" count="1">
            <x v="14"/>
          </reference>
        </references>
      </pivotArea>
    </format>
    <format dxfId="390">
      <pivotArea dataOnly="0" labelOnly="1" fieldPosition="0">
        <references count="1">
          <reference field="1" count="1">
            <x v="12"/>
          </reference>
        </references>
      </pivotArea>
    </format>
    <format dxfId="389">
      <pivotArea collapsedLevelsAreSubtotals="1" fieldPosition="0">
        <references count="1">
          <reference field="1" count="1">
            <x v="12"/>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2">
            <x v="12"/>
            <x v="13"/>
          </reference>
        </references>
      </pivotArea>
    </format>
    <format dxfId="386">
      <pivotArea collapsedLevelsAreSubtotals="1" fieldPosition="0">
        <references count="1">
          <reference field="1" count="1">
            <x v="11"/>
          </reference>
        </references>
      </pivotArea>
    </format>
    <format dxfId="385">
      <pivotArea dataOnly="0" labelOnly="1" fieldPosition="0">
        <references count="1">
          <reference field="1" count="1">
            <x v="11"/>
          </reference>
        </references>
      </pivotArea>
    </format>
    <format dxfId="384">
      <pivotArea collapsedLevelsAreSubtotals="1" fieldPosition="0">
        <references count="1">
          <reference field="1" count="1">
            <x v="9"/>
          </reference>
        </references>
      </pivotArea>
    </format>
    <format dxfId="383">
      <pivotArea collapsedLevelsAreSubtotals="1" fieldPosition="0">
        <references count="1">
          <reference field="1" count="1">
            <x v="10"/>
          </reference>
        </references>
      </pivotArea>
    </format>
    <format dxfId="382">
      <pivotArea dataOnly="0" labelOnly="1" fieldPosition="0">
        <references count="1">
          <reference field="1" count="2">
            <x v="9"/>
            <x v="10"/>
          </reference>
        </references>
      </pivotArea>
    </format>
    <format dxfId="381">
      <pivotArea collapsedLevelsAreSubtotals="1" fieldPosition="0">
        <references count="1">
          <reference field="1" count="1">
            <x v="8"/>
          </reference>
        </references>
      </pivotArea>
    </format>
    <format dxfId="380">
      <pivotArea dataOnly="0" labelOnly="1" fieldPosition="0">
        <references count="1">
          <reference field="1" count="1">
            <x v="8"/>
          </reference>
        </references>
      </pivotArea>
    </format>
    <format dxfId="379">
      <pivotArea collapsedLevelsAreSubtotals="1" fieldPosition="0">
        <references count="1">
          <reference field="1" count="1">
            <x v="7"/>
          </reference>
        </references>
      </pivotArea>
    </format>
    <format dxfId="378">
      <pivotArea dataOnly="0" labelOnly="1" fieldPosition="0">
        <references count="1">
          <reference field="1" count="1">
            <x v="7"/>
          </reference>
        </references>
      </pivotArea>
    </format>
    <format dxfId="377">
      <pivotArea collapsedLevelsAreSubtotals="1" fieldPosition="0">
        <references count="1">
          <reference field="1" count="1">
            <x v="5"/>
          </reference>
        </references>
      </pivotArea>
    </format>
    <format dxfId="376">
      <pivotArea collapsedLevelsAreSubtotals="1" fieldPosition="0">
        <references count="1">
          <reference field="1" count="1">
            <x v="6"/>
          </reference>
        </references>
      </pivotArea>
    </format>
    <format dxfId="375">
      <pivotArea dataOnly="0" labelOnly="1" fieldPosition="0">
        <references count="1">
          <reference field="1" count="2">
            <x v="5"/>
            <x v="6"/>
          </reference>
        </references>
      </pivotArea>
    </format>
    <format dxfId="374">
      <pivotArea collapsedLevelsAreSubtotals="1" fieldPosition="0">
        <references count="1">
          <reference field="1" count="1">
            <x v="223"/>
          </reference>
        </references>
      </pivotArea>
    </format>
    <format dxfId="373">
      <pivotArea dataOnly="0" labelOnly="1" fieldPosition="0">
        <references count="1">
          <reference field="1" count="1">
            <x v="223"/>
          </reference>
        </references>
      </pivotArea>
    </format>
    <format dxfId="372">
      <pivotArea collapsedLevelsAreSubtotals="1" fieldPosition="0">
        <references count="1">
          <reference field="1" count="1">
            <x v="1"/>
          </reference>
        </references>
      </pivotArea>
    </format>
    <format dxfId="371">
      <pivotArea collapsedLevelsAreSubtotals="1" fieldPosition="0">
        <references count="1">
          <reference field="1" count="1">
            <x v="2"/>
          </reference>
        </references>
      </pivotArea>
    </format>
    <format dxfId="370">
      <pivotArea collapsedLevelsAreSubtotals="1" fieldPosition="0">
        <references count="1">
          <reference field="1" count="1">
            <x v="3"/>
          </reference>
        </references>
      </pivotArea>
    </format>
    <format dxfId="369">
      <pivotArea collapsedLevelsAreSubtotals="1" fieldPosition="0">
        <references count="1">
          <reference field="1" count="1">
            <x v="4"/>
          </reference>
        </references>
      </pivotArea>
    </format>
    <format dxfId="368">
      <pivotArea dataOnly="0" labelOnly="1" fieldPosition="0">
        <references count="1">
          <reference field="1" count="4">
            <x v="1"/>
            <x v="2"/>
            <x v="3"/>
            <x v="4"/>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39">
        <item x="0"/>
        <item x="1"/>
        <item x="2"/>
        <item x="4"/>
        <item x="5"/>
        <item x="7"/>
        <item x="8"/>
        <item x="9"/>
        <item x="10"/>
        <item x="11"/>
        <item x="12"/>
        <item m="1" x="1194"/>
        <item x="13"/>
        <item x="14"/>
        <item x="15"/>
        <item x="17"/>
        <item x="19"/>
        <item x="3"/>
        <item x="6"/>
        <item x="18"/>
        <item x="16"/>
        <item m="1" x="1196"/>
        <item m="1" x="1195"/>
        <item x="22"/>
        <item x="20"/>
        <item x="24"/>
        <item m="1" x="1197"/>
        <item x="25"/>
        <item x="21"/>
        <item x="29"/>
        <item m="1" x="1198"/>
        <item x="23"/>
        <item x="40"/>
        <item x="26"/>
        <item x="30"/>
        <item x="36"/>
        <item x="27"/>
        <item x="28"/>
        <item x="39"/>
        <item x="31"/>
        <item x="32"/>
        <item x="33"/>
        <item m="1" x="1199"/>
        <item x="38"/>
        <item m="1" x="1200"/>
        <item m="1" x="1201"/>
        <item x="45"/>
        <item x="35"/>
        <item x="41"/>
        <item x="34"/>
        <item x="37"/>
        <item x="61"/>
        <item x="43"/>
        <item m="1" x="1203"/>
        <item x="42"/>
        <item x="48"/>
        <item x="44"/>
        <item m="1" x="1202"/>
        <item x="51"/>
        <item x="46"/>
        <item x="47"/>
        <item x="53"/>
        <item m="1" x="1204"/>
        <item x="54"/>
        <item x="57"/>
        <item x="50"/>
        <item x="49"/>
        <item m="1" x="1205"/>
        <item x="52"/>
        <item m="1" x="1206"/>
        <item x="55"/>
        <item x="56"/>
        <item x="63"/>
        <item x="58"/>
        <item x="59"/>
        <item x="60"/>
        <item x="62"/>
        <item x="64"/>
        <item x="65"/>
        <item x="66"/>
        <item x="67"/>
        <item x="68"/>
        <item x="69"/>
        <item m="1" x="1207"/>
        <item m="1" x="1208"/>
        <item x="70"/>
        <item x="71"/>
        <item x="77"/>
        <item m="1" x="1209"/>
        <item m="1" x="1210"/>
        <item m="1" x="1211"/>
        <item x="72"/>
        <item x="73"/>
        <item x="74"/>
        <item x="75"/>
        <item x="76"/>
        <item x="78"/>
        <item x="79"/>
        <item x="80"/>
        <item m="1" x="1212"/>
        <item x="88"/>
        <item x="81"/>
        <item m="1" x="1213"/>
        <item x="82"/>
        <item x="83"/>
        <item x="84"/>
        <item x="85"/>
        <item x="86"/>
        <item x="87"/>
        <item x="89"/>
        <item x="90"/>
        <item x="91"/>
        <item x="92"/>
        <item m="1" x="1214"/>
        <item x="93"/>
        <item x="94"/>
        <item x="95"/>
        <item x="96"/>
        <item m="1" x="1215"/>
        <item x="97"/>
        <item m="1" x="1216"/>
        <item x="98"/>
        <item x="105"/>
        <item x="99"/>
        <item x="110"/>
        <item x="100"/>
        <item x="101"/>
        <item x="102"/>
        <item x="103"/>
        <item x="104"/>
        <item x="106"/>
        <item x="107"/>
        <item x="108"/>
        <item x="109"/>
        <item x="111"/>
        <item x="112"/>
        <item m="1" x="121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8"/>
        <item m="1" x="1219"/>
        <item x="141"/>
        <item x="167"/>
        <item x="146"/>
        <item x="143"/>
        <item x="191"/>
        <item x="144"/>
        <item m="1" x="122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1"/>
        <item x="179"/>
        <item x="180"/>
        <item x="181"/>
        <item x="182"/>
        <item x="142"/>
        <item x="155"/>
        <item x="169"/>
        <item x="183"/>
        <item x="185"/>
        <item x="217"/>
        <item m="1" x="1222"/>
        <item x="187"/>
        <item x="186"/>
        <item x="188"/>
        <item x="189"/>
        <item x="192"/>
        <item x="193"/>
        <item x="194"/>
        <item x="195"/>
        <item x="196"/>
        <item x="197"/>
        <item x="198"/>
        <item x="200"/>
        <item x="201"/>
        <item x="202"/>
        <item m="1" x="1302"/>
        <item m="1" x="1303"/>
        <item m="1" x="1327"/>
        <item m="1" x="1256"/>
        <item x="205"/>
        <item x="203"/>
        <item x="204"/>
        <item x="206"/>
        <item x="207"/>
        <item x="184"/>
        <item x="208"/>
        <item x="209"/>
        <item x="210"/>
        <item x="211"/>
        <item x="212"/>
        <item m="1" x="1257"/>
        <item m="1" x="1258"/>
        <item m="1" x="1259"/>
        <item m="1" x="1260"/>
        <item x="223"/>
        <item x="213"/>
        <item x="214"/>
        <item x="215"/>
        <item x="216"/>
        <item x="218"/>
        <item m="1" x="1328"/>
        <item x="219"/>
        <item x="220"/>
        <item x="221"/>
        <item m="1" x="1223"/>
        <item m="1" x="1224"/>
        <item x="222"/>
        <item x="224"/>
        <item x="225"/>
        <item x="229"/>
        <item x="230"/>
        <item x="231"/>
        <item x="232"/>
        <item x="233"/>
        <item x="234"/>
        <item x="235"/>
        <item x="236"/>
        <item x="242"/>
        <item x="237"/>
        <item x="238"/>
        <item x="239"/>
        <item x="240"/>
        <item x="241"/>
        <item x="243"/>
        <item x="244"/>
        <item m="1" x="1225"/>
        <item x="245"/>
        <item x="246"/>
        <item m="1" x="131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1"/>
        <item x="374"/>
        <item x="115"/>
        <item x="280"/>
        <item x="281"/>
        <item x="227"/>
        <item m="1" x="1226"/>
        <item x="282"/>
        <item x="283"/>
        <item m="1" x="1316"/>
        <item x="284"/>
        <item x="285"/>
        <item x="286"/>
        <item x="287"/>
        <item x="288"/>
        <item x="289"/>
        <item x="136"/>
        <item x="290"/>
        <item x="291"/>
        <item x="292"/>
        <item x="293"/>
        <item x="294"/>
        <item x="295"/>
        <item x="296"/>
        <item x="297"/>
        <item x="371"/>
        <item x="298"/>
        <item x="299"/>
        <item x="300"/>
        <item x="301"/>
        <item x="302"/>
        <item m="1" x="1321"/>
        <item x="304"/>
        <item x="303"/>
        <item x="305"/>
        <item m="1" x="1312"/>
        <item x="313"/>
        <item x="310"/>
        <item x="309"/>
        <item m="1" x="1334"/>
        <item x="306"/>
        <item x="312"/>
        <item x="307"/>
        <item x="308"/>
        <item x="228"/>
        <item x="311"/>
        <item x="314"/>
        <item x="315"/>
        <item x="316"/>
        <item x="317"/>
        <item x="322"/>
        <item x="318"/>
        <item x="319"/>
        <item x="321"/>
        <item x="320"/>
        <item x="323"/>
        <item x="324"/>
        <item x="325"/>
        <item x="326"/>
        <item x="327"/>
        <item x="328"/>
        <item x="329"/>
        <item m="1" x="1262"/>
        <item x="330"/>
        <item x="331"/>
        <item x="332"/>
        <item x="333"/>
        <item x="334"/>
        <item x="335"/>
        <item m="1" x="1252"/>
        <item m="1" x="1253"/>
        <item m="1" x="1254"/>
        <item m="1" x="1255"/>
        <item m="1" x="1315"/>
        <item x="337"/>
        <item x="336"/>
        <item x="338"/>
        <item x="339"/>
        <item x="340"/>
        <item x="352"/>
        <item x="341"/>
        <item x="342"/>
        <item x="343"/>
        <item m="1" x="1227"/>
        <item x="344"/>
        <item x="345"/>
        <item x="346"/>
        <item x="347"/>
        <item x="362"/>
        <item x="348"/>
        <item x="349"/>
        <item x="350"/>
        <item x="351"/>
        <item x="356"/>
        <item x="353"/>
        <item x="355"/>
        <item x="354"/>
        <item x="372"/>
        <item x="363"/>
        <item x="357"/>
        <item x="358"/>
        <item x="359"/>
        <item x="360"/>
        <item x="361"/>
        <item m="1" x="1228"/>
        <item x="364"/>
        <item x="365"/>
        <item x="366"/>
        <item x="367"/>
        <item x="368"/>
        <item x="369"/>
        <item x="370"/>
        <item m="1" x="1229"/>
        <item m="1" x="1322"/>
        <item m="1" x="1323"/>
        <item x="373"/>
        <item x="375"/>
        <item m="1" x="1230"/>
        <item x="379"/>
        <item x="382"/>
        <item x="376"/>
        <item x="377"/>
        <item x="378"/>
        <item m="1" x="1231"/>
        <item x="380"/>
        <item x="381"/>
        <item x="383"/>
        <item x="384"/>
        <item x="385"/>
        <item x="386"/>
        <item m="1" x="1329"/>
        <item m="1" x="1324"/>
        <item x="387"/>
        <item x="388"/>
        <item x="389"/>
        <item m="1" x="1232"/>
        <item m="1" x="1233"/>
        <item x="390"/>
        <item x="391"/>
        <item x="394"/>
        <item x="392"/>
        <item x="393"/>
        <item x="395"/>
        <item x="396"/>
        <item x="397"/>
        <item x="398"/>
        <item x="399"/>
        <item x="400"/>
        <item m="1" x="1234"/>
        <item x="401"/>
        <item x="402"/>
        <item x="403"/>
        <item x="404"/>
        <item x="405"/>
        <item x="406"/>
        <item m="1" x="1235"/>
        <item x="407"/>
        <item x="408"/>
        <item x="410"/>
        <item x="411"/>
        <item x="412"/>
        <item x="413"/>
        <item m="1" x="1263"/>
        <item x="414"/>
        <item x="415"/>
        <item x="416"/>
        <item x="409"/>
        <item x="417"/>
        <item m="1" x="1336"/>
        <item x="422"/>
        <item m="1" x="1307"/>
        <item x="418"/>
        <item x="419"/>
        <item x="421"/>
        <item m="1" x="1330"/>
        <item x="420"/>
        <item m="1" x="1264"/>
        <item x="423"/>
        <item x="424"/>
        <item x="425"/>
        <item x="426"/>
        <item x="427"/>
        <item x="428"/>
        <item x="429"/>
        <item x="430"/>
        <item x="431"/>
        <item x="432"/>
        <item x="433"/>
        <item x="434"/>
        <item x="435"/>
        <item x="436"/>
        <item x="437"/>
        <item x="438"/>
        <item x="439"/>
        <item x="440"/>
        <item x="441"/>
        <item x="442"/>
        <item x="443"/>
        <item x="444"/>
        <item m="1" x="1318"/>
        <item x="445"/>
        <item x="446"/>
        <item x="447"/>
        <item m="1" x="1317"/>
        <item x="448"/>
        <item m="1" x="1320"/>
        <item x="449"/>
        <item m="1" x="1332"/>
        <item x="450"/>
        <item x="451"/>
        <item m="1" x="1236"/>
        <item x="452"/>
        <item x="453"/>
        <item x="454"/>
        <item x="455"/>
        <item x="456"/>
        <item m="1" x="1265"/>
        <item x="457"/>
        <item x="458"/>
        <item x="459"/>
        <item x="460"/>
        <item x="461"/>
        <item x="462"/>
        <item x="463"/>
        <item m="1" x="1237"/>
        <item x="464"/>
        <item x="465"/>
        <item x="466"/>
        <item x="467"/>
        <item x="468"/>
        <item x="469"/>
        <item x="470"/>
        <item x="471"/>
        <item x="472"/>
        <item x="473"/>
        <item m="1" x="1286"/>
        <item x="474"/>
        <item x="475"/>
        <item x="476"/>
        <item x="477"/>
        <item x="478"/>
        <item m="1" x="1287"/>
        <item x="479"/>
        <item x="480"/>
        <item x="481"/>
        <item x="482"/>
        <item m="1" x="1266"/>
        <item x="483"/>
        <item x="484"/>
        <item x="485"/>
        <item x="486"/>
        <item x="487"/>
        <item x="488"/>
        <item x="489"/>
        <item x="490"/>
        <item x="491"/>
        <item x="492"/>
        <item x="493"/>
        <item x="494"/>
        <item x="495"/>
        <item x="496"/>
        <item x="497"/>
        <item m="1" x="1247"/>
        <item x="499"/>
        <item x="498"/>
        <item x="500"/>
        <item x="501"/>
        <item x="502"/>
        <item x="503"/>
        <item x="504"/>
        <item m="1" x="1248"/>
        <item x="506"/>
        <item x="507"/>
        <item x="508"/>
        <item x="509"/>
        <item x="510"/>
        <item x="511"/>
        <item x="512"/>
        <item m="1" x="1267"/>
        <item m="1" x="1268"/>
        <item m="1" x="1269"/>
        <item m="1" x="1270"/>
        <item m="1" x="1271"/>
        <item x="513"/>
        <item x="514"/>
        <item x="515"/>
        <item x="516"/>
        <item x="517"/>
        <item x="518"/>
        <item x="519"/>
        <item x="520"/>
        <item x="521"/>
        <item x="522"/>
        <item x="523"/>
        <item x="524"/>
        <item x="525"/>
        <item x="526"/>
        <item x="527"/>
        <item x="528"/>
        <item x="529"/>
        <item x="530"/>
        <item x="531"/>
        <item x="532"/>
        <item x="533"/>
        <item m="1" x="1272"/>
        <item x="539"/>
        <item x="534"/>
        <item x="535"/>
        <item x="536"/>
        <item x="537"/>
        <item x="538"/>
        <item x="543"/>
        <item x="540"/>
        <item x="541"/>
        <item x="542"/>
        <item x="544"/>
        <item x="545"/>
        <item x="546"/>
        <item x="547"/>
        <item x="548"/>
        <item x="550"/>
        <item x="551"/>
        <item x="552"/>
        <item x="553"/>
        <item x="554"/>
        <item x="555"/>
        <item x="556"/>
        <item m="1" x="128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9"/>
        <item x="608"/>
        <item x="612"/>
        <item x="613"/>
        <item x="614"/>
        <item x="615"/>
        <item x="609"/>
        <item x="610"/>
        <item x="611"/>
        <item x="616"/>
        <item x="617"/>
        <item m="1" x="1290"/>
        <item x="618"/>
        <item x="619"/>
        <item m="1" x="1291"/>
        <item x="620"/>
        <item x="621"/>
        <item x="622"/>
        <item m="1" x="1292"/>
        <item x="623"/>
        <item m="1" x="1293"/>
        <item x="625"/>
        <item x="624"/>
        <item x="626"/>
        <item x="628"/>
        <item x="630"/>
        <item x="631"/>
        <item x="632"/>
        <item x="633"/>
        <item x="634"/>
        <item x="635"/>
        <item m="1" x="1273"/>
        <item x="649"/>
        <item x="636"/>
        <item m="1" x="1249"/>
        <item m="1" x="1274"/>
        <item x="637"/>
        <item x="638"/>
        <item x="627"/>
        <item x="642"/>
        <item x="643"/>
        <item x="644"/>
        <item m="1" x="1275"/>
        <item x="629"/>
        <item x="645"/>
        <item x="646"/>
        <item x="647"/>
        <item m="1" x="1238"/>
        <item x="648"/>
        <item x="650"/>
        <item x="651"/>
        <item x="641"/>
        <item x="652"/>
        <item x="653"/>
        <item m="1" x="1326"/>
        <item x="654"/>
        <item m="1" x="1294"/>
        <item m="1" x="1295"/>
        <item m="1" x="1276"/>
        <item x="655"/>
        <item m="1" x="1277"/>
        <item x="656"/>
        <item x="657"/>
        <item x="658"/>
        <item x="659"/>
        <item x="660"/>
        <item x="640"/>
        <item x="661"/>
        <item x="663"/>
        <item x="666"/>
        <item x="664"/>
        <item x="665"/>
        <item x="639"/>
        <item x="662"/>
        <item x="667"/>
        <item x="668"/>
        <item x="669"/>
        <item x="670"/>
        <item x="671"/>
        <item x="672"/>
        <item x="673"/>
        <item x="674"/>
        <item x="675"/>
        <item m="1" x="1239"/>
        <item x="676"/>
        <item m="1" x="1240"/>
        <item x="680"/>
        <item x="677"/>
        <item x="678"/>
        <item x="679"/>
        <item x="681"/>
        <item m="1" x="1309"/>
        <item x="683"/>
        <item x="682"/>
        <item x="684"/>
        <item x="685"/>
        <item x="686"/>
        <item x="687"/>
        <item x="688"/>
        <item x="689"/>
        <item x="698"/>
        <item x="690"/>
        <item x="691"/>
        <item x="692"/>
        <item x="706"/>
        <item x="701"/>
        <item x="693"/>
        <item x="694"/>
        <item x="695"/>
        <item m="1" x="1311"/>
        <item x="696"/>
        <item x="697"/>
        <item x="699"/>
        <item x="700"/>
        <item x="702"/>
        <item m="1" x="1243"/>
        <item x="703"/>
        <item x="707"/>
        <item x="704"/>
        <item x="705"/>
        <item x="708"/>
        <item x="718"/>
        <item x="710"/>
        <item x="711"/>
        <item x="712"/>
        <item x="713"/>
        <item x="714"/>
        <item x="715"/>
        <item x="716"/>
        <item x="717"/>
        <item m="1" x="1278"/>
        <item x="719"/>
        <item x="720"/>
        <item x="721"/>
        <item m="1" x="1241"/>
        <item m="1" x="1242"/>
        <item m="1" x="1244"/>
        <item x="727"/>
        <item x="722"/>
        <item x="723"/>
        <item x="724"/>
        <item x="725"/>
        <item x="726"/>
        <item x="728"/>
        <item x="759"/>
        <item x="729"/>
        <item x="730"/>
        <item x="731"/>
        <item m="1" x="1325"/>
        <item m="1" x="1305"/>
        <item x="732"/>
        <item x="733"/>
        <item x="734"/>
        <item m="1" x="1314"/>
        <item x="735"/>
        <item x="736"/>
        <item x="737"/>
        <item x="738"/>
        <item x="739"/>
        <item x="740"/>
        <item x="741"/>
        <item x="742"/>
        <item x="743"/>
        <item x="766"/>
        <item x="744"/>
        <item x="745"/>
        <item x="746"/>
        <item x="747"/>
        <item x="754"/>
        <item x="748"/>
        <item m="1" x="1245"/>
        <item x="749"/>
        <item x="750"/>
        <item x="751"/>
        <item x="752"/>
        <item x="768"/>
        <item x="753"/>
        <item x="755"/>
        <item x="756"/>
        <item x="757"/>
        <item x="758"/>
        <item m="1" x="1279"/>
        <item x="760"/>
        <item m="1" x="1296"/>
        <item x="761"/>
        <item m="1" x="1280"/>
        <item x="762"/>
        <item x="763"/>
        <item m="1" x="1306"/>
        <item x="764"/>
        <item m="1" x="1304"/>
        <item x="765"/>
        <item x="767"/>
        <item x="769"/>
        <item m="1" x="1301"/>
        <item x="770"/>
        <item x="771"/>
        <item x="772"/>
        <item x="773"/>
        <item x="774"/>
        <item x="775"/>
        <item x="776"/>
        <item x="777"/>
        <item x="778"/>
        <item x="779"/>
        <item x="780"/>
        <item x="781"/>
        <item x="782"/>
        <item x="783"/>
        <item x="784"/>
        <item x="785"/>
        <item x="786"/>
        <item x="787"/>
        <item x="788"/>
        <item x="789"/>
        <item x="790"/>
        <item x="791"/>
        <item x="792"/>
        <item m="1" x="1281"/>
        <item x="793"/>
        <item m="1" x="1282"/>
        <item x="794"/>
        <item x="800"/>
        <item x="795"/>
        <item x="796"/>
        <item x="797"/>
        <item x="798"/>
        <item x="799"/>
        <item x="801"/>
        <item x="803"/>
        <item x="802"/>
        <item m="1" x="1283"/>
        <item x="804"/>
        <item x="805"/>
        <item x="806"/>
        <item x="810"/>
        <item x="812"/>
        <item x="811"/>
        <item m="1" x="1310"/>
        <item x="814"/>
        <item x="809"/>
        <item m="1" x="1308"/>
        <item x="821"/>
        <item m="1" x="1333"/>
        <item x="813"/>
        <item x="815"/>
        <item x="817"/>
        <item x="818"/>
        <item x="807"/>
        <item x="816"/>
        <item x="819"/>
        <item m="1" x="1250"/>
        <item x="823"/>
        <item x="824"/>
        <item m="1" x="1297"/>
        <item x="826"/>
        <item x="831"/>
        <item x="829"/>
        <item x="825"/>
        <item x="830"/>
        <item x="835"/>
        <item x="833"/>
        <item x="834"/>
        <item x="832"/>
        <item x="709"/>
        <item x="839"/>
        <item x="840"/>
        <item x="837"/>
        <item x="842"/>
        <item x="843"/>
        <item x="844"/>
        <item m="1" x="1331"/>
        <item x="836"/>
        <item m="1" x="1319"/>
        <item m="1" x="1251"/>
        <item x="822"/>
        <item x="838"/>
        <item x="841"/>
        <item x="848"/>
        <item x="847"/>
        <item x="849"/>
        <item x="846"/>
        <item m="1" x="1298"/>
        <item x="851"/>
        <item x="850"/>
        <item x="845"/>
        <item m="1" x="1335"/>
        <item x="852"/>
        <item x="854"/>
        <item x="855"/>
        <item x="856"/>
        <item x="858"/>
        <item x="859"/>
        <item x="853"/>
        <item x="860"/>
        <item x="861"/>
        <item x="808"/>
        <item x="820"/>
        <item x="857"/>
        <item x="828"/>
        <item x="862"/>
        <item x="864"/>
        <item x="863"/>
        <item x="865"/>
        <item x="866"/>
        <item x="867"/>
        <item x="870"/>
        <item x="868"/>
        <item x="869"/>
        <item x="872"/>
        <item x="873"/>
        <item x="874"/>
        <item x="876"/>
        <item m="1" x="1299"/>
        <item x="875"/>
        <item x="879"/>
        <item x="881"/>
        <item x="880"/>
        <item x="878"/>
        <item x="882"/>
        <item x="883"/>
        <item x="885"/>
        <item m="1" x="1300"/>
        <item x="877"/>
        <item x="884"/>
        <item x="886"/>
        <item x="888"/>
        <item x="889"/>
        <item x="887"/>
        <item x="827"/>
        <item x="890"/>
        <item x="891"/>
        <item x="892"/>
        <item x="893"/>
        <item m="1" x="1246"/>
        <item x="894"/>
        <item x="895"/>
        <item x="896"/>
        <item x="900"/>
        <item x="898"/>
        <item x="902"/>
        <item x="897"/>
        <item x="899"/>
        <item x="904"/>
        <item x="905"/>
        <item x="906"/>
        <item x="907"/>
        <item x="903"/>
        <item x="901"/>
        <item x="908"/>
        <item x="871"/>
        <item m="1" x="1284"/>
        <item x="910"/>
        <item x="909"/>
        <item x="911"/>
        <item m="1" x="128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t="default"/>
      </items>
    </pivotField>
    <pivotField axis="axisRow" showAll="0">
      <items count="146">
        <item x="48"/>
        <item x="50"/>
        <item x="40"/>
        <item x="38"/>
        <item x="41"/>
        <item x="0"/>
        <item x="25"/>
        <item x="35"/>
        <item x="32"/>
        <item x="21"/>
        <item x="26"/>
        <item x="30"/>
        <item x="17"/>
        <item m="1" x="127"/>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39"/>
        <item x="46"/>
        <item x="43"/>
        <item m="1" x="129"/>
        <item x="45"/>
        <item x="47"/>
        <item x="49"/>
        <item m="1" x="130"/>
        <item x="28"/>
        <item x="52"/>
        <item x="51"/>
        <item x="53"/>
        <item x="54"/>
        <item x="55"/>
        <item x="56"/>
        <item x="57"/>
        <item x="58"/>
        <item x="59"/>
        <item x="60"/>
        <item x="61"/>
        <item x="62"/>
        <item x="63"/>
        <item x="64"/>
        <item x="65"/>
        <item x="66"/>
        <item x="70"/>
        <item m="1" x="133"/>
        <item x="67"/>
        <item x="69"/>
        <item m="1" x="128"/>
        <item x="71"/>
        <item x="72"/>
        <item x="73"/>
        <item m="1" x="136"/>
        <item m="1" x="144"/>
        <item m="1" x="138"/>
        <item x="77"/>
        <item x="76"/>
        <item x="82"/>
        <item x="74"/>
        <item x="75"/>
        <item x="68"/>
        <item x="78"/>
        <item x="79"/>
        <item m="1" x="135"/>
        <item x="80"/>
        <item x="81"/>
        <item m="1" x="137"/>
        <item sd="0" x="83"/>
        <item sd="0" x="86"/>
        <item x="84"/>
        <item x="85"/>
        <item x="87"/>
        <item x="89"/>
        <item x="90"/>
        <item x="91"/>
        <item x="92"/>
        <item x="93"/>
        <item x="94"/>
        <item x="95"/>
        <item x="96"/>
        <item m="1" x="141"/>
        <item m="1" x="142"/>
        <item m="1" x="132"/>
        <item x="97"/>
        <item x="100"/>
        <item m="1" x="140"/>
        <item x="101"/>
        <item x="110"/>
        <item x="106"/>
        <item x="88"/>
        <item x="102"/>
        <item x="112"/>
        <item x="113"/>
        <item m="1" x="143"/>
        <item x="108"/>
        <item x="115"/>
        <item m="1" x="134"/>
        <item x="116"/>
        <item x="98"/>
        <item x="99"/>
        <item x="103"/>
        <item x="114"/>
        <item x="107"/>
        <item x="117"/>
        <item x="118"/>
        <item x="119"/>
        <item x="120"/>
        <item m="1" x="131"/>
        <item x="121"/>
        <item x="104"/>
        <item x="122"/>
        <item x="105"/>
        <item x="111"/>
        <item x="109"/>
        <item m="1" x="126"/>
        <item x="123"/>
        <item x="124"/>
        <item x="125"/>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1"/>
        <item sd="0" x="32"/>
        <item sd="0" x="33"/>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52"/>
    </i>
    <i>
      <x v="17"/>
    </i>
    <i>
      <x v="10"/>
    </i>
    <i>
      <x v="60"/>
    </i>
    <i>
      <x v="45"/>
    </i>
    <i>
      <x v="74"/>
    </i>
    <i>
      <x v="75"/>
    </i>
    <i>
      <x v="73"/>
    </i>
    <i>
      <x v="22"/>
    </i>
    <i>
      <x v="11"/>
    </i>
    <i>
      <x v="7"/>
    </i>
    <i>
      <x v="76"/>
    </i>
    <i>
      <x v="13"/>
    </i>
    <i>
      <x v="9"/>
    </i>
    <i>
      <x v="4"/>
    </i>
    <i>
      <x v="14"/>
    </i>
    <i>
      <x v="20"/>
    </i>
    <i>
      <x v="19"/>
    </i>
    <i>
      <x v="65"/>
    </i>
    <i>
      <x v="5"/>
    </i>
    <i>
      <x v="6"/>
    </i>
    <i>
      <x v="53"/>
    </i>
    <i>
      <x v="64"/>
    </i>
    <i>
      <x v="54"/>
    </i>
    <i>
      <x v="71"/>
    </i>
    <i>
      <x v="59"/>
    </i>
    <i>
      <x v="12"/>
    </i>
    <i>
      <x v="44"/>
    </i>
    <i>
      <x v="18"/>
    </i>
    <i>
      <x v="63"/>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90">
        <item x="249"/>
        <item m="1" x="2287"/>
        <item m="1" x="2242"/>
        <item m="1" x="2241"/>
        <item m="1" x="2255"/>
        <item m="1" x="2245"/>
        <item m="1" x="2207"/>
        <item m="1" x="2226"/>
        <item m="1" x="2233"/>
        <item m="1" x="2253"/>
        <item m="1" x="2232"/>
        <item m="1" x="2261"/>
        <item m="1" x="2269"/>
        <item m="1" x="2230"/>
        <item m="1" x="2276"/>
        <item m="1" x="2223"/>
        <item m="1" x="2281"/>
        <item m="1" x="2236"/>
        <item m="1" x="2196"/>
        <item m="1" x="2285"/>
        <item m="1" x="2288"/>
        <item m="1" x="2203"/>
        <item m="1" x="2244"/>
        <item m="1" x="2198"/>
        <item m="1" x="2199"/>
        <item m="1" x="2201"/>
        <item m="1" x="2215"/>
        <item m="1" x="2216"/>
        <item m="1" x="2262"/>
        <item m="1" x="2250"/>
        <item m="1" x="2251"/>
        <item m="1" x="2256"/>
        <item m="1" x="2267"/>
        <item m="1" x="2246"/>
        <item m="1" x="2208"/>
        <item m="1" x="2213"/>
        <item m="1" x="2220"/>
        <item m="1" x="2270"/>
        <item x="0"/>
        <item m="1" x="2257"/>
        <item m="1" x="2263"/>
        <item m="1" x="2221"/>
        <item x="1"/>
        <item m="1" x="2264"/>
        <item m="1" x="2283"/>
        <item x="2"/>
        <item x="3"/>
        <item m="1" x="2227"/>
        <item m="1" x="2278"/>
        <item m="1" x="2224"/>
        <item m="1" x="2274"/>
        <item m="1" x="2282"/>
        <item m="1" x="2286"/>
        <item x="4"/>
        <item m="1" x="2197"/>
        <item x="5"/>
        <item x="6"/>
        <item m="1" x="223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49"/>
        <item x="157"/>
        <item x="158"/>
        <item x="159"/>
        <item x="160"/>
        <item x="161"/>
        <item x="162"/>
        <item x="163"/>
        <item x="164"/>
        <item x="165"/>
        <item x="166"/>
        <item x="167"/>
        <item x="168"/>
        <item x="169"/>
        <item m="1" x="223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2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37"/>
        <item x="276"/>
        <item x="277"/>
        <item x="278"/>
        <item x="275"/>
        <item m="1" x="2234"/>
        <item x="279"/>
        <item x="280"/>
        <item x="281"/>
        <item x="282"/>
        <item x="283"/>
        <item x="284"/>
        <item x="285"/>
        <item x="286"/>
        <item x="287"/>
        <item x="288"/>
        <item x="289"/>
        <item x="290"/>
        <item x="291"/>
        <item x="292"/>
        <item x="293"/>
        <item x="294"/>
        <item x="295"/>
        <item x="296"/>
        <item m="1" x="2238"/>
        <item x="297"/>
        <item x="298"/>
        <item x="299"/>
        <item m="1" x="2240"/>
        <item x="300"/>
        <item x="302"/>
        <item x="303"/>
        <item x="301"/>
        <item x="304"/>
        <item x="305"/>
        <item x="306"/>
        <item x="307"/>
        <item x="308"/>
        <item x="309"/>
        <item x="310"/>
        <item x="311"/>
        <item x="312"/>
        <item m="1" x="2204"/>
        <item x="313"/>
        <item m="1" x="2206"/>
        <item x="314"/>
        <item x="315"/>
        <item x="316"/>
        <item x="317"/>
        <item x="318"/>
        <item x="319"/>
        <item x="320"/>
        <item x="321"/>
        <item m="1" x="2252"/>
        <item x="323"/>
        <item x="324"/>
        <item x="325"/>
        <item x="326"/>
        <item x="322"/>
        <item x="327"/>
        <item x="328"/>
        <item x="329"/>
        <item x="330"/>
        <item x="331"/>
        <item m="1" x="2243"/>
        <item x="332"/>
        <item m="1" x="2205"/>
        <item x="333"/>
        <item x="334"/>
        <item x="335"/>
        <item x="336"/>
        <item x="337"/>
        <item x="338"/>
        <item x="344"/>
        <item m="1" x="221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02"/>
        <item x="375"/>
        <item x="376"/>
        <item x="373"/>
        <item x="377"/>
        <item x="378"/>
        <item x="379"/>
        <item x="380"/>
        <item m="1" x="2247"/>
        <item x="381"/>
        <item x="382"/>
        <item x="383"/>
        <item x="384"/>
        <item x="385"/>
        <item x="386"/>
        <item x="387"/>
        <item x="388"/>
        <item x="389"/>
        <item x="390"/>
        <item x="391"/>
        <item x="392"/>
        <item x="393"/>
        <item x="394"/>
        <item x="395"/>
        <item x="396"/>
        <item x="397"/>
        <item x="399"/>
        <item x="400"/>
        <item x="401"/>
        <item x="398"/>
        <item x="402"/>
        <item m="1" x="2248"/>
        <item x="403"/>
        <item x="404"/>
        <item x="405"/>
        <item x="406"/>
        <item x="407"/>
        <item x="408"/>
        <item x="409"/>
        <item m="1" x="2214"/>
        <item x="410"/>
        <item x="411"/>
        <item x="421"/>
        <item x="412"/>
        <item x="413"/>
        <item x="414"/>
        <item x="415"/>
        <item x="416"/>
        <item x="417"/>
        <item m="1" x="2268"/>
        <item x="418"/>
        <item x="419"/>
        <item x="420"/>
        <item x="423"/>
        <item x="443"/>
        <item x="424"/>
        <item x="422"/>
        <item x="425"/>
        <item x="426"/>
        <item x="427"/>
        <item x="428"/>
        <item x="429"/>
        <item x="430"/>
        <item x="431"/>
        <item x="432"/>
        <item m="1" x="2260"/>
        <item x="433"/>
        <item x="434"/>
        <item x="435"/>
        <item x="436"/>
        <item x="438"/>
        <item x="437"/>
        <item x="439"/>
        <item x="440"/>
        <item x="442"/>
        <item x="441"/>
        <item x="445"/>
        <item x="446"/>
        <item x="447"/>
        <item x="444"/>
        <item x="448"/>
        <item x="449"/>
        <item x="450"/>
        <item x="451"/>
        <item x="452"/>
        <item x="453"/>
        <item x="454"/>
        <item x="455"/>
        <item x="456"/>
        <item x="457"/>
        <item m="1" x="2222"/>
        <item x="458"/>
        <item x="459"/>
        <item m="1" x="2271"/>
        <item x="460"/>
        <item x="461"/>
        <item x="462"/>
        <item x="463"/>
        <item m="1" x="2280"/>
        <item x="464"/>
        <item x="465"/>
        <item x="466"/>
        <item x="467"/>
        <item x="468"/>
        <item x="469"/>
        <item x="470"/>
        <item m="1" x="2259"/>
        <item x="471"/>
        <item x="472"/>
        <item x="473"/>
        <item x="474"/>
        <item x="475"/>
        <item x="476"/>
        <item x="477"/>
        <item x="478"/>
        <item x="479"/>
        <item x="480"/>
        <item x="481"/>
        <item x="482"/>
        <item x="483"/>
        <item x="484"/>
        <item m="1" x="2235"/>
        <item x="490"/>
        <item x="485"/>
        <item x="486"/>
        <item x="487"/>
        <item x="488"/>
        <item x="489"/>
        <item x="491"/>
        <item x="492"/>
        <item m="1" x="2228"/>
        <item m="1" x="2272"/>
        <item x="503"/>
        <item m="1" x="2275"/>
        <item x="493"/>
        <item x="494"/>
        <item x="504"/>
        <item x="495"/>
        <item x="496"/>
        <item x="497"/>
        <item x="498"/>
        <item x="499"/>
        <item x="500"/>
        <item x="501"/>
        <item x="502"/>
        <item x="505"/>
        <item x="506"/>
        <item x="507"/>
        <item x="508"/>
        <item m="1" x="222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4"/>
        <item x="564"/>
        <item x="565"/>
        <item x="566"/>
        <item x="567"/>
        <item x="568"/>
        <item x="569"/>
        <item x="570"/>
        <item x="571"/>
        <item x="572"/>
        <item x="573"/>
        <item x="574"/>
        <item m="1" x="220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0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11"/>
        <item x="698"/>
        <item x="708"/>
        <item x="709"/>
        <item x="710"/>
        <item x="699"/>
        <item x="700"/>
        <item x="701"/>
        <item x="702"/>
        <item x="703"/>
        <item x="704"/>
        <item x="705"/>
        <item x="706"/>
        <item x="707"/>
        <item x="711"/>
        <item x="726"/>
        <item x="727"/>
        <item x="734"/>
        <item x="712"/>
        <item x="728"/>
        <item x="729"/>
        <item m="1" x="225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17"/>
        <item x="753"/>
        <item m="1" x="2219"/>
        <item x="740"/>
        <item x="754"/>
        <item x="741"/>
        <item x="742"/>
        <item x="743"/>
        <item x="744"/>
        <item x="745"/>
        <item x="746"/>
        <item x="747"/>
        <item x="755"/>
        <item x="748"/>
        <item x="757"/>
        <item x="758"/>
        <item x="769"/>
        <item x="759"/>
        <item m="1" x="2266"/>
        <item x="760"/>
        <item x="761"/>
        <item x="770"/>
        <item m="1" x="2273"/>
        <item x="762"/>
        <item x="771"/>
        <item x="763"/>
        <item x="764"/>
        <item x="765"/>
        <item x="766"/>
        <item x="772"/>
        <item x="773"/>
        <item x="767"/>
        <item x="768"/>
        <item x="774"/>
        <item x="775"/>
        <item x="790"/>
        <item x="776"/>
        <item x="791"/>
        <item x="777"/>
        <item x="778"/>
        <item x="792"/>
        <item x="779"/>
        <item x="780"/>
        <item x="781"/>
        <item x="782"/>
        <item x="793"/>
        <item x="783"/>
        <item x="794"/>
        <item x="795"/>
        <item x="219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7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4"/>
        <item x="944"/>
        <item m="1" x="221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6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7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95"/>
        <item x="1583"/>
        <item x="1577"/>
        <item x="1578"/>
        <item x="1576"/>
        <item x="1579"/>
        <item x="1580"/>
        <item x="1586"/>
        <item x="1587"/>
        <item x="1581"/>
        <item x="1582"/>
        <item x="1588"/>
        <item x="1589"/>
        <item x="1590"/>
        <item x="1602"/>
        <item x="1612"/>
        <item m="1" x="221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9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t="default"/>
      </items>
    </pivotField>
    <pivotField axis="axisRow" showAll="0">
      <items count="240">
        <item sd="0" x="43"/>
        <item sd="0" x="46"/>
        <item sd="0" x="45"/>
        <item sd="0" x="35"/>
        <item sd="0" m="1" x="151"/>
        <item sd="0" x="44"/>
        <item sd="0" m="1" x="165"/>
        <item sd="0" m="1" x="187"/>
        <item sd="0" x="42"/>
        <item sd="0" x="41"/>
        <item sd="0" x="40"/>
        <item sd="0" x="39"/>
        <item sd="0" x="38"/>
        <item sd="0" x="37"/>
        <item sd="0" x="20"/>
        <item sd="0" x="36"/>
        <item sd="0" m="1" x="157"/>
        <item sd="0" x="15"/>
        <item sd="0" x="18"/>
        <item n="JPMC (Main Project)" sd="0" x="11"/>
        <item sd="0" x="32"/>
        <item sd="0" x="31"/>
        <item sd="0" x="33"/>
        <item sd="0" x="34"/>
        <item sd="0" x="27"/>
        <item sd="0" x="30"/>
        <item sd="0" x="29"/>
        <item sd="0" x="26"/>
        <item sd="0" x="24"/>
        <item sd="0" x="25"/>
        <item sd="0" x="0"/>
        <item sd="0" x="19"/>
        <item sd="0" x="22"/>
        <item sd="0" x="23"/>
        <item sd="0" m="1" x="135"/>
        <item sd="0" x="21"/>
        <item sd="0" m="1" x="205"/>
        <item sd="0" m="1" x="163"/>
        <item sd="0" m="1" x="170"/>
        <item sd="0" x="8"/>
        <item sd="0" x="9"/>
        <item sd="0" m="1" x="160"/>
        <item sd="0" m="1" x="130"/>
        <item sd="0" m="1" x="181"/>
        <item sd="0" m="1" x="125"/>
        <item sd="0" m="1" x="137"/>
        <item sd="0" m="1" x="166"/>
        <item sd="0" x="13"/>
        <item sd="0" m="1" x="236"/>
        <item sd="0" m="1" x="216"/>
        <item sd="0" m="1" x="207"/>
        <item sd="0" m="1" x="145"/>
        <item sd="0" m="1" x="142"/>
        <item sd="0" m="1" x="232"/>
        <item sd="0" m="1" x="210"/>
        <item sd="0" m="1" x="219"/>
        <item sd="0" m="1" x="203"/>
        <item sd="0" m="1" x="193"/>
        <item sd="0" m="1" x="128"/>
        <item sd="0" m="1" x="156"/>
        <item sd="0" x="17"/>
        <item sd="0" m="1" x="162"/>
        <item sd="0" m="1" x="176"/>
        <item sd="0" m="1" x="129"/>
        <item sd="0" x="14"/>
        <item sd="0" m="1" x="226"/>
        <item sd="0" x="86"/>
        <item sd="0" m="1" x="171"/>
        <item sd="0" m="1" x="229"/>
        <item sd="0" m="1" x="164"/>
        <item sd="0" m="1" x="185"/>
        <item sd="0" m="1" x="183"/>
        <item sd="0" m="1" x="136"/>
        <item sd="0" m="1" x="174"/>
        <item sd="0" m="1" x="140"/>
        <item sd="0" m="1" x="180"/>
        <item sd="0" m="1" x="218"/>
        <item sd="0" m="1" x="175"/>
        <item sd="0" m="1" x="188"/>
        <item sd="0" x="10"/>
        <item sd="0" m="1" x="191"/>
        <item sd="0" x="1"/>
        <item sd="0" m="1" x="138"/>
        <item sd="0" m="1" x="192"/>
        <item sd="0" m="1" x="161"/>
        <item sd="0" m="1" x="220"/>
        <item sd="0" m="1" x="223"/>
        <item sd="0" m="1" x="195"/>
        <item sd="0" m="1" x="123"/>
        <item sd="0" m="1" x="144"/>
        <item sd="0" m="1" x="186"/>
        <item sd="0" m="1" x="179"/>
        <item sd="0" m="1" x="133"/>
        <item sd="0" m="1" x="127"/>
        <item sd="0" m="1" x="214"/>
        <item sd="0" x="3"/>
        <item sd="0" m="1" x="152"/>
        <item sd="0" x="7"/>
        <item sd="0" m="1" x="167"/>
        <item sd="0" x="2"/>
        <item sd="0" m="1" x="217"/>
        <item sd="0" m="1" x="173"/>
        <item sd="0" x="12"/>
        <item sd="0" x="5"/>
        <item sd="0" m="1" x="155"/>
        <item sd="0" x="4"/>
        <item sd="0" m="1" x="235"/>
        <item sd="0" m="1" x="141"/>
        <item sd="0" m="1" x="149"/>
        <item sd="0" m="1" x="201"/>
        <item sd="0" m="1" x="209"/>
        <item sd="0" m="1" x="213"/>
        <item sd="0" m="1" x="132"/>
        <item sd="0" m="1" x="227"/>
        <item sd="0" m="1" x="143"/>
        <item sd="0" m="1" x="148"/>
        <item sd="0" x="6"/>
        <item sd="0" m="1" x="204"/>
        <item sd="0" m="1" x="208"/>
        <item sd="0" m="1" x="224"/>
        <item sd="0" m="1" x="230"/>
        <item sd="0" m="1" x="225"/>
        <item sd="0" x="16"/>
        <item sd="0" m="1" x="122"/>
        <item sd="0" m="1" x="197"/>
        <item sd="0" m="1" x="190"/>
        <item sd="0" m="1" x="206"/>
        <item sd="0" m="1" x="168"/>
        <item m="1" x="182"/>
        <item sd="0" m="1" x="146"/>
        <item sd="0" m="1" x="211"/>
        <item sd="0" m="1" x="169"/>
        <item sd="0" m="1" x="196"/>
        <item sd="0" m="1" x="222"/>
        <item sd="0" x="28"/>
        <item sd="0" m="1" x="184"/>
        <item sd="0" m="1" x="212"/>
        <item sd="0" m="1" x="238"/>
        <item sd="0" m="1" x="159"/>
        <item m="1" x="199"/>
        <item sd="0" m="1" x="198"/>
        <item sd="0" m="1" x="233"/>
        <item sd="0" m="1" x="154"/>
        <item m="1" x="221"/>
        <item sd="0" m="1" x="131"/>
        <item m="1" x="177"/>
        <item m="1" x="215"/>
        <item m="1" x="147"/>
        <item x="47"/>
        <item x="48"/>
        <item x="49"/>
        <item m="1" x="237"/>
        <item x="51"/>
        <item x="52"/>
        <item x="50"/>
        <item x="53"/>
        <item x="54"/>
        <item x="55"/>
        <item x="56"/>
        <item x="57"/>
        <item m="1" x="228"/>
        <item x="59"/>
        <item x="58"/>
        <item x="60"/>
        <item x="63"/>
        <item x="61"/>
        <item x="62"/>
        <item x="64"/>
        <item m="1" x="119"/>
        <item m="1" x="172"/>
        <item x="65"/>
        <item x="67"/>
        <item x="66"/>
        <item x="68"/>
        <item x="69"/>
        <item x="70"/>
        <item x="71"/>
        <item m="1" x="202"/>
        <item m="1" x="134"/>
        <item x="72"/>
        <item x="75"/>
        <item x="73"/>
        <item x="76"/>
        <item m="1" x="139"/>
        <item m="1" x="124"/>
        <item x="78"/>
        <item x="74"/>
        <item m="1" x="194"/>
        <item m="1" x="110"/>
        <item x="80"/>
        <item m="1" x="126"/>
        <item m="1" x="121"/>
        <item m="1" x="189"/>
        <item x="77"/>
        <item m="1" x="231"/>
        <item x="81"/>
        <item x="82"/>
        <item x="83"/>
        <item m="1" x="234"/>
        <item m="1" x="178"/>
        <item x="84"/>
        <item m="1" x="150"/>
        <item x="79"/>
        <item x="98"/>
        <item m="1" x="153"/>
        <item x="85"/>
        <item m="1" x="200"/>
        <item x="87"/>
        <item x="88"/>
        <item x="89"/>
        <item x="90"/>
        <item x="91"/>
        <item m="1" x="158"/>
        <item m="1" x="115"/>
        <item x="92"/>
        <item x="93"/>
        <item m="1" x="118"/>
        <item m="1" x="117"/>
        <item m="1" x="116"/>
        <item x="94"/>
        <item m="1" x="120"/>
        <item m="1" x="111"/>
        <item x="97"/>
        <item x="104"/>
        <item x="96"/>
        <item m="1" x="112"/>
        <item m="1" x="114"/>
        <item x="100"/>
        <item x="101"/>
        <item m="1" x="109"/>
        <item x="102"/>
        <item m="1" x="113"/>
        <item x="103"/>
        <item x="99"/>
        <item x="95"/>
        <item x="107"/>
        <item x="105"/>
        <item x="108"/>
        <item x="106"/>
        <item t="default"/>
      </items>
    </pivotField>
    <pivotField axis="axisRow" showAll="0" sortType="ascending">
      <items count="1071">
        <item h="1" sd="0" x="60"/>
        <item h="1" sd="0" x="149"/>
        <item h="1" x="755"/>
        <item h="1" sd="0" m="1" x="841"/>
        <item h="1" sd="0" x="724"/>
        <item h="1" sd="0" m="1" x="913"/>
        <item h="1" sd="0" x="572"/>
        <item h="1" sd="0" m="1" x="1011"/>
        <item h="1" sd="0" m="1" x="854"/>
        <item h="1" sd="0" x="464"/>
        <item h="1" sd="0" m="1" x="875"/>
        <item h="1" x="756"/>
        <item h="1" sd="0" x="18"/>
        <item h="1" sd="0" x="288"/>
        <item h="1" sd="0" m="1" x="1052"/>
        <item h="1" sd="0" x="146"/>
        <item h="1" sd="0" x="179"/>
        <item h="1" sd="0" x="490"/>
        <item h="1" sd="0" x="673"/>
        <item h="1" sd="0" m="1" x="1049"/>
        <item h="1" sd="0" x="641"/>
        <item h="1" sd="0" x="623"/>
        <item h="1" x="811"/>
        <item h="1" sd="0" x="100"/>
        <item h="1" sd="0" x="606"/>
        <item h="1" sd="0" m="1" x="860"/>
        <item h="1" sd="0" m="1" x="1015"/>
        <item h="1" sd="0" x="137"/>
        <item h="1" sd="0" m="1" x="997"/>
        <item h="1" sd="0" x="231"/>
        <item h="1" sd="0" m="1" x="831"/>
        <item sd="0" x="758"/>
        <item h="1" sd="0" m="1" x="1002"/>
        <item h="1" sd="0" m="1" x="892"/>
        <item h="1" sd="0" x="363"/>
        <item h="1" sd="0" x="510"/>
        <item sd="0" x="563"/>
        <item h="1" sd="0" x="651"/>
        <item h="1" x="736"/>
        <item h="1" sd="0" x="375"/>
        <item h="1" sd="0" x="379"/>
        <item h="1" sd="0" m="1" x="889"/>
        <item h="1" sd="0" x="718"/>
        <item h="1" sd="0" m="1" x="867"/>
        <item h="1" sd="0" m="1" x="92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52"/>
        <item h="1" sd="0" x="325"/>
        <item h="1" sd="0" x="481"/>
        <item h="1" sd="0" m="1" x="1053"/>
        <item h="1" sd="0" m="1" x="950"/>
        <item h="1" sd="0" x="528"/>
        <item h="1" sd="0" x="630"/>
        <item h="1" sd="0" x="223"/>
        <item h="1" sd="0" m="1" x="843"/>
        <item h="1" sd="0" x="239"/>
        <item h="1" sd="0" x="521"/>
        <item h="1" sd="0" x="135"/>
        <item h="1" sd="0" x="140"/>
        <item h="1" sd="0" x="479"/>
        <item h="1" sd="0" m="1" x="1026"/>
        <item h="1" sd="0" m="1" x="956"/>
        <item h="1" sd="0" x="219"/>
        <item h="1" sd="0" m="1" x="1065"/>
        <item h="1" sd="0" x="562"/>
        <item h="1" x="743"/>
        <item h="1" x="760"/>
        <item h="1" sd="0" x="711"/>
        <item h="1" sd="0" x="683"/>
        <item h="1" x="805"/>
        <item h="1" sd="0" x="93"/>
        <item h="1" sd="0" m="1" x="1023"/>
        <item h="1" sd="0" x="399"/>
        <item h="1" sd="0" x="222"/>
        <item h="1" sd="0" m="1" x="856"/>
        <item h="1" sd="0" x="337"/>
        <item h="1" sd="0" x="207"/>
        <item h="1" sd="0" x="517"/>
        <item h="1" sd="0" x="489"/>
        <item h="1" sd="0" x="184"/>
        <item h="1" sd="0" x="152"/>
        <item h="1" sd="0" m="1" x="1036"/>
        <item h="1" sd="0" x="40"/>
        <item h="1" sd="0" x="281"/>
        <item h="1" sd="0" x="170"/>
        <item h="1" x="803"/>
        <item h="1" sd="0" x="317"/>
        <item h="1" sd="0" x="358"/>
        <item h="1" sd="0" x="214"/>
        <item h="1" sd="0" x="370"/>
        <item h="1" sd="0" x="378"/>
        <item h="1" sd="0" x="279"/>
        <item h="1" sd="0" m="1" x="893"/>
        <item h="1" sd="0" x="156"/>
        <item h="1" sd="0" x="700"/>
        <item h="1" sd="0" x="639"/>
        <item h="1" sd="0" x="253"/>
        <item h="1" sd="0" m="1" x="1012"/>
        <item h="1" sd="0" x="442"/>
        <item h="1" sd="0" m="1" x="822"/>
        <item h="1" sd="0" x="409"/>
        <item h="1" sd="0" x="365"/>
        <item h="1" sd="0" m="1" x="874"/>
        <item h="1" sd="0" m="1" x="839"/>
        <item sd="0" x="666"/>
        <item h="1" sd="0" x="556"/>
        <item h="1" sd="0" x="383"/>
        <item h="1" sd="0" x="259"/>
        <item h="1" sd="0" x="463"/>
        <item h="1" sd="0" x="252"/>
        <item h="1" sd="0" x="643"/>
        <item h="1" sd="0" x="537"/>
        <item h="1" sd="0" m="1" x="955"/>
        <item h="1" sd="0" x="577"/>
        <item h="1" sd="0" x="597"/>
        <item h="1" sd="0" x="12"/>
        <item h="1" sd="0" x="571"/>
        <item h="1" sd="0" m="1" x="1025"/>
        <item h="1" sd="0" x="569"/>
        <item h="1" sd="0" x="352"/>
        <item h="1" sd="0" x="218"/>
        <item h="1" sd="0" x="371"/>
        <item h="1" sd="0" x="224"/>
        <item h="1" sd="0" x="63"/>
        <item h="1" sd="0" x="8"/>
        <item h="1" sd="0" x="102"/>
        <item h="1" sd="0" m="1" x="861"/>
        <item h="1" sd="0" m="1" x="1055"/>
        <item h="1" sd="0" x="550"/>
        <item h="1" sd="0" x="319"/>
        <item h="1" sd="0" m="1" x="866"/>
        <item h="1" sd="0" m="1" x="1066"/>
        <item h="1" sd="0" x="386"/>
        <item h="1" sd="0" x="634"/>
        <item h="1" sd="0" x="31"/>
        <item h="1" sd="0" x="55"/>
        <item h="1" sd="0" x="227"/>
        <item h="1" sd="0" x="453"/>
        <item h="1" sd="0" x="356"/>
        <item h="1" x="801"/>
        <item h="1" sd="0" x="161"/>
        <item h="1" sd="0" x="153"/>
        <item h="1" sd="0" x="653"/>
        <item h="1" sd="0" x="553"/>
        <item h="1" sd="0" x="704"/>
        <item h="1" sd="0" m="1" x="940"/>
        <item h="1" sd="0" x="133"/>
        <item h="1" sd="0" m="1" x="847"/>
        <item h="1" sd="0" m="1" x="840"/>
        <item h="1" sd="0" m="1" x="1041"/>
        <item h="1" sd="0" x="668"/>
        <item h="1" x="762"/>
        <item h="1" sd="0" x="681"/>
        <item h="1" sd="0" x="685"/>
        <item h="1" sd="0" x="46"/>
        <item h="1" sd="0" x="374"/>
        <item h="1" sd="0" m="1" x="849"/>
        <item h="1" sd="0" x="423"/>
        <item h="1" sd="0" x="574"/>
        <item h="1" sd="0" x="367"/>
        <item h="1" sd="0" x="270"/>
        <item h="1" sd="0" m="1" x="930"/>
        <item h="1" sd="0" m="1" x="895"/>
        <item h="1" sd="0" x="427"/>
        <item h="1" sd="0" x="411"/>
        <item h="1" sd="0" x="465"/>
        <item h="1" sd="0" m="1" x="931"/>
        <item h="1" sd="0" m="1" x="911"/>
        <item h="1" sd="0" m="1" x="1022"/>
        <item h="1" sd="0" m="1" x="965"/>
        <item h="1" sd="0" m="1" x="927"/>
        <item h="1" sd="0" x="366"/>
        <item h="1" sd="0" x="437"/>
        <item h="1" sd="0" x="506"/>
        <item h="1" sd="0" x="632"/>
        <item h="1" sd="0" m="1" x="941"/>
        <item h="1" sd="0" x="567"/>
        <item h="1" sd="0" x="665"/>
        <item h="1" x="797"/>
        <item h="1" sd="0" x="534"/>
        <item h="1" sd="0" x="456"/>
        <item h="1" sd="0" x="318"/>
        <item h="1" sd="0" m="1" x="888"/>
        <item h="1" x="800"/>
        <item h="1" sd="0" x="697"/>
        <item h="1" sd="0" x="312"/>
        <item h="1" sd="0" x="273"/>
        <item h="1" sd="0" x="428"/>
        <item h="1" sd="0" x="519"/>
        <item h="1" sd="0" m="1" x="987"/>
        <item h="1" sd="0" x="396"/>
        <item h="1" x="751"/>
        <item h="1" sd="0" x="605"/>
        <item h="1" sd="0" x="402"/>
        <item h="1" sd="0" x="710"/>
        <item h="1" sd="0" x="201"/>
        <item h="1" sd="0" m="1" x="915"/>
        <item h="1" x="779"/>
        <item h="1" sd="0" x="160"/>
        <item h="1" sd="0" x="443"/>
        <item h="1" sd="0" m="1" x="1019"/>
        <item h="1" sd="0" m="1" x="979"/>
        <item h="1" sd="0" m="1" x="873"/>
        <item h="1" x="746"/>
        <item h="1" sd="0" x="451"/>
        <item h="1" sd="0" x="538"/>
        <item h="1" sd="0" x="414"/>
        <item h="1" sd="0" x="413"/>
        <item h="1" sd="0" x="277"/>
        <item h="1" sd="0" x="467"/>
        <item h="1" sd="0" m="1" x="973"/>
        <item h="1" sd="0" x="225"/>
        <item h="1" sd="0" m="1" x="845"/>
        <item h="1" sd="0" m="1" x="848"/>
        <item h="1" sd="0" x="522"/>
        <item h="1" x="814"/>
        <item h="1" sd="0" x="468"/>
        <item h="1" sd="0" x="539"/>
        <item h="1" x="804"/>
        <item h="1" sd="0" x="633"/>
        <item h="1" sd="0" m="1" x="859"/>
        <item h="1" sd="0" x="292"/>
        <item h="1" sd="0" x="15"/>
        <item h="1" sd="0" m="1" x="886"/>
        <item h="1" sd="0" m="1" x="901"/>
        <item h="1" sd="0" x="662"/>
        <item h="1" sd="0" x="0"/>
        <item h="1" sd="0" x="232"/>
        <item h="1" sd="0" x="679"/>
        <item h="1" sd="0" x="213"/>
        <item h="1" sd="0" m="1" x="1021"/>
        <item h="1" sd="0" x="316"/>
        <item h="1" x="749"/>
        <item h="1" sd="0" x="702"/>
        <item h="1" sd="0" x="513"/>
        <item h="1" sd="0" x="436"/>
        <item h="1" sd="0" x="449"/>
        <item h="1" sd="0" m="1" x="830"/>
        <item h="1" sd="0" x="291"/>
        <item h="1" x="739"/>
        <item h="1" sd="0" x="391"/>
        <item h="1" sd="0" x="333"/>
        <item h="1" x="793"/>
        <item h="1" x="787"/>
        <item sd="0" x="339"/>
        <item h="1" sd="0" x="275"/>
        <item h="1" sd="0" m="1" x="862"/>
        <item sd="0" x="174"/>
        <item h="1" sd="0" x="171"/>
        <item h="1" sd="0" x="233"/>
        <item h="1" sd="0" x="78"/>
        <item h="1" sd="0" m="1" x="921"/>
        <item h="1" sd="0" x="236"/>
        <item h="1" sd="0" x="58"/>
        <item h="1" sd="0" m="1" x="990"/>
        <item h="1" sd="0" x="474"/>
        <item h="1" sd="0" x="511"/>
        <item h="1" sd="0" x="408"/>
        <item h="1" x="812"/>
        <item h="1" sd="0" x="587"/>
        <item h="1" sd="0" x="240"/>
        <item h="1" sd="0" m="1" x="855"/>
        <item h="1" sd="0" x="182"/>
        <item h="1" x="806"/>
        <item h="1" sd="0" x="307"/>
        <item h="1" sd="0" x="782"/>
        <item h="1" sd="0" x="648"/>
        <item h="1" x="776"/>
        <item h="1" sd="0" x="290"/>
        <item h="1" sd="0" m="1" x="947"/>
        <item h="1" sd="0" m="1" x="1008"/>
        <item h="1" sd="0" x="636"/>
        <item h="1" sd="0" x="499"/>
        <item h="1" sd="0" x="447"/>
        <item h="1" sd="0" x="132"/>
        <item h="1" sd="0" x="56"/>
        <item h="1" sd="0" x="126"/>
        <item h="1" sd="0" x="22"/>
        <item h="1" sd="0" x="187"/>
        <item h="1" sd="0" m="1" x="836"/>
        <item h="1" sd="0" m="1" x="1039"/>
        <item h="1" sd="0" m="1" x="842"/>
        <item h="1" sd="0" x="11"/>
        <item h="1" sd="0" x="670"/>
        <item h="1" sd="0" x="353"/>
        <item h="1" sd="0" x="542"/>
        <item h="1" sd="0" m="1" x="926"/>
        <item h="1" sd="0" x="124"/>
        <item h="1" sd="0" x="646"/>
        <item h="1" sd="0" m="1" x="1069"/>
        <item h="1" sd="0" x="77"/>
        <item h="1" sd="0" m="1" x="951"/>
        <item h="1" sd="0" x="435"/>
        <item h="1" sd="0" x="92"/>
        <item h="1" sd="0" x="35"/>
        <item h="1" sd="0" x="196"/>
        <item h="1" sd="0" m="1" x="1048"/>
        <item h="1" sd="0" x="1"/>
        <item h="1" sd="0" x="180"/>
        <item h="1" sd="0" x="430"/>
        <item h="1" sd="0" x="285"/>
        <item h="1" x="747"/>
        <item h="1" sd="0" x="581"/>
        <item h="1" sd="0" m="1" x="968"/>
        <item h="1" sd="0" x="42"/>
        <item h="1" sd="0" x="469"/>
        <item h="1" sd="0" x="440"/>
        <item h="1" sd="0" m="1" x="989"/>
        <item h="1" sd="0" m="1" x="959"/>
        <item h="1" sd="0" m="1" x="976"/>
        <item h="1" sd="0" m="1" x="909"/>
        <item h="1" sd="0" x="84"/>
        <item h="1" sd="0" x="106"/>
        <item h="1" sd="0" x="727"/>
        <item h="1" sd="0" m="1" x="821"/>
        <item h="1" sd="0" x="526"/>
        <item h="1" sd="0" x="592"/>
        <item h="1" sd="0" x="484"/>
        <item h="1" sd="0" x="336"/>
        <item h="1" sd="0" x="659"/>
        <item h="1" sd="0" x="669"/>
        <item h="1" sd="0" m="1" x="982"/>
        <item h="1" sd="0" x="560"/>
        <item h="1" sd="0" x="714"/>
        <item sd="0" x="709"/>
        <item h="1" x="795"/>
        <item sd="0" x="599"/>
        <item h="1" sd="0" m="1" x="823"/>
        <item h="1" sd="0" m="1" x="818"/>
        <item h="1" sd="0" m="1" x="969"/>
        <item h="1" sd="0" m="1" x="851"/>
        <item h="1" sd="0" x="515"/>
        <item h="1" sd="0" x="715"/>
        <item h="1" sd="0" x="677"/>
        <item h="1" sd="0" x="698"/>
        <item h="1" sd="0" m="1" x="999"/>
        <item h="1" x="783"/>
        <item h="1" x="802"/>
        <item h="1" sd="0" m="1" x="852"/>
        <item h="1" sd="0" x="16"/>
        <item h="1" sd="0" m="1" x="934"/>
        <item h="1" sd="0" x="407"/>
        <item h="1" sd="0" x="603"/>
        <item h="1" sd="0" m="1" x="978"/>
        <item h="1" sd="0" m="1" x="891"/>
        <item h="1" sd="0" x="280"/>
        <item h="1" sd="0" x="104"/>
        <item h="1" sd="0" x="332"/>
        <item h="1" sd="0" m="1" x="914"/>
        <item h="1" sd="0" x="348"/>
        <item h="1" sd="0" x="23"/>
        <item sd="0" x="693"/>
        <item h="1" sd="0" m="1" x="86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59"/>
        <item h="1" sd="0" m="1" x="1034"/>
        <item h="1" sd="0" x="87"/>
        <item h="1" sd="0" x="501"/>
        <item h="1" sd="0" x="690"/>
        <item h="1" sd="0" x="450"/>
        <item h="1" sd="0" x="33"/>
        <item h="1" sd="0" x="19"/>
        <item h="1" sd="0" x="389"/>
        <item h="1" sd="0" m="1" x="825"/>
        <item h="1" sd="0" x="403"/>
        <item h="1" sd="0" x="20"/>
        <item h="1" sd="0" m="1" x="837"/>
        <item h="1" sd="0" x="584"/>
        <item h="1" sd="0" x="96"/>
        <item h="1" sd="0" x="555"/>
        <item h="1" sd="0" x="438"/>
        <item h="1" sd="0" m="1" x="864"/>
        <item h="1" sd="0" m="1" x="1051"/>
        <item h="1" sd="0" m="1" x="1028"/>
        <item h="1" sd="0" m="1" x="902"/>
        <item h="1" sd="0" x="588"/>
        <item h="1" sd="0" x="120"/>
        <item h="1" sd="0" x="590"/>
        <item h="1" sd="0" x="131"/>
        <item h="1" sd="0" x="119"/>
        <item h="1" sd="0" m="1" x="980"/>
        <item h="1" sd="0" m="1" x="945"/>
        <item h="1" sd="0" m="1" x="971"/>
        <item h="1" sd="0" m="1" x="835"/>
        <item h="1" sd="0" m="1" x="957"/>
        <item h="1" sd="0" x="228"/>
        <item h="1" sd="0" x="39"/>
        <item h="1" sd="0" x="619"/>
        <item h="1" sd="0" x="108"/>
        <item h="1" sd="0" x="24"/>
        <item h="1" x="729"/>
        <item h="1" sd="0" x="139"/>
        <item h="1" sd="0" x="393"/>
        <item h="1" sd="0" m="1" x="1038"/>
        <item h="1" sd="0" x="613"/>
        <item h="1" sd="0" x="17"/>
        <item h="1" sd="0" x="461"/>
        <item h="1" x="742"/>
        <item h="1" x="799"/>
        <item h="1" x="768"/>
        <item h="1" sd="0" x="441"/>
        <item h="1" sd="0" x="248"/>
        <item h="1" sd="0" x="48"/>
        <item h="1" sd="0" m="1" x="953"/>
        <item h="1" sd="0" m="1" x="1013"/>
        <item h="1" sd="0" x="134"/>
        <item h="1" sd="0" x="596"/>
        <item h="1" sd="0" m="1" x="923"/>
        <item h="1" sd="0" x="69"/>
        <item h="1" x="788"/>
        <item h="1" sd="0" x="654"/>
        <item h="1" sd="0" m="1" x="986"/>
        <item h="1" sd="0" x="34"/>
        <item h="1" sd="0" x="206"/>
        <item h="1" sd="0" m="1" x="1054"/>
        <item h="1" sd="0" m="1" x="929"/>
        <item h="1" sd="0" m="1" x="948"/>
        <item h="1" sd="0" m="1" x="890"/>
        <item h="1" x="786"/>
        <item h="1" sd="0" x="268"/>
        <item h="1" sd="0" x="376"/>
        <item h="1" sd="0" x="331"/>
        <item h="1" sd="0" m="1" x="882"/>
        <item h="1" sd="0" x="360"/>
        <item h="1" sd="0" m="1" x="1029"/>
        <item h="1" sd="0" x="89"/>
        <item h="1" sd="0" x="355"/>
        <item sd="0" x="642"/>
        <item h="1" sd="0" m="1" x="928"/>
        <item h="1" sd="0" x="168"/>
        <item h="1" sd="0" m="1" x="826"/>
        <item h="1" sd="0" m="1" x="819"/>
        <item h="1" sd="0" x="473"/>
        <item h="1" sd="0" x="272"/>
        <item h="1" sd="0" x="523"/>
        <item h="1" sd="0" x="51"/>
        <item h="1" sd="0" x="190"/>
        <item h="1" sd="0" x="625"/>
        <item h="1" sd="0" x="50"/>
        <item h="1" sd="0" x="79"/>
        <item h="1" sd="0" x="32"/>
        <item h="1" sd="0" m="1" x="1016"/>
        <item h="1" sd="0" x="667"/>
        <item h="1" sd="0" x="188"/>
        <item h="1" x="789"/>
        <item h="1" x="764"/>
        <item h="1" sd="0" x="110"/>
        <item h="1" sd="0" m="1" x="1035"/>
        <item h="1" x="775"/>
        <item h="1" sd="0" m="1" x="1032"/>
        <item h="1" sd="0" m="1" x="938"/>
        <item h="1" sd="0" m="1" x="884"/>
        <item h="1" sd="0" m="1" x="933"/>
        <item h="1" sd="0" m="1" x="905"/>
        <item h="1" sd="0" x="226"/>
        <item h="1" sd="0" x="57"/>
        <item h="1" sd="0" m="1" x="936"/>
        <item h="1" sd="0" x="530"/>
        <item h="1" sd="0" x="554"/>
        <item h="1" x="734"/>
        <item h="1" sd="0" x="340"/>
        <item h="1" sd="0" x="604"/>
        <item h="1" sd="0" x="265"/>
        <item h="1" sd="0" x="448"/>
        <item h="1" sd="0" x="628"/>
        <item h="1" x="770"/>
        <item h="1" sd="0" m="1" x="974"/>
        <item h="1" sd="0" x="294"/>
        <item h="1" sd="0" m="1" x="963"/>
        <item h="1" sd="0" x="585"/>
        <item h="1" sd="0" x="583"/>
        <item h="1" sd="0" x="62"/>
        <item h="1" sd="0" x="295"/>
        <item h="1" sd="0" x="3"/>
        <item h="1" sd="0" x="151"/>
        <item h="1" sd="0" x="415"/>
        <item h="1" sd="0" x="503"/>
        <item h="1" sd="0" x="210"/>
        <item h="1" sd="0" x="54"/>
        <item h="1" sd="0" m="1" x="994"/>
        <item h="1" sd="0" m="1" x="977"/>
        <item h="1" sd="0" x="387"/>
        <item h="1" sd="0" m="1" x="838"/>
        <item h="1" sd="0" x="323"/>
        <item h="1" sd="0" x="713"/>
        <item h="1" sd="0" x="678"/>
        <item h="1" sd="0" m="1" x="871"/>
        <item h="1" sd="0" x="75"/>
        <item h="1" sd="0" x="476"/>
        <item h="1" sd="0" x="527"/>
        <item h="1" sd="0" m="1" x="900"/>
        <item h="1" sd="0" x="186"/>
        <item h="1" sd="0" x="486"/>
        <item h="1" sd="0" x="674"/>
        <item h="1" sd="0" x="429"/>
        <item h="1" sd="0" x="361"/>
        <item h="1" sd="0" x="368"/>
        <item sd="0" x="721"/>
        <item sd="0" x="766"/>
        <item h="1" sd="0" x="327"/>
        <item h="1" sd="0" x="195"/>
        <item h="1" sd="0" x="687"/>
        <item h="1" x="774"/>
        <item h="1" sd="0" x="566"/>
        <item h="1" sd="0" m="1" x="967"/>
        <item h="1" sd="0" m="1" x="1007"/>
        <item h="1" sd="0" x="123"/>
        <item h="1" sd="0" x="497"/>
        <item sd="0" x="719"/>
        <item h="1" sd="0" m="1" x="897"/>
        <item h="1" sd="0" x="194"/>
        <item h="1" sd="0" x="557"/>
        <item h="1" sd="0" x="663"/>
        <item h="1" sd="0" x="121"/>
        <item h="1" x="772"/>
        <item h="1" sd="0" x="53"/>
        <item h="1" sd="0" x="472"/>
        <item h="1" sd="0" x="549"/>
        <item h="1" sd="0" x="565"/>
        <item h="1" sd="0" m="1" x="1024"/>
        <item h="1" m="1" x="949"/>
        <item h="1" sd="0" x="278"/>
        <item h="1" x="750"/>
        <item h="1" sd="0" x="212"/>
        <item h="1" sd="0" m="1" x="906"/>
        <item h="1" sd="0" m="1" x="1009"/>
        <item h="1" sd="0" m="1" x="1000"/>
        <item h="1" sd="0" x="631"/>
        <item h="1" sd="0" m="1" x="1067"/>
        <item h="1" sd="0" m="1" x="853"/>
        <item h="1" sd="0" x="675"/>
        <item h="1" sd="0" m="1" x="1061"/>
        <item h="1" sd="0" x="691"/>
        <item h="1" sd="0" x="117"/>
        <item h="1" sd="0" x="111"/>
        <item h="1" x="796"/>
        <item h="1" sd="0" x="671"/>
        <item h="1" sd="0" x="502"/>
        <item h="1" sd="0" x="417"/>
        <item h="1" sd="0" x="81"/>
        <item h="1" sd="0" x="7"/>
        <item h="1" sd="0" x="235"/>
        <item h="1" sd="0" x="434"/>
        <item h="1" sd="0" x="287"/>
        <item h="1" sd="0" m="1" x="998"/>
        <item h="1" sd="0" m="1" x="1045"/>
        <item h="1" sd="0" x="491"/>
        <item h="1" sd="0" x="722"/>
        <item h="1" sd="0" x="2"/>
        <item h="1" sd="0" x="637"/>
        <item h="1" sd="0" m="1" x="1060"/>
        <item h="1" sd="0" m="1" x="919"/>
        <item h="1" sd="0" x="692"/>
        <item h="1" sd="0" x="536"/>
        <item h="1" sd="0" x="163"/>
        <item h="1" sd="0" x="431"/>
        <item h="1" sd="0" m="1" x="992"/>
        <item h="1" sd="0" x="650"/>
        <item h="1" sd="0" x="680"/>
        <item h="1" sd="0" x="478"/>
        <item h="1" sd="0" x="602"/>
        <item h="1" sd="0" m="1" x="879"/>
        <item h="1" sd="0" x="445"/>
        <item h="1" sd="0" m="1" x="865"/>
        <item h="1" sd="0" m="1" x="1068"/>
        <item h="1" sd="0" m="1" x="832"/>
        <item h="1" sd="0" m="1" x="829"/>
        <item h="1" sd="0" x="130"/>
        <item h="1" sd="0" x="88"/>
        <item h="1" sd="0" m="1" x="1063"/>
        <item h="1" sd="0" x="204"/>
        <item h="1" sd="0" x="72"/>
        <item h="1" sd="0" x="73"/>
        <item h="1" sd="0" x="28"/>
        <item h="1" sd="0" x="47"/>
        <item h="1" sd="0" x="181"/>
        <item h="1" sd="0" x="26"/>
        <item h="1" sd="0" x="86"/>
        <item h="1" sd="0" x="230"/>
        <item h="1" sd="0" m="1" x="935"/>
        <item h="1" sd="0" m="1" x="918"/>
        <item h="1" x="737"/>
        <item h="1" sd="0" m="1" x="95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0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78"/>
        <item h="1" sd="0" x="359"/>
        <item h="1" sd="0" m="1" x="1058"/>
        <item h="1" sd="0" x="425"/>
        <item h="1" sd="0" x="269"/>
        <item h="1" sd="0" x="215"/>
        <item h="1" sd="0" x="349"/>
        <item h="1" sd="0" x="283"/>
        <item h="1" sd="0" x="185"/>
        <item h="1" sd="0" x="460"/>
        <item h="1" sd="0" x="220"/>
        <item h="1" x="807"/>
        <item h="1" sd="0" x="703"/>
        <item h="1" sd="0" x="598"/>
        <item h="1" sd="0" x="644"/>
        <item h="1" x="753"/>
        <item h="1" sd="0" x="624"/>
        <item h="1" sd="0" x="547"/>
        <item h="1" sd="0" m="1" x="1046"/>
        <item h="1" sd="0" m="1" x="824"/>
        <item h="1" sd="0" x="4"/>
        <item h="1" sd="0" x="377"/>
        <item h="1" x="808"/>
        <item h="1" sd="0" x="262"/>
        <item h="1" sd="0" x="454"/>
        <item h="1" sd="0" x="326"/>
        <item h="1" sd="0" x="173"/>
        <item h="1" sd="0" x="200"/>
        <item h="1" x="809"/>
        <item h="1" x="785"/>
        <item h="1" sd="0" m="1" x="863"/>
        <item h="1" sd="0" x="725"/>
        <item h="1" x="798"/>
        <item h="1" sd="0" x="495"/>
        <item h="1" sd="0" x="345"/>
        <item h="1" sd="0" x="717"/>
        <item h="1" sd="0" x="568"/>
        <item h="1" sd="0" x="640"/>
        <item h="1" sd="0" x="482"/>
        <item h="1" sd="0" x="726"/>
        <item h="1" sd="0" x="30"/>
        <item h="1" sd="0" m="1" x="995"/>
        <item h="1" sd="0" x="242"/>
        <item h="1" sd="0" x="591"/>
        <item h="1" sd="0" x="645"/>
        <item h="1" sd="0" m="1" x="925"/>
        <item h="1" sd="0" m="1" x="833"/>
        <item h="1" sd="0" x="694"/>
        <item h="1" sd="0" x="470"/>
        <item h="1" sd="0" x="243"/>
        <item h="1" sd="0" m="1" x="1040"/>
        <item h="1" sd="0" x="622"/>
        <item h="1" sd="0" x="398"/>
        <item h="1" sd="0" m="1" x="872"/>
        <item h="1" sd="0" m="1" x="1043"/>
        <item h="1" sd="0" m="1" x="943"/>
        <item h="1" sd="0" x="551"/>
        <item h="1" sd="0" x="303"/>
        <item h="1" sd="0" x="532"/>
        <item h="1" sd="0" x="37"/>
        <item h="1" sd="0" x="357"/>
        <item h="1" sd="0" x="487"/>
        <item h="1" sd="0" x="658"/>
        <item h="1" sd="0" x="686"/>
        <item h="1" sd="0" x="512"/>
        <item h="1" x="780"/>
        <item h="1" sd="0" m="1" x="937"/>
        <item h="1" sd="0" m="1" x="988"/>
        <item h="1" sd="0" x="115"/>
        <item h="1" sd="0" m="1" x="1037"/>
        <item h="1" sd="0" m="1" x="844"/>
        <item h="1" sd="0" x="324"/>
        <item sd="0" x="518"/>
        <item h="1" sd="0" m="1" x="907"/>
        <item h="1" sd="0" x="128"/>
        <item h="1" sd="0" x="520"/>
        <item h="1" sd="0" m="1" x="1044"/>
        <item h="1" sd="0" m="1" x="1020"/>
        <item h="1" sd="0" x="255"/>
        <item h="1" sd="0" x="199"/>
        <item h="1" sd="0" x="329"/>
        <item h="1" sd="0" x="297"/>
        <item h="1" sd="0" x="310"/>
        <item h="1" x="741"/>
        <item h="1" sd="0" x="83"/>
        <item h="1" sd="0" m="1" x="944"/>
        <item h="1" sd="0" x="600"/>
        <item h="1" sd="0" m="1" x="827"/>
        <item h="1" sd="0" x="80"/>
        <item h="1" sd="0" m="1" x="896"/>
        <item h="1" sd="0" m="1" x="1033"/>
        <item h="1" sd="0" x="97"/>
        <item h="1" sd="0" x="564"/>
        <item h="1" sd="0" x="289"/>
        <item h="1" sd="0" m="1" x="983"/>
        <item h="1" sd="0" x="116"/>
        <item h="1" sd="0" x="209"/>
        <item h="1" sd="0" x="452"/>
        <item h="1" sd="0" x="684"/>
        <item h="1" sd="0" x="198"/>
        <item h="1" sd="0" x="401"/>
        <item h="1" sd="0" x="656"/>
        <item h="1" sd="0" x="150"/>
        <item h="1" sd="0" x="136"/>
        <item h="1" sd="0" m="1" x="924"/>
        <item h="1" sd="0" x="676"/>
        <item h="1" sd="0" m="1" x="857"/>
        <item h="1" sd="0" x="109"/>
        <item h="1" sd="0" x="397"/>
        <item sd="0" x="664"/>
        <item h="1" sd="0" x="498"/>
        <item h="1" sd="0" x="706"/>
        <item h="1" sd="0" x="649"/>
        <item h="1" sd="0" x="514"/>
        <item h="1" sd="0" x="558"/>
        <item h="1" sd="0" x="524"/>
        <item h="1" sd="0" m="1" x="903"/>
        <item h="1" sd="0" x="660"/>
        <item h="1" sd="0" m="1" x="1004"/>
        <item h="1" x="334"/>
        <item sd="0" x="757"/>
        <item h="1" sd="0" x="728"/>
        <item h="1" sd="0" x="284"/>
        <item h="1" sd="0" x="296"/>
        <item h="1" sd="0" x="211"/>
        <item h="1" sd="0" x="582"/>
        <item h="1" sd="0" x="45"/>
        <item h="1" sd="0" m="1" x="984"/>
        <item h="1" sd="0" m="1" x="975"/>
        <item h="1" sd="0" x="507"/>
        <item h="1" sd="0" x="155"/>
        <item h="1" sd="0" m="1" x="1005"/>
        <item h="1" sd="0" x="61"/>
        <item h="1" sd="0" x="129"/>
        <item h="1" sd="0" x="105"/>
        <item h="1" sd="0" x="614"/>
        <item sd="0" x="716"/>
        <item h="1" sd="0" m="1" x="850"/>
        <item h="1" sd="0" x="157"/>
        <item h="1" sd="0" x="14"/>
        <item h="1" sd="0" x="43"/>
        <item h="1" sd="0" x="250"/>
        <item h="1" sd="0" x="238"/>
        <item h="1" sd="0" x="103"/>
        <item h="1" sd="0" x="385"/>
        <item h="1" sd="0" x="70"/>
        <item h="1" sd="0" x="299"/>
        <item h="1" sd="0" x="127"/>
        <item h="1" sd="0" m="1" x="820"/>
        <item h="1" sd="0" x="193"/>
        <item h="1" sd="0" x="147"/>
        <item h="1" sd="0" m="1" x="939"/>
        <item h="1" sd="0" x="548"/>
        <item h="1" sd="0" m="1" x="960"/>
        <item h="1" sd="0" x="610"/>
        <item h="1" sd="0" x="405"/>
        <item sd="0" x="748"/>
        <item h="1" sd="0" m="1" x="894"/>
        <item h="1" m="1" x="876"/>
        <item h="1" x="594"/>
        <item h="1" sd="0" x="99"/>
        <item h="1" sd="0" x="344"/>
        <item h="1" sd="0" x="541"/>
        <item h="1" sd="0" x="689"/>
        <item h="1" x="781"/>
        <item h="1" sd="0" x="612"/>
        <item h="1" sd="0" x="221"/>
        <item h="1" sd="0" x="607"/>
        <item h="1" sd="0" m="1" x="1057"/>
        <item h="1" sd="0" m="1" x="1062"/>
        <item h="1" sd="0" x="271"/>
        <item h="1" sd="0" m="1" x="970"/>
        <item h="1" sd="0" x="166"/>
        <item h="1" sd="0" x="286"/>
        <item sd="0" x="611"/>
        <item h="1" sd="0" x="531"/>
        <item h="1" sd="0" x="621"/>
        <item h="1" sd="0" x="304"/>
        <item h="1" sd="0" m="1" x="932"/>
        <item h="1" sd="0" x="458"/>
        <item h="1" sd="0" x="439"/>
        <item h="1" sd="0" x="543"/>
        <item h="1" sd="0" x="609"/>
        <item h="1" sd="0" x="138"/>
        <item h="1" sd="0" x="41"/>
        <item h="1" sd="0" x="229"/>
        <item h="1" sd="0" x="420"/>
        <item h="1" sd="0" m="1" x="991"/>
        <item h="1" sd="0" x="617"/>
        <item h="1" sd="0" x="71"/>
        <item h="1" sd="0" x="64"/>
        <item h="1" sd="0" x="492"/>
        <item h="1" sd="0" m="1" x="916"/>
        <item h="1" sd="0" m="1" x="910"/>
        <item h="1" x="732"/>
        <item h="1" sd="0" x="432"/>
        <item h="1" x="745"/>
        <item h="1" sd="0" x="540"/>
        <item h="1" sd="0" x="455"/>
        <item h="1" sd="0" x="44"/>
        <item h="1" sd="0" x="114"/>
        <item h="1" sd="0" x="52"/>
        <item h="1" sd="0" x="142"/>
        <item h="1" sd="0" x="579"/>
        <item h="1" sd="0" x="82"/>
        <item h="1" sd="0" x="245"/>
        <item h="1" sd="0" x="457"/>
        <item h="1" sd="0" x="314"/>
        <item h="1" sd="0" m="1" x="1030"/>
        <item h="1" sd="0" x="373"/>
        <item h="1" sd="0" m="1" x="1001"/>
        <item h="1" x="767"/>
        <item h="1" sd="0" x="720"/>
        <item h="1" sd="0" x="418"/>
        <item h="1" sd="0" x="308"/>
        <item h="1" sd="0" m="1" x="961"/>
        <item h="1" sd="0" m="1" x="1027"/>
        <item h="1" sd="0" x="122"/>
        <item h="1" sd="0" x="118"/>
        <item h="1" sd="0" x="661"/>
        <item h="1" sd="0" m="1" x="98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66"/>
        <item h="1" sd="0" x="652"/>
        <item h="1" sd="0" x="647"/>
        <item h="1" sd="0" x="608"/>
        <item h="1" sd="0" x="328"/>
        <item h="1" sd="0" x="350"/>
        <item h="1" sd="0" x="254"/>
        <item h="1" sd="0" x="320"/>
        <item h="1" sd="0" x="620"/>
        <item h="1" sd="0" x="241"/>
        <item h="1" sd="0" x="158"/>
        <item h="1" sd="0" m="1" x="958"/>
        <item h="1" sd="0" x="475"/>
        <item h="1" x="784"/>
        <item h="1" sd="0" x="416"/>
        <item h="1" sd="0" m="1" x="922"/>
        <item h="1" sd="0" m="1" x="1014"/>
        <item h="1" sd="0" m="1" x="828"/>
        <item h="1" sd="0" x="529"/>
        <item h="1" sd="0" m="1" x="816"/>
        <item h="1" sd="0" x="657"/>
        <item h="1" x="740"/>
        <item h="1" sd="0" m="1" x="880"/>
        <item h="1" sd="0" x="143"/>
        <item h="1" sd="0" m="1" x="815"/>
        <item h="1" sd="0" m="1" x="1018"/>
        <item h="1" sd="0" x="276"/>
        <item h="1" sd="0" x="298"/>
        <item h="1" sd="0" x="424"/>
        <item h="1" sd="0" x="696"/>
        <item h="1" sd="0" x="346"/>
        <item h="1" sd="0" x="485"/>
        <item h="1" sd="0" x="306"/>
        <item h="1" sd="0" x="561"/>
        <item h="1" sd="0" m="1" x="104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58"/>
        <item h="1" sd="0" m="1" x="962"/>
        <item h="1" sd="0" x="578"/>
        <item h="1" sd="0" m="1" x="1064"/>
        <item h="1" sd="0" x="552"/>
        <item h="1" sd="0" m="1" x="917"/>
        <item h="1" sd="0" m="1" x="899"/>
        <item h="1" sd="0" m="1" x="898"/>
        <item h="1" sd="0" x="382"/>
        <item h="1" sd="0" x="90"/>
        <item h="1" sd="0" x="390"/>
        <item h="1" sd="0" x="202"/>
        <item h="1" sd="0" x="67"/>
        <item h="1" sd="0" m="1" x="993"/>
        <item h="1" sd="0" x="701"/>
        <item h="1" sd="0" x="65"/>
        <item h="1" sd="0" x="247"/>
        <item h="1" sd="0" m="1" x="869"/>
        <item h="1" sd="0" x="712"/>
        <item h="1" sd="0" x="216"/>
        <item h="1" sd="0" m="1" x="881"/>
        <item h="1" sd="0" x="141"/>
        <item h="1" sd="0" x="177"/>
        <item h="1" sd="0" x="305"/>
        <item h="1" sd="0" m="1" x="877"/>
        <item h="1" sd="0" x="426"/>
        <item h="1" sd="0" x="404"/>
        <item sd="0" x="655"/>
        <item h="1" x="738"/>
        <item h="1" sd="0" x="400"/>
        <item h="1" sd="0" x="347"/>
        <item h="1" sd="0" m="1" x="1056"/>
        <item h="1" sd="0" m="1" x="942"/>
        <item h="1" sd="0" x="293"/>
        <item h="1" sd="0" x="148"/>
        <item h="1" sd="0" x="354"/>
        <item h="1" x="791"/>
        <item h="1" sd="0" m="1" x="996"/>
        <item h="1" sd="0" x="27"/>
        <item h="1" sd="0" m="1" x="1006"/>
        <item h="1" sd="0" x="705"/>
        <item h="1" sd="0" x="68"/>
        <item h="1" sd="0" x="6"/>
        <item h="1" sd="0" x="263"/>
        <item h="1" sd="0" x="154"/>
        <item h="1" x="763"/>
        <item h="1" sd="0" x="493"/>
        <item h="1" sd="0" x="494"/>
        <item sd="0" x="744"/>
        <item h="1" sd="0" x="164"/>
        <item h="1" sd="0" x="172"/>
        <item h="1" x="792"/>
        <item h="1" sd="0" x="601"/>
        <item h="1" sd="0" x="205"/>
        <item h="1" sd="0" x="351"/>
        <item h="1" sd="0" x="480"/>
        <item h="1" sd="0" m="1" x="883"/>
        <item h="1" sd="0" x="586"/>
        <item h="1" sd="0" x="412"/>
        <item h="1" sd="0" x="516"/>
        <item h="1" sd="0" x="29"/>
        <item h="1" sd="0" m="1" x="1050"/>
        <item h="1" sd="0" x="9"/>
        <item h="1" x="761"/>
        <item h="1" sd="0" x="335"/>
        <item h="1" sd="0" m="1" x="946"/>
        <item h="1" sd="0" m="1" x="972"/>
        <item h="1" sd="0" m="1" x="912"/>
        <item h="1" sd="0" x="234"/>
        <item h="1" sd="0" x="162"/>
        <item h="1" sd="0" x="410"/>
        <item h="1" sd="0" m="1" x="885"/>
        <item h="1" sd="0" x="629"/>
        <item h="1" sd="0" m="1" x="1017"/>
        <item h="1" sd="0" m="1" x="1047"/>
        <item h="1" sd="0" x="477"/>
        <item h="1" sd="0" x="544"/>
        <item h="1" sd="0" x="546"/>
        <item h="1" sd="0" m="1" x="870"/>
        <item h="1" sd="0" x="615"/>
        <item h="1" sd="0" x="682"/>
        <item h="1" sd="0" m="1" x="1031"/>
        <item h="1" sd="0" x="300"/>
        <item h="1" sd="0" x="167"/>
        <item h="1" sd="0" x="76"/>
        <item h="1" sd="0" x="444"/>
        <item h="1" sd="0" m="1" x="1010"/>
        <item h="1" sd="0" x="342"/>
        <item sd="0" x="735"/>
        <item h="1" m="1" x="817"/>
        <item h="1" sd="0" x="341"/>
        <item h="1" x="769"/>
        <item h="1" sd="0" m="1" x="846"/>
        <item h="1" sd="0" m="1" x="908"/>
        <item h="1" sd="0" x="618"/>
        <item h="1" sd="0" m="1" x="985"/>
        <item h="1" sd="0" m="1" x="964"/>
        <item h="1" sd="0" x="380"/>
        <item h="1" sd="0" x="433"/>
        <item h="1" sd="0" m="1" x="1003"/>
        <item h="1" sd="0" x="113"/>
        <item h="1" x="771"/>
        <item h="1" sd="0" x="559"/>
        <item h="1" sd="0" x="251"/>
        <item h="1" sd="0" x="176"/>
        <item h="1" sd="0" x="446"/>
        <item h="1" sd="0" x="372"/>
        <item h="1" sd="0" x="246"/>
        <item h="1" x="733"/>
        <item h="1" sd="0" m="1" x="834"/>
        <item h="1" sd="0" x="257"/>
        <item h="1" sd="0" x="95"/>
        <item h="1" x="813"/>
        <item h="1" x="773"/>
        <item sd="0" x="338"/>
        <item h="1" sd="0" x="36"/>
        <item h="1" sd="0" m="1" x="887"/>
        <item h="1" sd="0" x="381"/>
        <item h="1" sd="0" x="21"/>
        <item t="default" sd="0"/>
      </items>
    </pivotField>
    <pivotField axis="axisPage" showAll="0">
      <items count="98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795"/>
        <item x="9796"/>
        <item x="9797"/>
        <item x="9731"/>
        <item x="9798"/>
        <item x="9801"/>
        <item x="9802"/>
        <item x="9687"/>
        <item x="9688"/>
        <item x="9752"/>
        <item x="9755"/>
        <item x="9756"/>
        <item x="9757"/>
        <item x="9758"/>
        <item x="9759"/>
        <item x="9803"/>
        <item x="9760"/>
        <item x="9761"/>
        <item x="9762"/>
        <item x="9763"/>
        <item x="9764"/>
        <item x="9765"/>
        <item x="9766"/>
        <item x="9804"/>
        <item x="9805"/>
        <item x="9806"/>
        <item x="9799"/>
        <item x="9749"/>
        <item x="9750"/>
        <item x="9767"/>
        <item x="9768"/>
        <item x="9769"/>
        <item x="9770"/>
        <item x="9771"/>
        <item x="9772"/>
        <item x="9773"/>
        <item x="9774"/>
        <item x="9775"/>
        <item x="9776"/>
        <item x="9777"/>
        <item x="9778"/>
        <item x="9779"/>
        <item x="9780"/>
        <item x="9800"/>
        <item x="9781"/>
        <item x="9782"/>
        <item x="9689"/>
        <item x="9690"/>
        <item x="9783"/>
        <item x="9784"/>
        <item x="9785"/>
        <item x="9786"/>
        <item x="9787"/>
        <item x="9788"/>
        <item x="9789"/>
        <item x="9790"/>
        <item x="9791"/>
        <item x="9792"/>
        <item x="9793"/>
        <item x="9794"/>
        <item x="9807"/>
        <item t="default"/>
      </items>
    </pivotField>
    <pivotField dataField="1" showAll="0"/>
    <pivotField dataField="1" showAll="0"/>
    <pivotField dataField="1" showAll="0"/>
    <pivotField axis="axisPage"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2"/>
    <field x="1"/>
  </rowFields>
  <rowItems count="25">
    <i>
      <x v="31"/>
    </i>
    <i>
      <x v="36"/>
    </i>
    <i>
      <x v="122"/>
    </i>
    <i>
      <x v="262"/>
    </i>
    <i>
      <x v="265"/>
    </i>
    <i>
      <x v="342"/>
    </i>
    <i>
      <x v="344"/>
    </i>
    <i>
      <x v="369"/>
    </i>
    <i>
      <x v="460"/>
    </i>
    <i>
      <x v="530"/>
    </i>
    <i>
      <x v="531"/>
    </i>
    <i>
      <x v="541"/>
    </i>
    <i>
      <x v="646"/>
    </i>
    <i>
      <x v="652"/>
    </i>
    <i>
      <x v="725"/>
    </i>
    <i>
      <x v="762"/>
    </i>
    <i>
      <x v="773"/>
    </i>
    <i>
      <x v="789"/>
    </i>
    <i>
      <x v="809"/>
    </i>
    <i>
      <x v="827"/>
    </i>
    <i>
      <x v="978"/>
    </i>
    <i>
      <x v="999"/>
    </i>
    <i>
      <x v="1039"/>
    </i>
    <i>
      <x v="106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25"/>
          </reference>
        </references>
      </pivotArea>
    </format>
    <format dxfId="70">
      <pivotArea dataOnly="0" labelOnly="1" fieldPosition="0">
        <references count="2">
          <reference field="1" count="2">
            <x v="39"/>
            <x v="103"/>
          </reference>
          <reference field="2" count="1" selected="0">
            <x v="725"/>
          </reference>
        </references>
      </pivotArea>
    </format>
    <format dxfId="69">
      <pivotArea dataOnly="0" labelOnly="1" fieldPosition="0">
        <references count="2">
          <reference field="1" count="9">
            <x v="0"/>
            <x v="1"/>
            <x v="2"/>
            <x v="3"/>
            <x v="17"/>
            <x v="25"/>
            <x v="33"/>
            <x v="39"/>
            <x v="103"/>
          </reference>
          <reference field="2" count="1" selected="0">
            <x v="72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6" firstHeaderRow="0" firstDataRow="1" firstDataCol="1" rowPageCount="1" colPageCount="1"/>
  <pivotFields count="8">
    <pivotField axis="axisPage" showAll="0">
      <items count="1339">
        <item x="0"/>
        <item x="1"/>
        <item x="2"/>
        <item x="4"/>
        <item x="5"/>
        <item x="7"/>
        <item x="8"/>
        <item x="9"/>
        <item x="10"/>
        <item x="11"/>
        <item x="12"/>
        <item m="1" x="1194"/>
        <item x="13"/>
        <item x="14"/>
        <item x="15"/>
        <item x="17"/>
        <item x="19"/>
        <item x="3"/>
        <item x="6"/>
        <item x="18"/>
        <item x="16"/>
        <item m="1" x="1196"/>
        <item m="1" x="1195"/>
        <item x="22"/>
        <item x="20"/>
        <item x="24"/>
        <item m="1" x="1197"/>
        <item x="25"/>
        <item x="21"/>
        <item x="29"/>
        <item m="1" x="1198"/>
        <item x="23"/>
        <item x="40"/>
        <item x="26"/>
        <item x="30"/>
        <item x="36"/>
        <item x="27"/>
        <item x="28"/>
        <item x="39"/>
        <item x="31"/>
        <item x="32"/>
        <item x="33"/>
        <item m="1" x="1199"/>
        <item x="38"/>
        <item m="1" x="1200"/>
        <item m="1" x="1201"/>
        <item x="45"/>
        <item x="35"/>
        <item x="41"/>
        <item x="34"/>
        <item x="37"/>
        <item x="61"/>
        <item x="43"/>
        <item m="1" x="1203"/>
        <item x="42"/>
        <item x="48"/>
        <item x="44"/>
        <item m="1" x="1202"/>
        <item x="51"/>
        <item x="46"/>
        <item x="47"/>
        <item x="53"/>
        <item m="1" x="1204"/>
        <item x="54"/>
        <item x="57"/>
        <item x="50"/>
        <item x="49"/>
        <item m="1" x="1205"/>
        <item x="52"/>
        <item m="1" x="1206"/>
        <item x="55"/>
        <item x="56"/>
        <item x="63"/>
        <item x="58"/>
        <item x="59"/>
        <item x="60"/>
        <item x="62"/>
        <item x="64"/>
        <item x="65"/>
        <item x="66"/>
        <item x="67"/>
        <item x="68"/>
        <item x="69"/>
        <item m="1" x="1207"/>
        <item m="1" x="1208"/>
        <item x="70"/>
        <item x="71"/>
        <item x="77"/>
        <item m="1" x="1209"/>
        <item m="1" x="1210"/>
        <item m="1" x="1211"/>
        <item x="72"/>
        <item x="73"/>
        <item x="74"/>
        <item x="75"/>
        <item x="76"/>
        <item x="78"/>
        <item x="79"/>
        <item x="80"/>
        <item m="1" x="1212"/>
        <item x="88"/>
        <item x="81"/>
        <item m="1" x="1213"/>
        <item x="82"/>
        <item x="83"/>
        <item x="84"/>
        <item x="85"/>
        <item x="86"/>
        <item x="87"/>
        <item x="89"/>
        <item x="90"/>
        <item x="91"/>
        <item x="92"/>
        <item m="1" x="1214"/>
        <item x="93"/>
        <item x="94"/>
        <item x="95"/>
        <item x="96"/>
        <item m="1" x="1215"/>
        <item x="97"/>
        <item m="1" x="1216"/>
        <item x="98"/>
        <item x="105"/>
        <item x="99"/>
        <item x="110"/>
        <item x="100"/>
        <item x="101"/>
        <item x="102"/>
        <item x="103"/>
        <item x="104"/>
        <item x="106"/>
        <item x="107"/>
        <item x="108"/>
        <item x="109"/>
        <item x="111"/>
        <item x="112"/>
        <item m="1" x="121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8"/>
        <item m="1" x="1219"/>
        <item x="141"/>
        <item x="167"/>
        <item x="146"/>
        <item x="143"/>
        <item x="191"/>
        <item x="144"/>
        <item m="1" x="122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1"/>
        <item x="179"/>
        <item x="180"/>
        <item x="181"/>
        <item x="182"/>
        <item x="142"/>
        <item x="155"/>
        <item x="169"/>
        <item x="183"/>
        <item x="185"/>
        <item x="217"/>
        <item m="1" x="1222"/>
        <item x="187"/>
        <item x="186"/>
        <item x="188"/>
        <item x="189"/>
        <item x="192"/>
        <item x="193"/>
        <item x="194"/>
        <item x="195"/>
        <item x="196"/>
        <item x="197"/>
        <item x="198"/>
        <item x="200"/>
        <item x="201"/>
        <item x="202"/>
        <item m="1" x="1302"/>
        <item m="1" x="1303"/>
        <item m="1" x="1327"/>
        <item m="1" x="1256"/>
        <item x="205"/>
        <item x="203"/>
        <item x="204"/>
        <item x="206"/>
        <item x="207"/>
        <item x="184"/>
        <item x="208"/>
        <item x="209"/>
        <item x="210"/>
        <item x="211"/>
        <item x="212"/>
        <item m="1" x="1257"/>
        <item m="1" x="1258"/>
        <item m="1" x="1259"/>
        <item m="1" x="1260"/>
        <item x="223"/>
        <item x="213"/>
        <item x="214"/>
        <item x="215"/>
        <item x="216"/>
        <item x="218"/>
        <item m="1" x="1328"/>
        <item x="219"/>
        <item x="220"/>
        <item x="221"/>
        <item m="1" x="1223"/>
        <item m="1" x="1224"/>
        <item x="222"/>
        <item x="224"/>
        <item x="225"/>
        <item x="229"/>
        <item x="230"/>
        <item x="231"/>
        <item x="232"/>
        <item x="233"/>
        <item x="234"/>
        <item x="235"/>
        <item x="236"/>
        <item x="242"/>
        <item x="237"/>
        <item x="238"/>
        <item x="239"/>
        <item x="240"/>
        <item x="241"/>
        <item x="243"/>
        <item x="244"/>
        <item m="1" x="1225"/>
        <item x="245"/>
        <item x="246"/>
        <item m="1" x="131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1"/>
        <item x="374"/>
        <item x="115"/>
        <item x="280"/>
        <item x="281"/>
        <item x="227"/>
        <item m="1" x="1226"/>
        <item x="282"/>
        <item x="283"/>
        <item m="1" x="1316"/>
        <item x="284"/>
        <item x="285"/>
        <item x="286"/>
        <item x="287"/>
        <item x="288"/>
        <item x="289"/>
        <item x="136"/>
        <item x="290"/>
        <item x="291"/>
        <item x="292"/>
        <item x="293"/>
        <item x="294"/>
        <item x="295"/>
        <item x="296"/>
        <item x="297"/>
        <item x="371"/>
        <item x="298"/>
        <item x="299"/>
        <item x="300"/>
        <item x="301"/>
        <item x="302"/>
        <item m="1" x="1321"/>
        <item x="304"/>
        <item x="303"/>
        <item x="305"/>
        <item m="1" x="1312"/>
        <item x="313"/>
        <item x="310"/>
        <item x="309"/>
        <item m="1" x="1334"/>
        <item x="306"/>
        <item x="312"/>
        <item x="307"/>
        <item x="308"/>
        <item x="228"/>
        <item x="311"/>
        <item x="314"/>
        <item x="315"/>
        <item x="316"/>
        <item x="317"/>
        <item x="322"/>
        <item x="318"/>
        <item x="319"/>
        <item x="321"/>
        <item x="320"/>
        <item x="323"/>
        <item x="324"/>
        <item x="325"/>
        <item x="326"/>
        <item x="327"/>
        <item x="328"/>
        <item x="329"/>
        <item m="1" x="1262"/>
        <item x="330"/>
        <item x="331"/>
        <item x="332"/>
        <item x="333"/>
        <item x="334"/>
        <item x="335"/>
        <item m="1" x="1252"/>
        <item m="1" x="1253"/>
        <item m="1" x="1254"/>
        <item m="1" x="1255"/>
        <item m="1" x="1315"/>
        <item x="337"/>
        <item x="336"/>
        <item x="338"/>
        <item x="339"/>
        <item x="340"/>
        <item x="352"/>
        <item x="341"/>
        <item x="342"/>
        <item x="343"/>
        <item m="1" x="1227"/>
        <item x="344"/>
        <item x="345"/>
        <item x="346"/>
        <item x="347"/>
        <item x="362"/>
        <item x="348"/>
        <item x="349"/>
        <item x="350"/>
        <item x="351"/>
        <item x="356"/>
        <item x="353"/>
        <item x="355"/>
        <item x="354"/>
        <item x="372"/>
        <item x="363"/>
        <item x="357"/>
        <item x="358"/>
        <item x="359"/>
        <item x="360"/>
        <item x="361"/>
        <item m="1" x="1228"/>
        <item x="364"/>
        <item x="365"/>
        <item x="366"/>
        <item x="367"/>
        <item x="368"/>
        <item x="369"/>
        <item x="370"/>
        <item m="1" x="1229"/>
        <item m="1" x="1322"/>
        <item m="1" x="1323"/>
        <item x="373"/>
        <item x="375"/>
        <item m="1" x="1230"/>
        <item x="379"/>
        <item x="382"/>
        <item x="376"/>
        <item x="377"/>
        <item x="378"/>
        <item m="1" x="1231"/>
        <item x="380"/>
        <item x="381"/>
        <item x="383"/>
        <item x="384"/>
        <item x="385"/>
        <item x="386"/>
        <item m="1" x="1329"/>
        <item m="1" x="1324"/>
        <item x="387"/>
        <item x="388"/>
        <item x="389"/>
        <item m="1" x="1232"/>
        <item m="1" x="1233"/>
        <item x="390"/>
        <item x="391"/>
        <item x="394"/>
        <item x="392"/>
        <item x="393"/>
        <item x="395"/>
        <item x="396"/>
        <item x="397"/>
        <item x="398"/>
        <item x="399"/>
        <item x="400"/>
        <item m="1" x="1234"/>
        <item x="401"/>
        <item x="402"/>
        <item x="403"/>
        <item x="404"/>
        <item x="405"/>
        <item x="406"/>
        <item m="1" x="1235"/>
        <item x="407"/>
        <item x="408"/>
        <item x="410"/>
        <item x="411"/>
        <item x="412"/>
        <item x="413"/>
        <item m="1" x="1263"/>
        <item x="414"/>
        <item x="415"/>
        <item x="416"/>
        <item x="409"/>
        <item x="417"/>
        <item m="1" x="1336"/>
        <item x="422"/>
        <item m="1" x="1307"/>
        <item x="418"/>
        <item x="419"/>
        <item x="421"/>
        <item m="1" x="1330"/>
        <item x="420"/>
        <item m="1" x="1264"/>
        <item x="423"/>
        <item x="424"/>
        <item x="425"/>
        <item x="426"/>
        <item x="427"/>
        <item x="428"/>
        <item x="429"/>
        <item x="430"/>
        <item x="431"/>
        <item x="432"/>
        <item x="433"/>
        <item x="434"/>
        <item x="435"/>
        <item x="436"/>
        <item x="437"/>
        <item x="438"/>
        <item x="439"/>
        <item x="440"/>
        <item x="441"/>
        <item x="442"/>
        <item x="443"/>
        <item x="444"/>
        <item m="1" x="1318"/>
        <item x="445"/>
        <item x="446"/>
        <item x="447"/>
        <item m="1" x="1317"/>
        <item x="448"/>
        <item m="1" x="1320"/>
        <item x="449"/>
        <item m="1" x="1332"/>
        <item x="450"/>
        <item x="451"/>
        <item m="1" x="1236"/>
        <item x="452"/>
        <item x="453"/>
        <item x="454"/>
        <item x="455"/>
        <item x="456"/>
        <item m="1" x="1265"/>
        <item x="457"/>
        <item x="458"/>
        <item x="459"/>
        <item x="460"/>
        <item x="461"/>
        <item x="462"/>
        <item x="463"/>
        <item m="1" x="1237"/>
        <item x="464"/>
        <item x="465"/>
        <item x="466"/>
        <item x="467"/>
        <item x="468"/>
        <item x="469"/>
        <item x="470"/>
        <item x="471"/>
        <item x="472"/>
        <item x="473"/>
        <item m="1" x="1286"/>
        <item x="474"/>
        <item x="475"/>
        <item x="476"/>
        <item x="477"/>
        <item x="478"/>
        <item m="1" x="1287"/>
        <item x="479"/>
        <item x="480"/>
        <item x="481"/>
        <item x="482"/>
        <item m="1" x="1266"/>
        <item x="483"/>
        <item x="484"/>
        <item x="485"/>
        <item x="486"/>
        <item x="487"/>
        <item x="488"/>
        <item x="489"/>
        <item x="490"/>
        <item x="491"/>
        <item x="492"/>
        <item x="493"/>
        <item x="494"/>
        <item x="495"/>
        <item x="496"/>
        <item x="497"/>
        <item m="1" x="1247"/>
        <item x="499"/>
        <item x="498"/>
        <item x="500"/>
        <item x="501"/>
        <item x="502"/>
        <item x="503"/>
        <item x="504"/>
        <item m="1" x="1248"/>
        <item x="506"/>
        <item x="507"/>
        <item x="508"/>
        <item x="509"/>
        <item x="510"/>
        <item x="511"/>
        <item x="512"/>
        <item m="1" x="1267"/>
        <item m="1" x="1268"/>
        <item m="1" x="1269"/>
        <item m="1" x="1270"/>
        <item m="1" x="1271"/>
        <item x="513"/>
        <item x="514"/>
        <item x="515"/>
        <item x="516"/>
        <item x="517"/>
        <item x="518"/>
        <item x="519"/>
        <item x="520"/>
        <item x="521"/>
        <item x="522"/>
        <item x="523"/>
        <item x="524"/>
        <item x="525"/>
        <item x="526"/>
        <item x="527"/>
        <item x="528"/>
        <item x="529"/>
        <item x="530"/>
        <item x="531"/>
        <item x="532"/>
        <item x="533"/>
        <item m="1" x="1272"/>
        <item x="539"/>
        <item x="534"/>
        <item x="535"/>
        <item x="536"/>
        <item x="537"/>
        <item x="538"/>
        <item x="543"/>
        <item x="540"/>
        <item x="541"/>
        <item x="542"/>
        <item x="544"/>
        <item x="545"/>
        <item x="546"/>
        <item x="547"/>
        <item x="548"/>
        <item x="550"/>
        <item x="551"/>
        <item x="552"/>
        <item x="553"/>
        <item x="554"/>
        <item x="555"/>
        <item x="556"/>
        <item m="1" x="128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9"/>
        <item x="608"/>
        <item x="612"/>
        <item x="613"/>
        <item x="614"/>
        <item x="615"/>
        <item x="609"/>
        <item x="610"/>
        <item x="611"/>
        <item x="616"/>
        <item x="617"/>
        <item m="1" x="1290"/>
        <item x="618"/>
        <item x="619"/>
        <item m="1" x="1291"/>
        <item x="620"/>
        <item x="621"/>
        <item x="622"/>
        <item m="1" x="1292"/>
        <item x="623"/>
        <item m="1" x="1293"/>
        <item x="625"/>
        <item x="624"/>
        <item x="626"/>
        <item x="628"/>
        <item x="630"/>
        <item x="631"/>
        <item x="632"/>
        <item x="633"/>
        <item x="634"/>
        <item x="635"/>
        <item m="1" x="1273"/>
        <item x="649"/>
        <item x="636"/>
        <item m="1" x="1249"/>
        <item m="1" x="1274"/>
        <item x="637"/>
        <item x="638"/>
        <item x="627"/>
        <item x="642"/>
        <item x="643"/>
        <item x="644"/>
        <item m="1" x="1275"/>
        <item x="629"/>
        <item x="645"/>
        <item x="646"/>
        <item x="647"/>
        <item m="1" x="1238"/>
        <item x="648"/>
        <item x="650"/>
        <item x="651"/>
        <item x="641"/>
        <item x="652"/>
        <item x="653"/>
        <item m="1" x="1326"/>
        <item x="654"/>
        <item m="1" x="1294"/>
        <item m="1" x="1295"/>
        <item m="1" x="1276"/>
        <item x="655"/>
        <item m="1" x="1277"/>
        <item x="656"/>
        <item x="657"/>
        <item x="658"/>
        <item x="659"/>
        <item x="660"/>
        <item x="640"/>
        <item x="661"/>
        <item x="663"/>
        <item x="666"/>
        <item x="664"/>
        <item x="665"/>
        <item x="639"/>
        <item x="662"/>
        <item x="667"/>
        <item x="668"/>
        <item x="669"/>
        <item x="670"/>
        <item x="671"/>
        <item x="672"/>
        <item x="673"/>
        <item x="674"/>
        <item x="675"/>
        <item m="1" x="1239"/>
        <item x="676"/>
        <item m="1" x="1240"/>
        <item x="680"/>
        <item x="677"/>
        <item x="678"/>
        <item x="679"/>
        <item x="681"/>
        <item m="1" x="1309"/>
        <item x="683"/>
        <item x="682"/>
        <item x="684"/>
        <item x="685"/>
        <item x="686"/>
        <item x="687"/>
        <item x="688"/>
        <item x="689"/>
        <item x="698"/>
        <item x="690"/>
        <item x="691"/>
        <item x="692"/>
        <item x="706"/>
        <item x="701"/>
        <item x="693"/>
        <item x="694"/>
        <item x="695"/>
        <item m="1" x="1311"/>
        <item x="696"/>
        <item x="697"/>
        <item x="699"/>
        <item x="700"/>
        <item x="702"/>
        <item m="1" x="1243"/>
        <item x="703"/>
        <item x="707"/>
        <item x="704"/>
        <item x="705"/>
        <item x="708"/>
        <item x="718"/>
        <item x="710"/>
        <item x="711"/>
        <item x="712"/>
        <item x="713"/>
        <item x="714"/>
        <item x="715"/>
        <item x="716"/>
        <item x="717"/>
        <item m="1" x="1278"/>
        <item x="719"/>
        <item x="720"/>
        <item x="721"/>
        <item m="1" x="1241"/>
        <item m="1" x="1242"/>
        <item m="1" x="1244"/>
        <item x="727"/>
        <item x="722"/>
        <item x="723"/>
        <item x="724"/>
        <item x="725"/>
        <item x="726"/>
        <item x="728"/>
        <item x="759"/>
        <item x="729"/>
        <item x="730"/>
        <item x="731"/>
        <item m="1" x="1325"/>
        <item m="1" x="1305"/>
        <item x="732"/>
        <item x="733"/>
        <item x="734"/>
        <item m="1" x="1314"/>
        <item x="735"/>
        <item x="736"/>
        <item x="737"/>
        <item x="738"/>
        <item x="739"/>
        <item x="740"/>
        <item x="741"/>
        <item x="742"/>
        <item x="743"/>
        <item x="766"/>
        <item x="744"/>
        <item x="745"/>
        <item x="746"/>
        <item x="747"/>
        <item x="754"/>
        <item x="748"/>
        <item m="1" x="1245"/>
        <item x="749"/>
        <item x="750"/>
        <item x="751"/>
        <item x="752"/>
        <item x="768"/>
        <item x="753"/>
        <item x="755"/>
        <item x="756"/>
        <item x="757"/>
        <item x="758"/>
        <item m="1" x="1279"/>
        <item x="760"/>
        <item m="1" x="1296"/>
        <item x="761"/>
        <item m="1" x="1280"/>
        <item x="762"/>
        <item x="763"/>
        <item m="1" x="1306"/>
        <item x="764"/>
        <item m="1" x="1304"/>
        <item x="765"/>
        <item x="767"/>
        <item x="769"/>
        <item m="1" x="1301"/>
        <item x="770"/>
        <item x="771"/>
        <item x="772"/>
        <item x="773"/>
        <item x="774"/>
        <item x="775"/>
        <item x="776"/>
        <item x="777"/>
        <item x="778"/>
        <item x="779"/>
        <item x="780"/>
        <item x="781"/>
        <item x="782"/>
        <item x="783"/>
        <item x="784"/>
        <item x="785"/>
        <item x="786"/>
        <item x="787"/>
        <item x="788"/>
        <item x="789"/>
        <item x="790"/>
        <item x="791"/>
        <item x="792"/>
        <item m="1" x="1281"/>
        <item x="793"/>
        <item m="1" x="1282"/>
        <item x="794"/>
        <item x="800"/>
        <item x="795"/>
        <item x="796"/>
        <item x="797"/>
        <item x="798"/>
        <item x="799"/>
        <item x="801"/>
        <item x="803"/>
        <item x="802"/>
        <item m="1" x="1283"/>
        <item x="804"/>
        <item x="805"/>
        <item x="806"/>
        <item x="810"/>
        <item x="812"/>
        <item x="811"/>
        <item m="1" x="1310"/>
        <item x="814"/>
        <item x="809"/>
        <item m="1" x="1308"/>
        <item x="821"/>
        <item m="1" x="1333"/>
        <item x="813"/>
        <item x="815"/>
        <item x="817"/>
        <item x="818"/>
        <item x="807"/>
        <item x="816"/>
        <item x="819"/>
        <item m="1" x="1250"/>
        <item x="823"/>
        <item x="824"/>
        <item m="1" x="1297"/>
        <item x="826"/>
        <item x="831"/>
        <item x="829"/>
        <item x="825"/>
        <item x="830"/>
        <item x="835"/>
        <item x="833"/>
        <item x="834"/>
        <item x="832"/>
        <item x="709"/>
        <item x="839"/>
        <item x="840"/>
        <item x="837"/>
        <item x="842"/>
        <item x="843"/>
        <item x="844"/>
        <item m="1" x="1331"/>
        <item x="836"/>
        <item m="1" x="1319"/>
        <item m="1" x="1251"/>
        <item x="822"/>
        <item x="838"/>
        <item x="841"/>
        <item x="848"/>
        <item x="847"/>
        <item x="849"/>
        <item x="846"/>
        <item m="1" x="1298"/>
        <item x="851"/>
        <item x="850"/>
        <item x="845"/>
        <item m="1" x="1335"/>
        <item x="852"/>
        <item x="854"/>
        <item x="855"/>
        <item x="856"/>
        <item x="858"/>
        <item x="859"/>
        <item x="853"/>
        <item x="860"/>
        <item x="861"/>
        <item x="808"/>
        <item x="820"/>
        <item x="857"/>
        <item x="828"/>
        <item x="862"/>
        <item x="864"/>
        <item x="863"/>
        <item x="865"/>
        <item x="866"/>
        <item x="867"/>
        <item x="870"/>
        <item x="868"/>
        <item x="869"/>
        <item x="872"/>
        <item x="873"/>
        <item x="874"/>
        <item x="876"/>
        <item m="1" x="1299"/>
        <item x="875"/>
        <item x="879"/>
        <item x="881"/>
        <item x="880"/>
        <item x="878"/>
        <item x="882"/>
        <item x="883"/>
        <item x="885"/>
        <item m="1" x="1300"/>
        <item x="877"/>
        <item x="884"/>
        <item x="886"/>
        <item x="888"/>
        <item x="889"/>
        <item x="887"/>
        <item x="827"/>
        <item x="890"/>
        <item x="891"/>
        <item x="892"/>
        <item x="893"/>
        <item m="1" x="1246"/>
        <item x="894"/>
        <item x="895"/>
        <item x="896"/>
        <item x="900"/>
        <item x="898"/>
        <item x="902"/>
        <item x="897"/>
        <item x="899"/>
        <item x="904"/>
        <item x="905"/>
        <item x="906"/>
        <item x="907"/>
        <item x="903"/>
        <item x="901"/>
        <item x="908"/>
        <item x="871"/>
        <item m="1" x="1284"/>
        <item x="910"/>
        <item x="909"/>
        <item x="911"/>
        <item m="1" x="128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t="default"/>
      </items>
    </pivotField>
    <pivotField axis="axisRow" showAll="0" sortType="descending">
      <items count="146">
        <item sd="0" x="48"/>
        <item sd="0" x="50"/>
        <item sd="0" x="40"/>
        <item sd="0" x="38"/>
        <item sd="0" x="41"/>
        <item sd="0" x="0"/>
        <item sd="0" x="25"/>
        <item sd="0" x="35"/>
        <item sd="0" x="32"/>
        <item sd="0" x="21"/>
        <item sd="0" x="26"/>
        <item sd="0" x="30"/>
        <item sd="0" x="17"/>
        <item sd="0" m="1" x="127"/>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39"/>
        <item sd="0" x="46"/>
        <item sd="0" x="43"/>
        <item sd="0" m="1" x="129"/>
        <item sd="0" x="45"/>
        <item sd="0" x="47"/>
        <item sd="0" x="49"/>
        <item sd="0" m="1" x="130"/>
        <item sd="0" x="28"/>
        <item sd="0" x="52"/>
        <item sd="0" x="51"/>
        <item sd="0" x="53"/>
        <item sd="0" x="54"/>
        <item sd="0" x="55"/>
        <item sd="0" x="56"/>
        <item sd="0" x="57"/>
        <item sd="0" x="58"/>
        <item sd="0" x="59"/>
        <item sd="0" x="60"/>
        <item sd="0" x="61"/>
        <item sd="0" x="62"/>
        <item sd="0" x="63"/>
        <item sd="0" x="64"/>
        <item sd="0" x="65"/>
        <item sd="0" x="66"/>
        <item sd="0" x="70"/>
        <item sd="0" m="1" x="133"/>
        <item sd="0" x="67"/>
        <item sd="0" x="69"/>
        <item sd="0" m="1" x="128"/>
        <item sd="0" x="71"/>
        <item sd="0" x="72"/>
        <item sd="0" x="73"/>
        <item sd="0" m="1" x="136"/>
        <item sd="0" m="1" x="144"/>
        <item sd="0" m="1" x="138"/>
        <item sd="0" x="77"/>
        <item sd="0" x="76"/>
        <item sd="0" x="82"/>
        <item sd="0" x="74"/>
        <item sd="0" x="75"/>
        <item sd="0" x="68"/>
        <item sd="0" x="78"/>
        <item sd="0" x="79"/>
        <item sd="0" m="1" x="135"/>
        <item sd="0" x="80"/>
        <item sd="0" x="81"/>
        <item sd="0" m="1" x="137"/>
        <item sd="0" x="83"/>
        <item sd="0" x="86"/>
        <item sd="0" x="84"/>
        <item sd="0" x="85"/>
        <item sd="0" x="87"/>
        <item sd="0" x="89"/>
        <item sd="0" x="90"/>
        <item sd="0" x="91"/>
        <item sd="0" x="92"/>
        <item sd="0" x="93"/>
        <item sd="0" x="94"/>
        <item sd="0" x="95"/>
        <item sd="0" x="96"/>
        <item sd="0" m="1" x="141"/>
        <item sd="0" m="1" x="142"/>
        <item sd="0" m="1" x="132"/>
        <item sd="0" x="97"/>
        <item sd="0" x="100"/>
        <item sd="0" m="1" x="140"/>
        <item sd="0" x="101"/>
        <item sd="0" x="110"/>
        <item sd="0" x="106"/>
        <item sd="0" x="88"/>
        <item sd="0" x="102"/>
        <item sd="0" x="112"/>
        <item sd="0" x="113"/>
        <item sd="0" m="1" x="143"/>
        <item sd="0" x="108"/>
        <item sd="0" x="115"/>
        <item sd="0" m="1" x="134"/>
        <item sd="0" x="116"/>
        <item sd="0" x="98"/>
        <item sd="0" x="99"/>
        <item sd="0" x="103"/>
        <item sd="0" x="114"/>
        <item sd="0" x="107"/>
        <item sd="0" x="117"/>
        <item sd="0" x="118"/>
        <item sd="0" x="119"/>
        <item sd="0" x="120"/>
        <item m="1" x="131"/>
        <item sd="0" x="121"/>
        <item sd="0" x="104"/>
        <item sd="0" x="122"/>
        <item sd="0" x="105"/>
        <item sd="0" x="111"/>
        <item sd="0" x="109"/>
        <item sd="0" m="1" x="126"/>
        <item sd="0"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1"/>
        <item x="32"/>
        <item x="33"/>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1">
    <i>
      <x v="138"/>
    </i>
    <i>
      <x v="142"/>
    </i>
    <i>
      <x v="129"/>
    </i>
    <i>
      <x v="117"/>
    </i>
    <i>
      <x v="118"/>
    </i>
    <i>
      <x v="143"/>
    </i>
    <i r="1">
      <x v="33"/>
    </i>
    <i r="1">
      <x v="7"/>
    </i>
    <i r="1">
      <x v="52"/>
    </i>
    <i>
      <x v="127"/>
    </i>
    <i>
      <x v="121"/>
    </i>
    <i>
      <x v="122"/>
    </i>
    <i>
      <x v="103"/>
    </i>
    <i>
      <x v="104"/>
    </i>
    <i>
      <x v="132"/>
    </i>
    <i>
      <x v="111"/>
    </i>
    <i>
      <x v="125"/>
    </i>
    <i>
      <x v="56"/>
    </i>
    <i>
      <x v="6"/>
    </i>
    <i>
      <x v="136"/>
    </i>
    <i>
      <x v="113"/>
    </i>
    <i>
      <x v="101"/>
    </i>
    <i>
      <x v="115"/>
    </i>
    <i>
      <x v="105"/>
    </i>
    <i>
      <x v="69"/>
    </i>
    <i>
      <x v="137"/>
    </i>
    <i>
      <x v="144"/>
    </i>
    <i r="1">
      <x v="33"/>
    </i>
    <i>
      <x v="140"/>
    </i>
    <i>
      <x v="22"/>
    </i>
    <i>
      <x v="100"/>
    </i>
    <i>
      <x v="114"/>
    </i>
    <i>
      <x v="126"/>
    </i>
    <i>
      <x v="135"/>
    </i>
    <i>
      <x v="119"/>
    </i>
    <i>
      <x v="71"/>
    </i>
    <i>
      <x v="14"/>
    </i>
    <i>
      <x v="91"/>
    </i>
    <i>
      <x v="21"/>
    </i>
    <i>
      <x v="36"/>
    </i>
    <i>
      <x v="30"/>
    </i>
    <i>
      <x v="37"/>
    </i>
    <i>
      <x v="124"/>
    </i>
    <i>
      <x v="38"/>
    </i>
    <i>
      <x v="86"/>
    </i>
    <i>
      <x v="39"/>
    </i>
    <i>
      <x v="96"/>
    </i>
    <i>
      <x v="40"/>
    </i>
    <i>
      <x v="11"/>
    </i>
    <i>
      <x v="41"/>
    </i>
    <i>
      <x v="116"/>
    </i>
    <i>
      <x v="42"/>
    </i>
    <i>
      <x v="128"/>
    </i>
    <i>
      <x v="43"/>
    </i>
    <i>
      <x v="84"/>
    </i>
    <i>
      <x v="44"/>
    </i>
    <i>
      <x v="88"/>
    </i>
    <i>
      <x v="45"/>
    </i>
    <i>
      <x v="94"/>
    </i>
    <i>
      <x v="47"/>
    </i>
    <i>
      <x v="98"/>
    </i>
    <i>
      <x v="48"/>
    </i>
    <i>
      <x v="102"/>
    </i>
    <i>
      <x v="50"/>
    </i>
    <i>
      <x v="106"/>
    </i>
    <i>
      <x v="51"/>
    </i>
    <i>
      <x v="31"/>
    </i>
    <i>
      <x v="52"/>
    </i>
    <i>
      <x v="3"/>
    </i>
    <i>
      <x v="54"/>
    </i>
    <i>
      <x v="32"/>
    </i>
    <i>
      <x v="55"/>
    </i>
    <i>
      <x v="130"/>
    </i>
    <i>
      <x v="8"/>
    </i>
    <i>
      <x v="83"/>
    </i>
    <i>
      <x v="57"/>
    </i>
    <i>
      <x v="85"/>
    </i>
    <i>
      <x v="58"/>
    </i>
    <i>
      <x v="87"/>
    </i>
    <i>
      <x v="59"/>
    </i>
    <i>
      <x v="89"/>
    </i>
    <i>
      <x v="60"/>
    </i>
    <i>
      <x v="92"/>
    </i>
    <i>
      <x v="61"/>
    </i>
    <i>
      <x v="95"/>
    </i>
    <i>
      <x v="62"/>
    </i>
    <i>
      <x v="97"/>
    </i>
    <i>
      <x v="63"/>
    </i>
    <i>
      <x v="99"/>
    </i>
    <i>
      <x v="64"/>
    </i>
    <i>
      <x v="9"/>
    </i>
    <i>
      <x v="65"/>
    </i>
    <i>
      <x v="10"/>
    </i>
    <i>
      <x v="1"/>
    </i>
    <i>
      <x v="12"/>
    </i>
    <i>
      <x v="25"/>
    </i>
    <i>
      <x v="110"/>
    </i>
    <i>
      <x v="68"/>
    </i>
    <i>
      <x v="15"/>
    </i>
    <i>
      <x v="7"/>
    </i>
    <i>
      <x v="16"/>
    </i>
    <i>
      <x v="70"/>
    </i>
    <i>
      <x v="2"/>
    </i>
    <i>
      <x v="34"/>
    </i>
    <i>
      <x v="35"/>
    </i>
    <i>
      <x v="17"/>
    </i>
    <i>
      <x v="18"/>
    </i>
    <i>
      <x v="73"/>
    </i>
    <i>
      <x v="19"/>
    </i>
    <i>
      <x v="74"/>
    </i>
    <i>
      <x v="20"/>
    </i>
    <i>
      <x v="76"/>
    </i>
    <i>
      <x v="4"/>
    </i>
    <i>
      <x v="133"/>
    </i>
    <i>
      <x v="131"/>
    </i>
    <i>
      <x v="29"/>
    </i>
    <i>
      <x v="33"/>
    </i>
    <i>
      <x v="23"/>
    </i>
    <i>
      <x v="77"/>
    </i>
    <i>
      <x v="26"/>
    </i>
    <i>
      <x v="139"/>
    </i>
    <i>
      <x v="28"/>
    </i>
    <i>
      <x v="24"/>
    </i>
    <i>
      <x v="78"/>
    </i>
    <i>
      <x v="82"/>
    </i>
    <i>
      <x/>
    </i>
    <i>
      <x v="67"/>
    </i>
    <i>
      <x v="66"/>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45367</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925"/>
  <sheetViews>
    <sheetView tabSelected="1" zoomScale="140" zoomScaleNormal="140" workbookViewId="0">
      <pane ySplit="1" topLeftCell="A18909" activePane="bottomLeft" state="frozen"/>
      <selection pane="bottomLeft" activeCell="E18927" sqref="E18927"/>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12627</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12627</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12627</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12627</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12627</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12533</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12207</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12516</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12536</v>
      </c>
      <c r="E18406" s="126">
        <v>6050</v>
      </c>
      <c r="F18406" s="126"/>
      <c r="G18406" s="126">
        <f>F18406-E18406</f>
        <v>-6050</v>
      </c>
      <c r="H18406" s="705" t="s">
        <v>12047</v>
      </c>
      <c r="J18406" s="40"/>
    </row>
    <row r="18407" spans="1:10" ht="15" x14ac:dyDescent="0.2">
      <c r="A18407" s="734">
        <v>45321</v>
      </c>
      <c r="B18407" s="63" t="s">
        <v>12627</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12627</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12627</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12533</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12627</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12533</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12627</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12533</v>
      </c>
      <c r="C18554" s="63" t="s">
        <v>10993</v>
      </c>
      <c r="D18554" s="183" t="s">
        <v>12574</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12503</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12504</v>
      </c>
      <c r="E18565" s="126">
        <v>2000</v>
      </c>
      <c r="F18565" s="126"/>
      <c r="G18565" s="126">
        <f t="shared" si="339"/>
        <v>-2000</v>
      </c>
      <c r="H18565" s="705" t="s">
        <v>12380</v>
      </c>
      <c r="J18565" s="40"/>
    </row>
    <row r="18566" spans="1:10" ht="15" x14ac:dyDescent="0.2">
      <c r="A18566" s="734">
        <v>45334</v>
      </c>
      <c r="B18566" s="63" t="s">
        <v>103</v>
      </c>
      <c r="C18566" s="63" t="s">
        <v>12505</v>
      </c>
      <c r="D18566" s="183" t="s">
        <v>12506</v>
      </c>
      <c r="E18566" s="126">
        <v>12840</v>
      </c>
      <c r="F18566" s="126"/>
      <c r="G18566" s="126">
        <f t="shared" si="339"/>
        <v>-12840</v>
      </c>
      <c r="H18566" s="705" t="s">
        <v>12380</v>
      </c>
      <c r="J18566" s="40"/>
    </row>
    <row r="18567" spans="1:10" ht="15" x14ac:dyDescent="0.2">
      <c r="A18567" s="734">
        <v>45335</v>
      </c>
      <c r="B18567" s="63" t="s">
        <v>11635</v>
      </c>
      <c r="C18567" s="63" t="s">
        <v>5741</v>
      </c>
      <c r="D18567" s="183" t="s">
        <v>12507</v>
      </c>
      <c r="E18567" s="126">
        <v>300</v>
      </c>
      <c r="F18567" s="126"/>
      <c r="G18567" s="126">
        <f t="shared" si="339"/>
        <v>-300</v>
      </c>
      <c r="H18567" s="705" t="s">
        <v>12380</v>
      </c>
      <c r="J18567" s="40"/>
    </row>
    <row r="18568" spans="1:10" ht="15" x14ac:dyDescent="0.2">
      <c r="A18568" s="734">
        <v>45335</v>
      </c>
      <c r="B18568" s="63" t="s">
        <v>103</v>
      </c>
      <c r="C18568" s="63" t="s">
        <v>103</v>
      </c>
      <c r="D18568" s="183" t="s">
        <v>12508</v>
      </c>
      <c r="E18568" s="126">
        <v>4370</v>
      </c>
      <c r="F18568" s="126"/>
      <c r="G18568" s="126">
        <f t="shared" si="339"/>
        <v>-4370</v>
      </c>
      <c r="H18568" s="705" t="s">
        <v>12380</v>
      </c>
      <c r="J18568" s="40"/>
    </row>
    <row r="18569" spans="1:10" ht="15" x14ac:dyDescent="0.2">
      <c r="A18569" s="734">
        <v>45335</v>
      </c>
      <c r="B18569" s="63" t="s">
        <v>103</v>
      </c>
      <c r="C18569" s="63" t="s">
        <v>103</v>
      </c>
      <c r="D18569" s="183" t="s">
        <v>12504</v>
      </c>
      <c r="E18569" s="126">
        <v>4660</v>
      </c>
      <c r="F18569" s="126"/>
      <c r="G18569" s="126">
        <f t="shared" si="339"/>
        <v>-4660</v>
      </c>
      <c r="H18569" s="705" t="s">
        <v>12380</v>
      </c>
      <c r="J18569" s="40"/>
    </row>
    <row r="18570" spans="1:10" ht="15" x14ac:dyDescent="0.2">
      <c r="A18570" s="734">
        <v>45335</v>
      </c>
      <c r="B18570" s="63" t="s">
        <v>103</v>
      </c>
      <c r="C18570" s="63" t="s">
        <v>3470</v>
      </c>
      <c r="D18570" s="183" t="s">
        <v>12509</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12510</v>
      </c>
      <c r="E18572" s="126">
        <v>10900</v>
      </c>
      <c r="F18572" s="126"/>
      <c r="G18572" s="126">
        <f t="shared" si="339"/>
        <v>-10900</v>
      </c>
      <c r="H18572" s="705" t="s">
        <v>12380</v>
      </c>
      <c r="J18572" s="40"/>
    </row>
    <row r="18573" spans="1:10" ht="15" x14ac:dyDescent="0.2">
      <c r="A18573" s="734">
        <v>45335</v>
      </c>
      <c r="B18573" s="63" t="s">
        <v>12511</v>
      </c>
      <c r="C18573" s="63" t="s">
        <v>1198</v>
      </c>
      <c r="D18573" s="183" t="s">
        <v>12512</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12511</v>
      </c>
      <c r="C18576" s="63" t="s">
        <v>5741</v>
      </c>
      <c r="D18576" s="183" t="s">
        <v>12513</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12514</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12515</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12517</v>
      </c>
      <c r="E18582" s="552">
        <v>35360</v>
      </c>
      <c r="F18582" s="126"/>
      <c r="G18582" s="126">
        <f t="shared" si="341"/>
        <v>-35360</v>
      </c>
      <c r="H18582" s="705" t="s">
        <v>12380</v>
      </c>
      <c r="J18582" s="40"/>
    </row>
    <row r="18583" spans="1:10" ht="15" x14ac:dyDescent="0.2">
      <c r="A18583" s="734">
        <v>45336</v>
      </c>
      <c r="B18583" s="63" t="s">
        <v>3946</v>
      </c>
      <c r="C18583" s="551" t="s">
        <v>3003</v>
      </c>
      <c r="D18583" s="740" t="s">
        <v>12517</v>
      </c>
      <c r="E18583" s="552">
        <v>32760</v>
      </c>
      <c r="F18583" s="126"/>
      <c r="G18583" s="126">
        <f t="shared" si="341"/>
        <v>-32760</v>
      </c>
      <c r="H18583" s="705" t="s">
        <v>12380</v>
      </c>
      <c r="J18583" s="40"/>
    </row>
    <row r="18584" spans="1:10" ht="15" x14ac:dyDescent="0.2">
      <c r="A18584" s="734">
        <v>45336</v>
      </c>
      <c r="B18584" s="63" t="s">
        <v>8559</v>
      </c>
      <c r="C18584" s="551" t="s">
        <v>3003</v>
      </c>
      <c r="D18584" s="740" t="s">
        <v>12517</v>
      </c>
      <c r="E18584" s="552">
        <v>145766</v>
      </c>
      <c r="F18584" s="126"/>
      <c r="G18584" s="126">
        <f t="shared" si="341"/>
        <v>-145766</v>
      </c>
      <c r="H18584" s="705" t="s">
        <v>12380</v>
      </c>
      <c r="J18584" s="40"/>
    </row>
    <row r="18585" spans="1:10" ht="15" x14ac:dyDescent="0.2">
      <c r="A18585" s="734">
        <v>45336</v>
      </c>
      <c r="B18585" s="63" t="s">
        <v>11635</v>
      </c>
      <c r="C18585" s="551" t="s">
        <v>3003</v>
      </c>
      <c r="D18585" s="740" t="s">
        <v>12517</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12518</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12519</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12520</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12521</v>
      </c>
      <c r="E18592" s="126">
        <v>9000</v>
      </c>
      <c r="F18592" s="126"/>
      <c r="G18592" s="126">
        <f t="shared" si="343"/>
        <v>-9000</v>
      </c>
      <c r="H18592" s="705" t="s">
        <v>12380</v>
      </c>
      <c r="J18592" s="40"/>
    </row>
    <row r="18593" spans="1:10" ht="15" x14ac:dyDescent="0.2">
      <c r="A18593" s="734">
        <v>45338</v>
      </c>
      <c r="B18593" s="63" t="s">
        <v>11089</v>
      </c>
      <c r="C18593" s="63" t="s">
        <v>5741</v>
      </c>
      <c r="D18593" s="183" t="s">
        <v>12526</v>
      </c>
      <c r="E18593" s="126">
        <v>4000</v>
      </c>
      <c r="F18593" s="126"/>
      <c r="G18593" s="126">
        <f t="shared" ref="G18593:G18601" si="344">F18593-E18593</f>
        <v>-4000</v>
      </c>
      <c r="H18593" s="705" t="s">
        <v>12380</v>
      </c>
      <c r="J18593" s="40"/>
    </row>
    <row r="18594" spans="1:10" ht="15" x14ac:dyDescent="0.2">
      <c r="A18594" s="734">
        <v>45338</v>
      </c>
      <c r="B18594" s="63" t="s">
        <v>12207</v>
      </c>
      <c r="C18594" s="63" t="s">
        <v>12527</v>
      </c>
      <c r="D18594" s="183" t="s">
        <v>12528</v>
      </c>
      <c r="E18594" s="126">
        <v>9880</v>
      </c>
      <c r="F18594" s="126"/>
      <c r="G18594" s="126">
        <f t="shared" si="344"/>
        <v>-9880</v>
      </c>
      <c r="H18594" s="705" t="s">
        <v>12380</v>
      </c>
      <c r="J18594" s="40"/>
    </row>
    <row r="18595" spans="1:10" ht="15" x14ac:dyDescent="0.2">
      <c r="A18595" s="734">
        <v>45338</v>
      </c>
      <c r="B18595" s="63" t="s">
        <v>103</v>
      </c>
      <c r="C18595" s="63" t="s">
        <v>103</v>
      </c>
      <c r="D18595" s="183" t="s">
        <v>12529</v>
      </c>
      <c r="E18595" s="126">
        <v>17700</v>
      </c>
      <c r="F18595" s="126"/>
      <c r="G18595" s="126">
        <f t="shared" si="344"/>
        <v>-17700</v>
      </c>
      <c r="H18595" s="705" t="s">
        <v>12380</v>
      </c>
      <c r="J18595" s="40"/>
    </row>
    <row r="18596" spans="1:10" ht="15" x14ac:dyDescent="0.2">
      <c r="A18596" s="734">
        <v>45338</v>
      </c>
      <c r="B18596" s="63" t="s">
        <v>12366</v>
      </c>
      <c r="C18596" s="63" t="s">
        <v>5741</v>
      </c>
      <c r="D18596" s="183" t="s">
        <v>12530</v>
      </c>
      <c r="E18596" s="126">
        <v>700</v>
      </c>
      <c r="F18596" s="126"/>
      <c r="G18596" s="126">
        <f t="shared" si="344"/>
        <v>-700</v>
      </c>
      <c r="H18596" s="705" t="s">
        <v>12380</v>
      </c>
      <c r="J18596" s="40"/>
    </row>
    <row r="18597" spans="1:10" ht="15" x14ac:dyDescent="0.2">
      <c r="A18597" s="734">
        <v>45338</v>
      </c>
      <c r="B18597" s="63" t="s">
        <v>11897</v>
      </c>
      <c r="C18597" s="63" t="s">
        <v>10993</v>
      </c>
      <c r="D18597" s="183" t="s">
        <v>12531</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12532</v>
      </c>
      <c r="E18599" s="126">
        <v>2250</v>
      </c>
      <c r="F18599" s="126"/>
      <c r="G18599" s="126">
        <f t="shared" si="344"/>
        <v>-2250</v>
      </c>
      <c r="H18599" s="705" t="s">
        <v>12380</v>
      </c>
      <c r="J18599" s="40"/>
    </row>
    <row r="18600" spans="1:10" ht="15" x14ac:dyDescent="0.2">
      <c r="A18600" s="734">
        <v>45338</v>
      </c>
      <c r="B18600" s="63" t="s">
        <v>12533</v>
      </c>
      <c r="C18600" s="63" t="s">
        <v>10993</v>
      </c>
      <c r="D18600" s="183" t="s">
        <v>12534</v>
      </c>
      <c r="E18600" s="126">
        <v>17400</v>
      </c>
      <c r="F18600" s="126"/>
      <c r="G18600" s="126">
        <f t="shared" si="344"/>
        <v>-17400</v>
      </c>
      <c r="H18600" s="705" t="s">
        <v>12380</v>
      </c>
      <c r="J18600" s="40"/>
    </row>
    <row r="18601" spans="1:10" ht="15" x14ac:dyDescent="0.2">
      <c r="A18601" s="734">
        <v>45338</v>
      </c>
      <c r="B18601" s="63" t="s">
        <v>10151</v>
      </c>
      <c r="C18601" s="63" t="s">
        <v>392</v>
      </c>
      <c r="D18601" s="183" t="s">
        <v>12535</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12537</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12538</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12539</v>
      </c>
      <c r="E18607" s="126">
        <v>1130</v>
      </c>
      <c r="F18607" s="126"/>
      <c r="G18607" s="126">
        <f t="shared" si="345"/>
        <v>-1130</v>
      </c>
      <c r="H18607" s="705" t="s">
        <v>12380</v>
      </c>
      <c r="J18607" s="40"/>
    </row>
    <row r="18608" spans="1:10" ht="15" x14ac:dyDescent="0.2">
      <c r="A18608" s="734">
        <v>45339</v>
      </c>
      <c r="B18608" s="63" t="s">
        <v>12366</v>
      </c>
      <c r="C18608" s="63" t="s">
        <v>12540</v>
      </c>
      <c r="D18608" s="183" t="s">
        <v>12541</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12540</v>
      </c>
      <c r="D18610" s="183" t="s">
        <v>12541</v>
      </c>
      <c r="E18610" s="126">
        <v>13000</v>
      </c>
      <c r="F18610" s="126"/>
      <c r="G18610" s="126">
        <f t="shared" si="345"/>
        <v>-13000</v>
      </c>
      <c r="H18610" s="705" t="s">
        <v>12380</v>
      </c>
      <c r="J18610" s="40"/>
    </row>
    <row r="18611" spans="1:10" ht="15" x14ac:dyDescent="0.2">
      <c r="A18611" s="734">
        <v>45339</v>
      </c>
      <c r="B18611" s="63" t="s">
        <v>11897</v>
      </c>
      <c r="C18611" s="63" t="s">
        <v>5741</v>
      </c>
      <c r="D18611" s="183" t="s">
        <v>12542</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12544</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12543</v>
      </c>
      <c r="E18618" s="126">
        <v>400000</v>
      </c>
      <c r="F18618" s="126"/>
      <c r="G18618" s="126">
        <f t="shared" si="346"/>
        <v>-400000</v>
      </c>
      <c r="H18618" s="705" t="s">
        <v>12380</v>
      </c>
      <c r="J18618" s="40"/>
    </row>
    <row r="18619" spans="1:10" ht="15" x14ac:dyDescent="0.2">
      <c r="A18619" s="734">
        <v>45339</v>
      </c>
      <c r="B18619" s="63" t="s">
        <v>11089</v>
      </c>
      <c r="C18619" s="63" t="s">
        <v>1198</v>
      </c>
      <c r="D18619" s="183" t="s">
        <v>12545</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12545</v>
      </c>
      <c r="E18620" s="126">
        <v>370000</v>
      </c>
      <c r="F18620" s="126"/>
      <c r="G18620" s="126">
        <f t="shared" si="347"/>
        <v>-370000</v>
      </c>
      <c r="H18620" s="705" t="s">
        <v>12380</v>
      </c>
      <c r="J18620" s="40"/>
    </row>
    <row r="18621" spans="1:10" ht="15" x14ac:dyDescent="0.2">
      <c r="A18621" s="734">
        <v>45339</v>
      </c>
      <c r="B18621" s="63" t="s">
        <v>11089</v>
      </c>
      <c r="C18621" s="63" t="s">
        <v>1198</v>
      </c>
      <c r="D18621" s="183" t="s">
        <v>12546</v>
      </c>
      <c r="E18621" s="126">
        <v>704800</v>
      </c>
      <c r="F18621" s="126"/>
      <c r="G18621" s="126">
        <f t="shared" ref="G18621:G18622" si="348">F18621-E18621</f>
        <v>-704800</v>
      </c>
      <c r="H18621" s="705" t="s">
        <v>12380</v>
      </c>
      <c r="J18621" s="40"/>
    </row>
    <row r="18622" spans="1:10" ht="15" x14ac:dyDescent="0.2">
      <c r="A18622" s="734">
        <v>45339</v>
      </c>
      <c r="B18622" s="63" t="s">
        <v>12627</v>
      </c>
      <c r="C18622" s="63" t="s">
        <v>12547</v>
      </c>
      <c r="D18622" s="183" t="s">
        <v>12548</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12549</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12550</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12551</v>
      </c>
      <c r="E18627" s="126">
        <v>300000</v>
      </c>
      <c r="F18627" s="126"/>
      <c r="G18627" s="126">
        <f t="shared" si="350"/>
        <v>-300000</v>
      </c>
      <c r="H18627" s="705" t="s">
        <v>12380</v>
      </c>
      <c r="J18627" s="40"/>
    </row>
    <row r="18628" spans="1:10" ht="15" x14ac:dyDescent="0.2">
      <c r="A18628" s="734">
        <v>45341</v>
      </c>
      <c r="B18628" s="63" t="s">
        <v>11093</v>
      </c>
      <c r="C18628" s="551" t="s">
        <v>11752</v>
      </c>
      <c r="D18628" s="740" t="s">
        <v>12552</v>
      </c>
      <c r="E18628" s="552">
        <v>100000</v>
      </c>
      <c r="F18628" s="126"/>
      <c r="G18628" s="126">
        <f t="shared" si="350"/>
        <v>-100000</v>
      </c>
      <c r="H18628" s="705" t="s">
        <v>12380</v>
      </c>
      <c r="J18628" s="40"/>
    </row>
    <row r="18629" spans="1:10" ht="15" x14ac:dyDescent="0.2">
      <c r="A18629" s="734">
        <v>45341</v>
      </c>
      <c r="B18629" s="63" t="s">
        <v>10232</v>
      </c>
      <c r="C18629" s="551" t="s">
        <v>11752</v>
      </c>
      <c r="D18629" s="740" t="s">
        <v>12552</v>
      </c>
      <c r="E18629" s="552">
        <v>528670</v>
      </c>
      <c r="F18629" s="126"/>
      <c r="G18629" s="126">
        <f t="shared" si="350"/>
        <v>-528670</v>
      </c>
      <c r="H18629" s="705" t="s">
        <v>12380</v>
      </c>
      <c r="J18629" s="40"/>
    </row>
    <row r="18630" spans="1:10" ht="15" x14ac:dyDescent="0.2">
      <c r="A18630" s="734">
        <v>45341</v>
      </c>
      <c r="B18630" s="63" t="s">
        <v>11897</v>
      </c>
      <c r="C18630" s="63" t="s">
        <v>10993</v>
      </c>
      <c r="D18630" s="183" t="s">
        <v>12553</v>
      </c>
      <c r="E18630" s="126">
        <v>196890</v>
      </c>
      <c r="F18630" s="126"/>
      <c r="G18630" s="126">
        <f t="shared" si="350"/>
        <v>-196890</v>
      </c>
      <c r="H18630" s="705" t="s">
        <v>12380</v>
      </c>
      <c r="J18630" s="40"/>
    </row>
    <row r="18631" spans="1:10" ht="15" x14ac:dyDescent="0.2">
      <c r="A18631" s="734">
        <v>45341</v>
      </c>
      <c r="B18631" s="63" t="s">
        <v>11897</v>
      </c>
      <c r="C18631" s="63" t="s">
        <v>10993</v>
      </c>
      <c r="D18631" s="183" t="s">
        <v>12554</v>
      </c>
      <c r="E18631" s="126">
        <v>74950</v>
      </c>
      <c r="F18631" s="126"/>
      <c r="G18631" s="126">
        <f t="shared" si="350"/>
        <v>-74950</v>
      </c>
      <c r="H18631" s="705" t="s">
        <v>12380</v>
      </c>
      <c r="J18631" s="40"/>
    </row>
    <row r="18632" spans="1:10" ht="15" x14ac:dyDescent="0.2">
      <c r="A18632" s="734">
        <v>45341</v>
      </c>
      <c r="B18632" s="63" t="s">
        <v>11135</v>
      </c>
      <c r="C18632" s="551" t="s">
        <v>10993</v>
      </c>
      <c r="D18632" s="740" t="s">
        <v>12555</v>
      </c>
      <c r="E18632" s="552">
        <v>80000</v>
      </c>
      <c r="F18632" s="126"/>
      <c r="G18632" s="126">
        <f t="shared" si="350"/>
        <v>-80000</v>
      </c>
      <c r="H18632" s="705" t="s">
        <v>12380</v>
      </c>
      <c r="J18632" s="40"/>
    </row>
    <row r="18633" spans="1:10" ht="15" x14ac:dyDescent="0.2">
      <c r="A18633" s="734">
        <v>45341</v>
      </c>
      <c r="B18633" s="63" t="s">
        <v>11897</v>
      </c>
      <c r="C18633" s="551" t="s">
        <v>10993</v>
      </c>
      <c r="D18633" s="740" t="s">
        <v>12555</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12556</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12557</v>
      </c>
      <c r="E18638" s="126">
        <v>6000</v>
      </c>
      <c r="F18638" s="126"/>
      <c r="G18638" s="126">
        <f t="shared" si="351"/>
        <v>-6000</v>
      </c>
      <c r="H18638" s="705" t="s">
        <v>12380</v>
      </c>
      <c r="J18638" s="40"/>
    </row>
    <row r="18639" spans="1:10" ht="15" x14ac:dyDescent="0.2">
      <c r="A18639" s="734">
        <v>45342</v>
      </c>
      <c r="B18639" s="63" t="s">
        <v>103</v>
      </c>
      <c r="C18639" s="63" t="s">
        <v>103</v>
      </c>
      <c r="D18639" s="183" t="s">
        <v>12558</v>
      </c>
      <c r="E18639" s="126">
        <v>7000</v>
      </c>
      <c r="F18639" s="126"/>
      <c r="G18639" s="126">
        <f t="shared" si="351"/>
        <v>-7000</v>
      </c>
      <c r="H18639" s="705" t="s">
        <v>12380</v>
      </c>
      <c r="J18639" s="40"/>
    </row>
    <row r="18640" spans="1:10" ht="15" x14ac:dyDescent="0.2">
      <c r="A18640" s="734">
        <v>45342</v>
      </c>
      <c r="B18640" s="63" t="s">
        <v>11093</v>
      </c>
      <c r="C18640" s="63" t="s">
        <v>392</v>
      </c>
      <c r="D18640" s="183" t="s">
        <v>12549</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12503</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12559</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12562</v>
      </c>
      <c r="E18644" s="126">
        <v>149000</v>
      </c>
      <c r="F18644" s="126"/>
      <c r="G18644" s="126">
        <f t="shared" si="352"/>
        <v>-149000</v>
      </c>
      <c r="H18644" s="705" t="s">
        <v>12380</v>
      </c>
      <c r="J18644" s="40"/>
    </row>
    <row r="18645" spans="1:10" ht="15" x14ac:dyDescent="0.2">
      <c r="A18645" s="734">
        <v>45342</v>
      </c>
      <c r="B18645" s="63" t="s">
        <v>12533</v>
      </c>
      <c r="C18645" s="63" t="s">
        <v>12560</v>
      </c>
      <c r="D18645" s="183" t="s">
        <v>12561</v>
      </c>
      <c r="E18645" s="126">
        <v>300000</v>
      </c>
      <c r="F18645" s="126"/>
      <c r="G18645" s="126">
        <f t="shared" si="352"/>
        <v>-300000</v>
      </c>
      <c r="H18645" s="705" t="s">
        <v>12380</v>
      </c>
      <c r="J18645" s="40"/>
    </row>
    <row r="18646" spans="1:10" ht="15" x14ac:dyDescent="0.2">
      <c r="A18646" s="734">
        <v>45343</v>
      </c>
      <c r="B18646" s="63" t="s">
        <v>11089</v>
      </c>
      <c r="C18646" s="63" t="s">
        <v>10993</v>
      </c>
      <c r="D18646" s="183" t="s">
        <v>12563</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12564</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12565</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12558</v>
      </c>
      <c r="E18651" s="126">
        <v>3000</v>
      </c>
      <c r="F18651" s="126"/>
      <c r="G18651" s="126">
        <f t="shared" si="353"/>
        <v>-3000</v>
      </c>
      <c r="H18651" s="705" t="s">
        <v>12380</v>
      </c>
      <c r="J18651" s="40"/>
    </row>
    <row r="18652" spans="1:10" ht="15" x14ac:dyDescent="0.2">
      <c r="A18652" s="734">
        <v>45343</v>
      </c>
      <c r="B18652" s="63" t="s">
        <v>10908</v>
      </c>
      <c r="C18652" s="63" t="s">
        <v>11110</v>
      </c>
      <c r="D18652" s="183" t="s">
        <v>12566</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12567</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12533</v>
      </c>
      <c r="C18656" s="63" t="s">
        <v>12584</v>
      </c>
      <c r="D18656" s="183" t="s">
        <v>12585</v>
      </c>
      <c r="E18656" s="126">
        <v>2092916</v>
      </c>
      <c r="F18656" s="126"/>
      <c r="G18656" s="126">
        <f t="shared" si="355"/>
        <v>-2092916</v>
      </c>
      <c r="H18656" s="705" t="s">
        <v>12380</v>
      </c>
      <c r="J18656" s="40"/>
    </row>
    <row r="18657" spans="1:10" ht="15" x14ac:dyDescent="0.2">
      <c r="A18657" s="734">
        <v>45345</v>
      </c>
      <c r="B18657" s="63" t="s">
        <v>11089</v>
      </c>
      <c r="C18657" s="63" t="s">
        <v>12568</v>
      </c>
      <c r="D18657" s="183" t="s">
        <v>12569</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12570</v>
      </c>
      <c r="E18658" s="126">
        <v>21600</v>
      </c>
      <c r="F18658" s="126"/>
      <c r="G18658" s="126">
        <f t="shared" si="356"/>
        <v>-21600</v>
      </c>
      <c r="H18658" s="705" t="s">
        <v>12380</v>
      </c>
      <c r="J18658" s="40"/>
    </row>
    <row r="18659" spans="1:10" ht="15" x14ac:dyDescent="0.2">
      <c r="A18659" s="734">
        <v>45345</v>
      </c>
      <c r="B18659" s="63" t="s">
        <v>11089</v>
      </c>
      <c r="C18659" s="63" t="s">
        <v>10993</v>
      </c>
      <c r="D18659" s="183" t="s">
        <v>12571</v>
      </c>
      <c r="E18659" s="126">
        <v>78500</v>
      </c>
      <c r="F18659" s="126"/>
      <c r="G18659" s="126">
        <f t="shared" si="356"/>
        <v>-78500</v>
      </c>
      <c r="H18659" s="705" t="s">
        <v>12380</v>
      </c>
      <c r="J18659" s="40"/>
    </row>
    <row r="18660" spans="1:10" ht="15" x14ac:dyDescent="0.2">
      <c r="A18660" s="734">
        <v>45345</v>
      </c>
      <c r="B18660" s="63" t="s">
        <v>11738</v>
      </c>
      <c r="C18660" s="63" t="s">
        <v>10112</v>
      </c>
      <c r="D18660" s="183" t="s">
        <v>12572</v>
      </c>
      <c r="E18660" s="126">
        <v>200000</v>
      </c>
      <c r="F18660" s="126"/>
      <c r="G18660" s="126">
        <f t="shared" si="356"/>
        <v>-200000</v>
      </c>
      <c r="H18660" s="705" t="s">
        <v>12380</v>
      </c>
      <c r="J18660" s="40"/>
    </row>
    <row r="18661" spans="1:10" ht="15" x14ac:dyDescent="0.2">
      <c r="A18661" s="734">
        <v>45345</v>
      </c>
      <c r="B18661" s="63" t="s">
        <v>12533</v>
      </c>
      <c r="C18661" s="63" t="s">
        <v>12560</v>
      </c>
      <c r="D18661" s="183" t="s">
        <v>12573</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12558</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12602</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12587</v>
      </c>
      <c r="E18668" s="672">
        <v>13760</v>
      </c>
      <c r="F18668" s="126"/>
      <c r="G18668" s="126">
        <f t="shared" si="357"/>
        <v>-13760</v>
      </c>
      <c r="H18668" s="705" t="s">
        <v>12380</v>
      </c>
      <c r="J18668" s="40"/>
    </row>
    <row r="18669" spans="1:10" ht="15" x14ac:dyDescent="0.2">
      <c r="A18669" s="734">
        <v>45346</v>
      </c>
      <c r="B18669" s="63" t="s">
        <v>10909</v>
      </c>
      <c r="C18669" s="670" t="s">
        <v>256</v>
      </c>
      <c r="D18669" s="907" t="s">
        <v>12587</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12587</v>
      </c>
      <c r="E18670" s="672">
        <v>145230</v>
      </c>
      <c r="F18670" s="126"/>
      <c r="G18670" s="126">
        <f t="shared" si="358"/>
        <v>-145230</v>
      </c>
      <c r="H18670" s="705" t="s">
        <v>12380</v>
      </c>
      <c r="J18670" s="40"/>
    </row>
    <row r="18671" spans="1:10" ht="15" x14ac:dyDescent="0.2">
      <c r="A18671" s="734">
        <v>45346</v>
      </c>
      <c r="B18671" s="63" t="s">
        <v>11897</v>
      </c>
      <c r="C18671" s="670" t="s">
        <v>256</v>
      </c>
      <c r="D18671" s="907" t="s">
        <v>12587</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12588</v>
      </c>
      <c r="E18675" s="126">
        <v>16000</v>
      </c>
      <c r="F18675" s="126"/>
      <c r="G18675" s="126">
        <f t="shared" si="357"/>
        <v>-16000</v>
      </c>
      <c r="H18675" s="705" t="s">
        <v>12380</v>
      </c>
      <c r="J18675" s="40"/>
    </row>
    <row r="18676" spans="1:10" ht="15" x14ac:dyDescent="0.2">
      <c r="A18676" s="734">
        <v>45347</v>
      </c>
      <c r="B18676" s="63" t="s">
        <v>103</v>
      </c>
      <c r="C18676" s="63" t="s">
        <v>12589</v>
      </c>
      <c r="D18676" s="183" t="s">
        <v>12590</v>
      </c>
      <c r="E18676" s="126">
        <v>100000</v>
      </c>
      <c r="F18676" s="126"/>
      <c r="G18676" s="126">
        <f t="shared" si="357"/>
        <v>-100000</v>
      </c>
      <c r="H18676" s="705" t="s">
        <v>12380</v>
      </c>
      <c r="J18676" s="40"/>
    </row>
    <row r="18677" spans="1:10" ht="15" x14ac:dyDescent="0.2">
      <c r="A18677" s="734">
        <v>45347</v>
      </c>
      <c r="B18677" s="63" t="s">
        <v>11897</v>
      </c>
      <c r="C18677" s="63" t="s">
        <v>8390</v>
      </c>
      <c r="D18677" s="183" t="s">
        <v>12592</v>
      </c>
      <c r="E18677" s="126">
        <v>33000</v>
      </c>
      <c r="F18677" s="126"/>
      <c r="G18677" s="126">
        <f t="shared" si="357"/>
        <v>-33000</v>
      </c>
      <c r="H18677" s="705" t="s">
        <v>12380</v>
      </c>
      <c r="J18677" s="40"/>
    </row>
    <row r="18678" spans="1:10" ht="15" x14ac:dyDescent="0.2">
      <c r="A18678" s="734">
        <v>45347</v>
      </c>
      <c r="B18678" s="63" t="s">
        <v>9986</v>
      </c>
      <c r="C18678" s="63" t="s">
        <v>6423</v>
      </c>
      <c r="D18678" s="183" t="s">
        <v>12591</v>
      </c>
      <c r="E18678" s="126">
        <v>50000</v>
      </c>
      <c r="F18678" s="126"/>
      <c r="G18678" s="126">
        <f t="shared" si="357"/>
        <v>-50000</v>
      </c>
      <c r="H18678" s="705" t="s">
        <v>12380</v>
      </c>
      <c r="J18678" s="40"/>
    </row>
    <row r="18679" spans="1:10" ht="15" x14ac:dyDescent="0.2">
      <c r="A18679" s="734">
        <v>45348</v>
      </c>
      <c r="B18679" s="63" t="s">
        <v>11897</v>
      </c>
      <c r="C18679" s="63" t="s">
        <v>11748</v>
      </c>
      <c r="D18679" s="183" t="s">
        <v>12593</v>
      </c>
      <c r="E18679" s="126">
        <v>146000</v>
      </c>
      <c r="F18679" s="126"/>
      <c r="G18679" s="126">
        <f t="shared" si="357"/>
        <v>-146000</v>
      </c>
      <c r="H18679" s="705" t="s">
        <v>12380</v>
      </c>
      <c r="J18679" s="40"/>
    </row>
    <row r="18680" spans="1:10" ht="15" x14ac:dyDescent="0.2">
      <c r="A18680" s="734">
        <v>45348</v>
      </c>
      <c r="B18680" s="63" t="s">
        <v>12533</v>
      </c>
      <c r="C18680" s="63" t="s">
        <v>10979</v>
      </c>
      <c r="D18680" s="183" t="s">
        <v>12594</v>
      </c>
      <c r="E18680" s="126">
        <v>135936</v>
      </c>
      <c r="F18680" s="126"/>
      <c r="G18680" s="126">
        <f t="shared" si="357"/>
        <v>-135936</v>
      </c>
      <c r="H18680" s="705" t="s">
        <v>12380</v>
      </c>
      <c r="J18680" s="40"/>
    </row>
    <row r="18681" spans="1:10" ht="15" x14ac:dyDescent="0.2">
      <c r="A18681" s="734">
        <v>45348</v>
      </c>
      <c r="B18681" s="63" t="s">
        <v>3946</v>
      </c>
      <c r="C18681" s="63" t="s">
        <v>392</v>
      </c>
      <c r="D18681" s="183" t="s">
        <v>12595</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12652</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12655</v>
      </c>
      <c r="E18693" s="1101">
        <v>88680</v>
      </c>
      <c r="F18693" s="126"/>
      <c r="G18693" s="126">
        <f t="shared" si="361"/>
        <v>-88680</v>
      </c>
      <c r="H18693" s="705" t="s">
        <v>12380</v>
      </c>
      <c r="J18693" s="40"/>
    </row>
    <row r="18694" spans="1:10" ht="15" x14ac:dyDescent="0.2">
      <c r="A18694" s="734">
        <v>45348</v>
      </c>
      <c r="B18694" s="1099" t="s">
        <v>12637</v>
      </c>
      <c r="C18694" s="1099" t="s">
        <v>794</v>
      </c>
      <c r="D18694" s="1102" t="s">
        <v>12656</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12658</v>
      </c>
      <c r="E18700" s="1101">
        <v>39100</v>
      </c>
      <c r="F18700" s="126"/>
      <c r="G18700" s="126">
        <f t="shared" si="361"/>
        <v>-39100</v>
      </c>
      <c r="H18700" s="705" t="s">
        <v>12380</v>
      </c>
      <c r="J18700" s="40"/>
    </row>
    <row r="18701" spans="1:10" ht="15" x14ac:dyDescent="0.2">
      <c r="A18701" s="734">
        <v>45348</v>
      </c>
      <c r="B18701" s="1099" t="s">
        <v>11089</v>
      </c>
      <c r="C18701" s="1099" t="s">
        <v>794</v>
      </c>
      <c r="D18701" s="1102" t="s">
        <v>12659</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12694</v>
      </c>
      <c r="E18707" s="1101">
        <v>28000</v>
      </c>
      <c r="F18707" s="126"/>
      <c r="G18707" s="126">
        <f t="shared" si="362"/>
        <v>-28000</v>
      </c>
      <c r="H18707" s="705" t="s">
        <v>12380</v>
      </c>
      <c r="J18707" s="40"/>
    </row>
    <row r="18708" spans="1:10" ht="15" x14ac:dyDescent="0.2">
      <c r="A18708" s="734">
        <v>45348</v>
      </c>
      <c r="B18708" s="1099" t="s">
        <v>12652</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12695</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12533</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12747</v>
      </c>
      <c r="E18713" s="1101">
        <v>3500</v>
      </c>
      <c r="F18713" s="126"/>
      <c r="G18713" s="126">
        <f t="shared" si="362"/>
        <v>-3500</v>
      </c>
      <c r="H18713" s="705" t="s">
        <v>12380</v>
      </c>
      <c r="J18713" s="40"/>
    </row>
    <row r="18714" spans="1:10" ht="15" x14ac:dyDescent="0.2">
      <c r="A18714" s="734">
        <v>45348</v>
      </c>
      <c r="B18714" s="1099" t="s">
        <v>11738</v>
      </c>
      <c r="C18714" s="1099" t="s">
        <v>794</v>
      </c>
      <c r="D18714" s="1102" t="s">
        <v>12748</v>
      </c>
      <c r="E18714" s="1101">
        <v>32500</v>
      </c>
      <c r="F18714" s="126"/>
      <c r="G18714" s="126">
        <f t="shared" si="362"/>
        <v>-32500</v>
      </c>
      <c r="H18714" s="705" t="s">
        <v>12380</v>
      </c>
      <c r="J18714" s="40"/>
    </row>
    <row r="18715" spans="1:10" ht="15" x14ac:dyDescent="0.2">
      <c r="A18715" s="734">
        <v>45348</v>
      </c>
      <c r="B18715" s="63" t="s">
        <v>11093</v>
      </c>
      <c r="C18715" s="63" t="s">
        <v>10993</v>
      </c>
      <c r="D18715" s="183" t="s">
        <v>12596</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12597</v>
      </c>
      <c r="E18717" s="126">
        <v>1950</v>
      </c>
      <c r="F18717" s="126"/>
      <c r="G18717" s="126">
        <f t="shared" si="359"/>
        <v>-1950</v>
      </c>
      <c r="H18717" s="705" t="s">
        <v>12380</v>
      </c>
      <c r="J18717" s="40"/>
    </row>
    <row r="18718" spans="1:10" ht="15" x14ac:dyDescent="0.2">
      <c r="A18718" s="734">
        <v>45348</v>
      </c>
      <c r="B18718" s="63" t="s">
        <v>103</v>
      </c>
      <c r="C18718" s="63" t="s">
        <v>103</v>
      </c>
      <c r="D18718" s="183" t="s">
        <v>12558</v>
      </c>
      <c r="E18718" s="126">
        <v>5500</v>
      </c>
      <c r="F18718" s="126"/>
      <c r="G18718" s="126">
        <f t="shared" si="359"/>
        <v>-5500</v>
      </c>
      <c r="H18718" s="705" t="s">
        <v>12380</v>
      </c>
      <c r="J18718" s="40"/>
    </row>
    <row r="18719" spans="1:10" ht="15" x14ac:dyDescent="0.2">
      <c r="A18719" s="734">
        <v>45349</v>
      </c>
      <c r="B18719" s="63" t="s">
        <v>8559</v>
      </c>
      <c r="C18719" s="63" t="s">
        <v>12598</v>
      </c>
      <c r="D18719" s="183" t="s">
        <v>12599</v>
      </c>
      <c r="E18719" s="126">
        <v>30000</v>
      </c>
      <c r="F18719" s="126"/>
      <c r="G18719" s="126">
        <f t="shared" si="359"/>
        <v>-30000</v>
      </c>
      <c r="H18719" s="705" t="s">
        <v>12380</v>
      </c>
      <c r="J18719" s="40"/>
    </row>
    <row r="18720" spans="1:10" ht="48" x14ac:dyDescent="0.2">
      <c r="A18720" s="734">
        <v>45349</v>
      </c>
      <c r="B18720" s="63" t="s">
        <v>10908</v>
      </c>
      <c r="C18720" s="63" t="s">
        <v>10853</v>
      </c>
      <c r="D18720" s="183" t="s">
        <v>12600</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12615</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12617</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12618</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12619</v>
      </c>
      <c r="E18727" s="126">
        <v>5000</v>
      </c>
      <c r="F18727" s="126"/>
      <c r="G18727" s="126">
        <f t="shared" si="364"/>
        <v>-5000</v>
      </c>
      <c r="H18727" s="705" t="s">
        <v>12380</v>
      </c>
      <c r="J18727" s="40"/>
    </row>
    <row r="18728" spans="1:10" ht="15" x14ac:dyDescent="0.2">
      <c r="A18728" s="734">
        <v>45350</v>
      </c>
      <c r="B18728" s="63" t="s">
        <v>11635</v>
      </c>
      <c r="C18728" s="63" t="s">
        <v>392</v>
      </c>
      <c r="D18728" s="183" t="s">
        <v>12620</v>
      </c>
      <c r="E18728" s="126">
        <v>5000</v>
      </c>
      <c r="F18728" s="126"/>
      <c r="G18728" s="126">
        <f t="shared" si="364"/>
        <v>-5000</v>
      </c>
      <c r="H18728" s="705" t="s">
        <v>12380</v>
      </c>
      <c r="J18728" s="40"/>
    </row>
    <row r="18729" spans="1:10" ht="15" x14ac:dyDescent="0.2">
      <c r="A18729" s="734">
        <v>45350</v>
      </c>
      <c r="B18729" s="63" t="s">
        <v>10151</v>
      </c>
      <c r="C18729" s="63" t="s">
        <v>392</v>
      </c>
      <c r="D18729" s="183" t="s">
        <v>12621</v>
      </c>
      <c r="E18729" s="126">
        <v>5500</v>
      </c>
      <c r="F18729" s="126"/>
      <c r="G18729" s="126">
        <f t="shared" si="364"/>
        <v>-5500</v>
      </c>
      <c r="H18729" s="705" t="s">
        <v>12380</v>
      </c>
      <c r="J18729" s="40"/>
    </row>
    <row r="18730" spans="1:10" ht="15" x14ac:dyDescent="0.2">
      <c r="A18730" s="734">
        <v>45350</v>
      </c>
      <c r="B18730" s="63" t="s">
        <v>11089</v>
      </c>
      <c r="C18730" s="63" t="s">
        <v>392</v>
      </c>
      <c r="D18730" s="183" t="s">
        <v>12622</v>
      </c>
      <c r="E18730" s="126">
        <v>12000</v>
      </c>
      <c r="F18730" s="126"/>
      <c r="G18730" s="126">
        <f t="shared" si="364"/>
        <v>-12000</v>
      </c>
      <c r="H18730" s="705" t="s">
        <v>12380</v>
      </c>
      <c r="J18730" s="40"/>
    </row>
    <row r="18731" spans="1:10" ht="15" x14ac:dyDescent="0.2">
      <c r="A18731" s="734">
        <v>45350</v>
      </c>
      <c r="B18731" s="63" t="s">
        <v>103</v>
      </c>
      <c r="C18731" s="63" t="s">
        <v>392</v>
      </c>
      <c r="D18731" s="183" t="s">
        <v>12623</v>
      </c>
      <c r="E18731" s="126">
        <v>3150</v>
      </c>
      <c r="F18731" s="126"/>
      <c r="G18731" s="126">
        <f t="shared" si="364"/>
        <v>-3150</v>
      </c>
      <c r="H18731" s="705" t="s">
        <v>12380</v>
      </c>
      <c r="J18731" s="40"/>
    </row>
    <row r="18732" spans="1:10" ht="15" x14ac:dyDescent="0.2">
      <c r="A18732" s="734">
        <v>45350</v>
      </c>
      <c r="B18732" s="63" t="s">
        <v>12533</v>
      </c>
      <c r="C18732" s="63" t="s">
        <v>392</v>
      </c>
      <c r="D18732" s="183" t="s">
        <v>12624</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12558</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12631</v>
      </c>
      <c r="E18739" s="126">
        <v>100000</v>
      </c>
      <c r="F18739" s="126"/>
      <c r="G18739" s="126">
        <f t="shared" ref="G18739:G18740" si="366">F18739-E18739</f>
        <v>-100000</v>
      </c>
      <c r="H18739" s="705" t="s">
        <v>12380</v>
      </c>
      <c r="J18739" s="40"/>
    </row>
    <row r="18740" spans="1:10" ht="24" x14ac:dyDescent="0.2">
      <c r="A18740" s="734">
        <v>45351</v>
      </c>
      <c r="B18740" s="63" t="s">
        <v>10151</v>
      </c>
      <c r="C18740" s="63" t="s">
        <v>12630</v>
      </c>
      <c r="D18740" s="183" t="s">
        <v>12632</v>
      </c>
      <c r="E18740" s="126">
        <v>70000</v>
      </c>
      <c r="F18740" s="126"/>
      <c r="G18740" s="126">
        <f t="shared" si="366"/>
        <v>-70000</v>
      </c>
      <c r="H18740" s="705" t="s">
        <v>12380</v>
      </c>
      <c r="J18740" s="40"/>
    </row>
    <row r="18741" spans="1:10" ht="15" x14ac:dyDescent="0.2">
      <c r="A18741" s="734">
        <v>45351</v>
      </c>
      <c r="B18741" s="63" t="s">
        <v>103</v>
      </c>
      <c r="C18741" s="63" t="s">
        <v>103</v>
      </c>
      <c r="D18741" s="183" t="s">
        <v>12558</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12511</v>
      </c>
      <c r="C18743" s="63" t="s">
        <v>392</v>
      </c>
      <c r="D18743" s="183" t="s">
        <v>12633</v>
      </c>
      <c r="E18743" s="126">
        <v>450</v>
      </c>
      <c r="F18743" s="126"/>
      <c r="G18743" s="126">
        <f t="shared" si="367"/>
        <v>-450</v>
      </c>
      <c r="H18743" s="705" t="s">
        <v>12380</v>
      </c>
      <c r="J18743" s="40"/>
    </row>
    <row r="18744" spans="1:10" ht="15" x14ac:dyDescent="0.2">
      <c r="A18744" s="734">
        <v>45351</v>
      </c>
      <c r="B18744" s="63" t="s">
        <v>10908</v>
      </c>
      <c r="C18744" s="63" t="s">
        <v>10993</v>
      </c>
      <c r="D18744" s="183" t="s">
        <v>12634</v>
      </c>
      <c r="E18744" s="126">
        <v>17400</v>
      </c>
      <c r="F18744" s="126"/>
      <c r="G18744" s="126">
        <f t="shared" si="367"/>
        <v>-17400</v>
      </c>
      <c r="H18744" s="705" t="s">
        <v>12380</v>
      </c>
      <c r="J18744" s="40"/>
    </row>
    <row r="18745" spans="1:10" ht="15" x14ac:dyDescent="0.2">
      <c r="A18745" s="734">
        <v>45351</v>
      </c>
      <c r="B18745" s="63" t="s">
        <v>10363</v>
      </c>
      <c r="C18745" s="63" t="s">
        <v>10993</v>
      </c>
      <c r="D18745" s="183" t="s">
        <v>12635</v>
      </c>
      <c r="E18745" s="126">
        <v>9500</v>
      </c>
      <c r="F18745" s="126"/>
      <c r="G18745" s="126">
        <f t="shared" si="367"/>
        <v>-9500</v>
      </c>
      <c r="H18745" s="705" t="s">
        <v>12380</v>
      </c>
      <c r="J18745" s="40"/>
    </row>
    <row r="18746" spans="1:10" ht="15" x14ac:dyDescent="0.2">
      <c r="A18746" s="734">
        <v>45351</v>
      </c>
      <c r="B18746" s="63" t="s">
        <v>10908</v>
      </c>
      <c r="C18746" s="63" t="s">
        <v>286</v>
      </c>
      <c r="D18746" s="183" t="s">
        <v>12636</v>
      </c>
      <c r="E18746" s="126">
        <v>1000</v>
      </c>
      <c r="F18746" s="126"/>
      <c r="G18746" s="126">
        <f t="shared" si="367"/>
        <v>-1000</v>
      </c>
      <c r="H18746" s="705" t="s">
        <v>12380</v>
      </c>
      <c r="J18746" s="40"/>
    </row>
    <row r="18747" spans="1:10" ht="15" x14ac:dyDescent="0.2">
      <c r="A18747" s="734">
        <v>45351</v>
      </c>
      <c r="B18747" s="63" t="s">
        <v>12637</v>
      </c>
      <c r="C18747" s="63" t="s">
        <v>4008</v>
      </c>
      <c r="D18747" s="183" t="s">
        <v>12638</v>
      </c>
      <c r="E18747" s="126">
        <v>50000</v>
      </c>
      <c r="F18747" s="126"/>
      <c r="G18747" s="126">
        <f t="shared" si="367"/>
        <v>-50000</v>
      </c>
      <c r="H18747" s="705" t="s">
        <v>12380</v>
      </c>
      <c r="J18747" s="40"/>
    </row>
    <row r="18748" spans="1:10" ht="15" x14ac:dyDescent="0.2">
      <c r="A18748" s="734">
        <v>45351</v>
      </c>
      <c r="B18748" s="63" t="s">
        <v>12637</v>
      </c>
      <c r="C18748" s="63" t="s">
        <v>392</v>
      </c>
      <c r="D18748" s="183" t="s">
        <v>12639</v>
      </c>
      <c r="E18748" s="126">
        <v>10000</v>
      </c>
      <c r="F18748" s="126"/>
      <c r="G18748" s="126">
        <f t="shared" si="367"/>
        <v>-10000</v>
      </c>
      <c r="H18748" s="705" t="s">
        <v>12380</v>
      </c>
      <c r="J18748" s="40"/>
    </row>
    <row r="18749" spans="1:10" ht="15" x14ac:dyDescent="0.2">
      <c r="A18749" s="734">
        <v>45351</v>
      </c>
      <c r="B18749" s="63" t="s">
        <v>12637</v>
      </c>
      <c r="C18749" s="63" t="s">
        <v>286</v>
      </c>
      <c r="D18749" s="183" t="s">
        <v>12640</v>
      </c>
      <c r="E18749" s="126">
        <v>5000</v>
      </c>
      <c r="F18749" s="126"/>
      <c r="G18749" s="126">
        <f t="shared" si="367"/>
        <v>-5000</v>
      </c>
      <c r="H18749" s="705" t="s">
        <v>12380</v>
      </c>
      <c r="J18749" s="40"/>
    </row>
    <row r="18750" spans="1:10" ht="15" x14ac:dyDescent="0.2">
      <c r="A18750" s="734">
        <v>45351</v>
      </c>
      <c r="B18750" s="63" t="s">
        <v>11897</v>
      </c>
      <c r="C18750" s="63" t="s">
        <v>392</v>
      </c>
      <c r="D18750" s="183" t="s">
        <v>12641</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12533</v>
      </c>
      <c r="C18754" s="63" t="s">
        <v>10993</v>
      </c>
      <c r="D18754" s="183" t="s">
        <v>4966</v>
      </c>
      <c r="E18754" s="126">
        <v>7700</v>
      </c>
      <c r="F18754" s="126"/>
      <c r="G18754" s="126">
        <f t="shared" si="367"/>
        <v>-7700</v>
      </c>
      <c r="H18754" s="705" t="s">
        <v>12380</v>
      </c>
      <c r="J18754" s="40"/>
    </row>
    <row r="18755" spans="1:10" ht="15" x14ac:dyDescent="0.2">
      <c r="A18755" s="734">
        <v>45351</v>
      </c>
      <c r="B18755" s="63" t="s">
        <v>12533</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12533</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12642</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12627</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12575</v>
      </c>
      <c r="D18763" s="228" t="s">
        <v>12577</v>
      </c>
      <c r="E18763" s="236">
        <v>100000</v>
      </c>
      <c r="F18763" s="236"/>
      <c r="G18763" s="236">
        <f t="shared" si="369"/>
        <v>-100000</v>
      </c>
      <c r="H18763" s="709" t="s">
        <v>12380</v>
      </c>
    </row>
    <row r="18764" spans="1:10" ht="15" x14ac:dyDescent="0.2">
      <c r="A18764" s="733">
        <v>45341</v>
      </c>
      <c r="B18764" s="174" t="s">
        <v>10471</v>
      </c>
      <c r="C18764" s="174" t="s">
        <v>9460</v>
      </c>
      <c r="D18764" s="228" t="s">
        <v>12576</v>
      </c>
      <c r="E18764" s="236">
        <v>90000</v>
      </c>
      <c r="F18764" s="236"/>
      <c r="G18764" s="236">
        <f t="shared" si="369"/>
        <v>-90000</v>
      </c>
      <c r="H18764" s="709" t="s">
        <v>12380</v>
      </c>
    </row>
    <row r="18765" spans="1:10" ht="15" x14ac:dyDescent="0.2">
      <c r="A18765" s="733">
        <v>45341</v>
      </c>
      <c r="B18765" s="736"/>
      <c r="C18765" s="174" t="s">
        <v>12050</v>
      </c>
      <c r="D18765" s="228" t="s">
        <v>12579</v>
      </c>
      <c r="E18765" s="236">
        <v>653892</v>
      </c>
      <c r="F18765" s="236"/>
      <c r="G18765" s="236">
        <f t="shared" si="369"/>
        <v>-653892</v>
      </c>
      <c r="H18765" s="709" t="s">
        <v>12380</v>
      </c>
    </row>
    <row r="18766" spans="1:10" ht="15" x14ac:dyDescent="0.2">
      <c r="A18766" s="733">
        <v>45342</v>
      </c>
      <c r="B18766" s="174" t="s">
        <v>9769</v>
      </c>
      <c r="C18766" s="174" t="s">
        <v>11428</v>
      </c>
      <c r="D18766" s="228" t="s">
        <v>12580</v>
      </c>
      <c r="E18766" s="236">
        <v>100000</v>
      </c>
      <c r="F18766" s="236"/>
      <c r="G18766" s="236">
        <f t="shared" si="369"/>
        <v>-100000</v>
      </c>
      <c r="H18766" s="709" t="s">
        <v>12380</v>
      </c>
    </row>
    <row r="18767" spans="1:10" ht="15" x14ac:dyDescent="0.2">
      <c r="A18767" s="733">
        <v>45342</v>
      </c>
      <c r="B18767" s="174" t="s">
        <v>12366</v>
      </c>
      <c r="C18767" s="174" t="s">
        <v>11428</v>
      </c>
      <c r="D18767" s="228" t="s">
        <v>12581</v>
      </c>
      <c r="E18767" s="236">
        <v>145000</v>
      </c>
      <c r="F18767" s="236"/>
      <c r="G18767" s="236">
        <f t="shared" si="369"/>
        <v>-145000</v>
      </c>
      <c r="H18767" s="709" t="s">
        <v>12380</v>
      </c>
    </row>
    <row r="18768" spans="1:10" ht="15" x14ac:dyDescent="0.2">
      <c r="A18768" s="733">
        <v>45343</v>
      </c>
      <c r="B18768" s="174" t="s">
        <v>12627</v>
      </c>
      <c r="C18768" s="174" t="s">
        <v>9549</v>
      </c>
      <c r="D18768" s="228" t="s">
        <v>12582</v>
      </c>
      <c r="E18768" s="236">
        <v>50000</v>
      </c>
      <c r="F18768" s="236"/>
      <c r="G18768" s="236">
        <f t="shared" si="369"/>
        <v>-50000</v>
      </c>
      <c r="H18768" s="709" t="s">
        <v>12380</v>
      </c>
    </row>
    <row r="18769" spans="1:8" ht="24" x14ac:dyDescent="0.2">
      <c r="A18769" s="733">
        <v>45343</v>
      </c>
      <c r="B18769" s="174" t="s">
        <v>103</v>
      </c>
      <c r="C18769" s="174" t="s">
        <v>12575</v>
      </c>
      <c r="D18769" s="228" t="s">
        <v>12583</v>
      </c>
      <c r="E18769" s="236">
        <v>150000</v>
      </c>
      <c r="F18769" s="236"/>
      <c r="G18769" s="236">
        <f t="shared" si="369"/>
        <v>-150000</v>
      </c>
      <c r="H18769" s="709" t="s">
        <v>12380</v>
      </c>
    </row>
    <row r="18770" spans="1:8" ht="15" x14ac:dyDescent="0.2">
      <c r="A18770" s="733">
        <v>45348</v>
      </c>
      <c r="B18770" s="174" t="s">
        <v>12207</v>
      </c>
      <c r="C18770" s="174" t="s">
        <v>11106</v>
      </c>
      <c r="D18770" s="228" t="s">
        <v>12603</v>
      </c>
      <c r="E18770" s="236">
        <v>35400</v>
      </c>
      <c r="F18770" s="236"/>
      <c r="G18770" s="236">
        <f t="shared" si="369"/>
        <v>-35400</v>
      </c>
      <c r="H18770" s="709" t="s">
        <v>12380</v>
      </c>
    </row>
    <row r="18771" spans="1:8" ht="24" x14ac:dyDescent="0.2">
      <c r="A18771" s="733">
        <v>45350</v>
      </c>
      <c r="B18771" s="174" t="s">
        <v>11089</v>
      </c>
      <c r="C18771" s="174" t="s">
        <v>1198</v>
      </c>
      <c r="D18771" s="228" t="s">
        <v>12625</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12667</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12629</v>
      </c>
      <c r="E18778" s="176"/>
      <c r="F18778" s="176">
        <v>359992</v>
      </c>
      <c r="G18778" s="176">
        <f>F18778-E18778</f>
        <v>359992</v>
      </c>
      <c r="H18778" s="702" t="s">
        <v>12380</v>
      </c>
    </row>
    <row r="18779" spans="1:8" ht="15" x14ac:dyDescent="0.2">
      <c r="A18779" s="730">
        <v>45342</v>
      </c>
      <c r="B18779" s="94" t="s">
        <v>8043</v>
      </c>
      <c r="C18779" s="94" t="s">
        <v>559</v>
      </c>
      <c r="D18779" s="892" t="s">
        <v>12522</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12523</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12524</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12525</v>
      </c>
      <c r="E18782" s="176"/>
      <c r="F18782" s="176">
        <v>246087</v>
      </c>
      <c r="G18782" s="176">
        <f t="shared" si="374"/>
        <v>246087</v>
      </c>
      <c r="H18782" s="702" t="s">
        <v>12380</v>
      </c>
    </row>
    <row r="18783" spans="1:8" ht="15" x14ac:dyDescent="0.2">
      <c r="A18783" s="730">
        <v>45345</v>
      </c>
      <c r="B18783" s="94" t="s">
        <v>9986</v>
      </c>
      <c r="C18783" s="94" t="s">
        <v>559</v>
      </c>
      <c r="D18783" s="892" t="s">
        <v>12523</v>
      </c>
      <c r="E18783" s="176"/>
      <c r="F18783" s="176">
        <v>900000</v>
      </c>
      <c r="G18783" s="176">
        <f t="shared" si="374"/>
        <v>900000</v>
      </c>
      <c r="H18783" s="702" t="s">
        <v>12380</v>
      </c>
    </row>
    <row r="18784" spans="1:8" ht="15" x14ac:dyDescent="0.2">
      <c r="A18784" s="730">
        <v>45345</v>
      </c>
      <c r="B18784" s="94" t="s">
        <v>9986</v>
      </c>
      <c r="C18784" s="94" t="s">
        <v>559</v>
      </c>
      <c r="D18784" s="892" t="s">
        <v>12523</v>
      </c>
      <c r="E18784" s="176"/>
      <c r="F18784" s="176">
        <v>900000</v>
      </c>
      <c r="G18784" s="176">
        <f t="shared" si="374"/>
        <v>900000</v>
      </c>
      <c r="H18784" s="702" t="s">
        <v>12380</v>
      </c>
    </row>
    <row r="18785" spans="1:10" ht="24" x14ac:dyDescent="0.2">
      <c r="A18785" s="730">
        <v>45345</v>
      </c>
      <c r="B18785" s="94" t="s">
        <v>11738</v>
      </c>
      <c r="C18785" s="94" t="s">
        <v>559</v>
      </c>
      <c r="D18785" s="802" t="s">
        <v>12586</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12601</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12625</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12663</v>
      </c>
      <c r="J18788" s="40"/>
    </row>
    <row r="18789" spans="1:10" ht="15" x14ac:dyDescent="0.2">
      <c r="A18789" s="734">
        <v>45353</v>
      </c>
      <c r="B18789" s="63" t="s">
        <v>103</v>
      </c>
      <c r="C18789" s="63" t="s">
        <v>103</v>
      </c>
      <c r="D18789" s="183" t="s">
        <v>12558</v>
      </c>
      <c r="E18789" s="126">
        <v>6000</v>
      </c>
      <c r="F18789" s="126"/>
      <c r="G18789" s="126">
        <f>F18789-E18789</f>
        <v>-6000</v>
      </c>
      <c r="H18789" s="705" t="s">
        <v>12663</v>
      </c>
      <c r="J18789" s="40"/>
    </row>
    <row r="18790" spans="1:10" ht="15" x14ac:dyDescent="0.2">
      <c r="A18790" s="734">
        <v>45353</v>
      </c>
      <c r="B18790" s="63" t="s">
        <v>10232</v>
      </c>
      <c r="C18790" s="63" t="s">
        <v>5741</v>
      </c>
      <c r="D18790" s="183" t="s">
        <v>10337</v>
      </c>
      <c r="E18790" s="126">
        <v>400</v>
      </c>
      <c r="F18790" s="126"/>
      <c r="G18790" s="126">
        <f>F18790-E18790</f>
        <v>-400</v>
      </c>
      <c r="H18790" s="705" t="s">
        <v>12663</v>
      </c>
      <c r="J18790" s="40"/>
    </row>
    <row r="18791" spans="1:10" ht="15" x14ac:dyDescent="0.2">
      <c r="A18791" s="734">
        <v>45353</v>
      </c>
      <c r="B18791" s="63" t="s">
        <v>10232</v>
      </c>
      <c r="C18791" s="63" t="s">
        <v>8372</v>
      </c>
      <c r="D18791" s="183" t="s">
        <v>370</v>
      </c>
      <c r="E18791" s="126">
        <v>200</v>
      </c>
      <c r="F18791" s="126"/>
      <c r="G18791" s="126">
        <f>F18791-E18791</f>
        <v>-200</v>
      </c>
      <c r="H18791" s="705" t="s">
        <v>12663</v>
      </c>
      <c r="J18791" s="40"/>
    </row>
    <row r="18792" spans="1:10" ht="15" x14ac:dyDescent="0.2">
      <c r="A18792" s="734">
        <v>45353</v>
      </c>
      <c r="B18792" s="63" t="s">
        <v>10363</v>
      </c>
      <c r="C18792" s="63" t="s">
        <v>5741</v>
      </c>
      <c r="D18792" s="183" t="s">
        <v>12643</v>
      </c>
      <c r="E18792" s="126">
        <v>5000</v>
      </c>
      <c r="F18792" s="126"/>
      <c r="G18792" s="126">
        <f>F18792-E18792</f>
        <v>-5000</v>
      </c>
      <c r="H18792" s="705" t="s">
        <v>12663</v>
      </c>
      <c r="J18792" s="40"/>
    </row>
    <row r="18793" spans="1:10" ht="24" x14ac:dyDescent="0.2">
      <c r="A18793" s="734">
        <v>45353</v>
      </c>
      <c r="B18793" s="63" t="s">
        <v>12533</v>
      </c>
      <c r="C18793" s="63" t="s">
        <v>12644</v>
      </c>
      <c r="D18793" s="183" t="s">
        <v>12645</v>
      </c>
      <c r="E18793" s="126">
        <v>50000</v>
      </c>
      <c r="F18793" s="126"/>
      <c r="G18793" s="126">
        <f t="shared" ref="G18793:G18794" si="378">F18793-E18793</f>
        <v>-50000</v>
      </c>
      <c r="H18793" s="705" t="s">
        <v>12663</v>
      </c>
      <c r="J18793" s="40"/>
    </row>
    <row r="18794" spans="1:10" ht="15" x14ac:dyDescent="0.2">
      <c r="A18794" s="734">
        <v>45353</v>
      </c>
      <c r="B18794" s="63" t="s">
        <v>11738</v>
      </c>
      <c r="C18794" s="63" t="s">
        <v>10993</v>
      </c>
      <c r="D18794" s="183" t="s">
        <v>6486</v>
      </c>
      <c r="E18794" s="126">
        <v>14460</v>
      </c>
      <c r="F18794" s="126"/>
      <c r="G18794" s="126">
        <f t="shared" si="378"/>
        <v>-14460</v>
      </c>
      <c r="H18794" s="705" t="s">
        <v>12663</v>
      </c>
      <c r="J18794" s="40"/>
    </row>
    <row r="18795" spans="1:10" ht="15" x14ac:dyDescent="0.2">
      <c r="A18795" s="734">
        <v>45353</v>
      </c>
      <c r="B18795" s="63" t="s">
        <v>103</v>
      </c>
      <c r="C18795" s="63" t="s">
        <v>12646</v>
      </c>
      <c r="D18795" s="183" t="s">
        <v>12647</v>
      </c>
      <c r="E18795" s="126">
        <v>3000</v>
      </c>
      <c r="F18795" s="126"/>
      <c r="G18795" s="126">
        <f t="shared" ref="G18795:G18801" si="379">F18795-E18795</f>
        <v>-3000</v>
      </c>
      <c r="H18795" s="705" t="s">
        <v>12663</v>
      </c>
      <c r="J18795" s="40"/>
    </row>
    <row r="18796" spans="1:10" ht="15" x14ac:dyDescent="0.2">
      <c r="A18796" s="734">
        <v>45353</v>
      </c>
      <c r="B18796" s="63" t="s">
        <v>11089</v>
      </c>
      <c r="C18796" s="63" t="s">
        <v>5741</v>
      </c>
      <c r="D18796" s="183" t="s">
        <v>370</v>
      </c>
      <c r="E18796" s="126">
        <v>1200</v>
      </c>
      <c r="F18796" s="126"/>
      <c r="G18796" s="126">
        <f t="shared" si="379"/>
        <v>-1200</v>
      </c>
      <c r="H18796" s="705" t="s">
        <v>12663</v>
      </c>
      <c r="J18796" s="40"/>
    </row>
    <row r="18797" spans="1:10" ht="15" x14ac:dyDescent="0.2">
      <c r="A18797" s="734">
        <v>45355</v>
      </c>
      <c r="B18797" s="63" t="s">
        <v>25</v>
      </c>
      <c r="C18797" s="63" t="s">
        <v>8150</v>
      </c>
      <c r="D18797" s="183" t="s">
        <v>6310</v>
      </c>
      <c r="E18797" s="126">
        <v>865</v>
      </c>
      <c r="F18797" s="126"/>
      <c r="G18797" s="126">
        <f t="shared" si="379"/>
        <v>-865</v>
      </c>
      <c r="H18797" s="705" t="s">
        <v>12663</v>
      </c>
      <c r="J18797" s="40"/>
    </row>
    <row r="18798" spans="1:10" ht="15" x14ac:dyDescent="0.2">
      <c r="A18798" s="734">
        <v>45355</v>
      </c>
      <c r="B18798" s="63" t="s">
        <v>103</v>
      </c>
      <c r="C18798" s="63" t="s">
        <v>8150</v>
      </c>
      <c r="D18798" s="183" t="s">
        <v>6310</v>
      </c>
      <c r="E18798" s="126">
        <v>745</v>
      </c>
      <c r="F18798" s="126"/>
      <c r="G18798" s="126">
        <f t="shared" si="379"/>
        <v>-745</v>
      </c>
      <c r="H18798" s="705" t="s">
        <v>12663</v>
      </c>
      <c r="J18798" s="40"/>
    </row>
    <row r="18799" spans="1:10" ht="15" x14ac:dyDescent="0.2">
      <c r="A18799" s="734">
        <v>45355</v>
      </c>
      <c r="B18799" s="63" t="s">
        <v>103</v>
      </c>
      <c r="C18799" s="63" t="s">
        <v>103</v>
      </c>
      <c r="D18799" s="183" t="s">
        <v>12558</v>
      </c>
      <c r="E18799" s="126">
        <v>3000</v>
      </c>
      <c r="F18799" s="126"/>
      <c r="G18799" s="126">
        <f t="shared" si="379"/>
        <v>-3000</v>
      </c>
      <c r="H18799" s="705" t="s">
        <v>12663</v>
      </c>
      <c r="J18799" s="40"/>
    </row>
    <row r="18800" spans="1:10" ht="15" x14ac:dyDescent="0.2">
      <c r="A18800" s="734">
        <v>45355</v>
      </c>
      <c r="B18800" s="63" t="s">
        <v>11089</v>
      </c>
      <c r="C18800" s="63" t="s">
        <v>12648</v>
      </c>
      <c r="D18800" s="183" t="s">
        <v>1157</v>
      </c>
      <c r="E18800" s="126">
        <v>10000</v>
      </c>
      <c r="F18800" s="126"/>
      <c r="G18800" s="126">
        <f t="shared" si="379"/>
        <v>-10000</v>
      </c>
      <c r="H18800" s="705" t="s">
        <v>12663</v>
      </c>
      <c r="J18800" s="40"/>
    </row>
    <row r="18801" spans="1:10" ht="15" x14ac:dyDescent="0.2">
      <c r="A18801" s="734">
        <v>45355</v>
      </c>
      <c r="B18801" s="63" t="s">
        <v>11897</v>
      </c>
      <c r="C18801" s="63" t="s">
        <v>431</v>
      </c>
      <c r="D18801" s="183" t="s">
        <v>12649</v>
      </c>
      <c r="E18801" s="126">
        <v>225000</v>
      </c>
      <c r="F18801" s="126"/>
      <c r="G18801" s="126">
        <f t="shared" si="379"/>
        <v>-225000</v>
      </c>
      <c r="H18801" s="705" t="s">
        <v>12663</v>
      </c>
      <c r="J18801" s="40"/>
    </row>
    <row r="18802" spans="1:10" ht="15" x14ac:dyDescent="0.2">
      <c r="A18802" s="734">
        <v>45355</v>
      </c>
      <c r="B18802" s="63" t="s">
        <v>11897</v>
      </c>
      <c r="C18802" s="63" t="s">
        <v>10993</v>
      </c>
      <c r="D18802" s="183" t="s">
        <v>12650</v>
      </c>
      <c r="E18802" s="126">
        <v>10000</v>
      </c>
      <c r="F18802" s="126"/>
      <c r="G18802" s="126">
        <f t="shared" ref="G18802:G18808" si="380">F18802-E18802</f>
        <v>-10000</v>
      </c>
      <c r="H18802" s="705" t="s">
        <v>12663</v>
      </c>
      <c r="J18802" s="40"/>
    </row>
    <row r="18803" spans="1:10" ht="15" x14ac:dyDescent="0.2">
      <c r="A18803" s="734">
        <v>45355</v>
      </c>
      <c r="B18803" s="63" t="s">
        <v>11897</v>
      </c>
      <c r="C18803" s="63" t="s">
        <v>5387</v>
      </c>
      <c r="D18803" s="183" t="s">
        <v>12651</v>
      </c>
      <c r="E18803" s="126">
        <v>6000</v>
      </c>
      <c r="F18803" s="126"/>
      <c r="G18803" s="126">
        <f t="shared" si="380"/>
        <v>-6000</v>
      </c>
      <c r="H18803" s="705" t="s">
        <v>12663</v>
      </c>
      <c r="J18803" s="40"/>
    </row>
    <row r="18804" spans="1:10" ht="15" x14ac:dyDescent="0.2">
      <c r="A18804" s="734">
        <v>45355</v>
      </c>
      <c r="B18804" s="63" t="s">
        <v>103</v>
      </c>
      <c r="C18804" s="63" t="s">
        <v>10589</v>
      </c>
      <c r="D18804" s="183" t="s">
        <v>1157</v>
      </c>
      <c r="E18804" s="126">
        <v>7000</v>
      </c>
      <c r="F18804" s="126"/>
      <c r="G18804" s="126">
        <f t="shared" si="380"/>
        <v>-7000</v>
      </c>
      <c r="H18804" s="705" t="s">
        <v>12663</v>
      </c>
      <c r="J18804" s="40"/>
    </row>
    <row r="18805" spans="1:10" ht="15" x14ac:dyDescent="0.2">
      <c r="A18805" s="734">
        <v>45355</v>
      </c>
      <c r="B18805" s="63" t="s">
        <v>103</v>
      </c>
      <c r="C18805" s="63" t="s">
        <v>103</v>
      </c>
      <c r="D18805" s="183" t="s">
        <v>12422</v>
      </c>
      <c r="E18805" s="126">
        <v>1000</v>
      </c>
      <c r="F18805" s="126"/>
      <c r="G18805" s="126">
        <f t="shared" si="380"/>
        <v>-1000</v>
      </c>
      <c r="H18805" s="705" t="s">
        <v>12663</v>
      </c>
      <c r="J18805" s="40"/>
    </row>
    <row r="18806" spans="1:10" ht="15" x14ac:dyDescent="0.2">
      <c r="A18806" s="734">
        <v>45356</v>
      </c>
      <c r="B18806" s="63" t="s">
        <v>11307</v>
      </c>
      <c r="C18806" s="63" t="s">
        <v>10993</v>
      </c>
      <c r="D18806" s="183" t="s">
        <v>12653</v>
      </c>
      <c r="E18806" s="126">
        <v>4800</v>
      </c>
      <c r="F18806" s="126"/>
      <c r="G18806" s="126">
        <f t="shared" si="380"/>
        <v>-4800</v>
      </c>
      <c r="H18806" s="705" t="s">
        <v>12663</v>
      </c>
      <c r="J18806" s="40"/>
    </row>
    <row r="18807" spans="1:10" ht="15" x14ac:dyDescent="0.2">
      <c r="A18807" s="734">
        <v>45356</v>
      </c>
      <c r="B18807" s="63" t="s">
        <v>10908</v>
      </c>
      <c r="C18807" s="63" t="s">
        <v>286</v>
      </c>
      <c r="D18807" s="183" t="s">
        <v>8663</v>
      </c>
      <c r="E18807" s="126">
        <v>500</v>
      </c>
      <c r="F18807" s="126"/>
      <c r="G18807" s="126">
        <f t="shared" si="380"/>
        <v>-500</v>
      </c>
      <c r="H18807" s="705" t="s">
        <v>12663</v>
      </c>
      <c r="J18807" s="40"/>
    </row>
    <row r="18808" spans="1:10" ht="15" x14ac:dyDescent="0.2">
      <c r="A18808" s="734">
        <v>45356</v>
      </c>
      <c r="B18808" s="63" t="s">
        <v>103</v>
      </c>
      <c r="C18808" s="63" t="s">
        <v>103</v>
      </c>
      <c r="D18808" s="183" t="s">
        <v>12558</v>
      </c>
      <c r="E18808" s="126">
        <v>4000</v>
      </c>
      <c r="F18808" s="126"/>
      <c r="G18808" s="126">
        <f t="shared" si="380"/>
        <v>-4000</v>
      </c>
      <c r="H18808" s="705" t="s">
        <v>12663</v>
      </c>
      <c r="J18808" s="40"/>
    </row>
    <row r="18809" spans="1:10" ht="15" x14ac:dyDescent="0.2">
      <c r="A18809" s="734">
        <v>45356</v>
      </c>
      <c r="B18809" s="63" t="s">
        <v>11738</v>
      </c>
      <c r="C18809" s="63" t="s">
        <v>10993</v>
      </c>
      <c r="D18809" s="183" t="s">
        <v>12654</v>
      </c>
      <c r="E18809" s="126">
        <v>2400</v>
      </c>
      <c r="F18809" s="126"/>
      <c r="G18809" s="126">
        <f t="shared" ref="G18809:G18814" si="381">F18809-E18809</f>
        <v>-2400</v>
      </c>
      <c r="H18809" s="705" t="s">
        <v>12663</v>
      </c>
      <c r="J18809" s="40"/>
    </row>
    <row r="18810" spans="1:10" ht="15" x14ac:dyDescent="0.2">
      <c r="A18810" s="734">
        <v>45356</v>
      </c>
      <c r="B18810" s="63" t="s">
        <v>12366</v>
      </c>
      <c r="C18810" s="63" t="s">
        <v>11099</v>
      </c>
      <c r="D18810" s="183" t="s">
        <v>1157</v>
      </c>
      <c r="E18810" s="126">
        <v>22000</v>
      </c>
      <c r="F18810" s="126"/>
      <c r="G18810" s="126">
        <f t="shared" si="381"/>
        <v>-22000</v>
      </c>
      <c r="H18810" s="705" t="s">
        <v>12663</v>
      </c>
      <c r="J18810" s="40"/>
    </row>
    <row r="18811" spans="1:10" ht="15" x14ac:dyDescent="0.2">
      <c r="A18811" s="734">
        <v>45356</v>
      </c>
      <c r="B18811" s="63" t="s">
        <v>37</v>
      </c>
      <c r="C18811" s="63" t="s">
        <v>392</v>
      </c>
      <c r="D18811" s="183" t="s">
        <v>5755</v>
      </c>
      <c r="E18811" s="126">
        <v>3000</v>
      </c>
      <c r="F18811" s="126"/>
      <c r="G18811" s="126">
        <f t="shared" si="381"/>
        <v>-3000</v>
      </c>
      <c r="H18811" s="705" t="s">
        <v>12663</v>
      </c>
      <c r="J18811" s="40"/>
    </row>
    <row r="18812" spans="1:10" ht="15" x14ac:dyDescent="0.2">
      <c r="A18812" s="734">
        <v>45356</v>
      </c>
      <c r="B18812" s="63" t="s">
        <v>12627</v>
      </c>
      <c r="C18812" s="63" t="s">
        <v>392</v>
      </c>
      <c r="D18812" s="183" t="s">
        <v>12657</v>
      </c>
      <c r="E18812" s="126">
        <v>12800</v>
      </c>
      <c r="F18812" s="126"/>
      <c r="G18812" s="126">
        <f t="shared" si="381"/>
        <v>-12800</v>
      </c>
      <c r="H18812" s="705" t="s">
        <v>12663</v>
      </c>
      <c r="J18812" s="40"/>
    </row>
    <row r="18813" spans="1:10" ht="15" x14ac:dyDescent="0.2">
      <c r="A18813" s="734">
        <v>45356</v>
      </c>
      <c r="B18813" s="63" t="s">
        <v>37</v>
      </c>
      <c r="C18813" s="63" t="s">
        <v>392</v>
      </c>
      <c r="D18813" s="183" t="s">
        <v>12735</v>
      </c>
      <c r="E18813" s="126">
        <v>5000</v>
      </c>
      <c r="F18813" s="126"/>
      <c r="G18813" s="126">
        <f t="shared" si="381"/>
        <v>-5000</v>
      </c>
      <c r="H18813" s="705" t="s">
        <v>12663</v>
      </c>
      <c r="J18813" s="40"/>
    </row>
    <row r="18814" spans="1:10" ht="15" x14ac:dyDescent="0.2">
      <c r="A18814" s="734">
        <v>45357</v>
      </c>
      <c r="B18814" s="63" t="s">
        <v>10776</v>
      </c>
      <c r="C18814" s="63" t="s">
        <v>392</v>
      </c>
      <c r="D18814" s="183" t="s">
        <v>12736</v>
      </c>
      <c r="E18814" s="126">
        <v>5000</v>
      </c>
      <c r="F18814" s="126"/>
      <c r="G18814" s="126">
        <f t="shared" si="381"/>
        <v>-5000</v>
      </c>
      <c r="H18814" s="705" t="s">
        <v>12663</v>
      </c>
      <c r="J18814" s="40"/>
    </row>
    <row r="18815" spans="1:10" ht="15" x14ac:dyDescent="0.2">
      <c r="A18815" s="734">
        <v>45357</v>
      </c>
      <c r="B18815" s="63" t="s">
        <v>103</v>
      </c>
      <c r="C18815" s="63" t="s">
        <v>103</v>
      </c>
      <c r="D18815" s="183" t="s">
        <v>12558</v>
      </c>
      <c r="E18815" s="126">
        <v>5000</v>
      </c>
      <c r="F18815" s="126"/>
      <c r="G18815" s="126">
        <f t="shared" ref="G18815:G18918" si="382">F18815-E18815</f>
        <v>-5000</v>
      </c>
      <c r="H18815" s="705" t="s">
        <v>12663</v>
      </c>
      <c r="J18815" s="40"/>
    </row>
    <row r="18816" spans="1:10" ht="15" x14ac:dyDescent="0.2">
      <c r="A18816" s="734">
        <v>45357</v>
      </c>
      <c r="B18816" s="63" t="s">
        <v>103</v>
      </c>
      <c r="C18816" s="63" t="s">
        <v>12503</v>
      </c>
      <c r="D18816" s="183" t="s">
        <v>370</v>
      </c>
      <c r="E18816" s="126">
        <v>6000</v>
      </c>
      <c r="F18816" s="126"/>
      <c r="G18816" s="126">
        <f t="shared" si="382"/>
        <v>-6000</v>
      </c>
      <c r="H18816" s="705" t="s">
        <v>12663</v>
      </c>
      <c r="J18816" s="40"/>
    </row>
    <row r="18817" spans="1:10" ht="15" x14ac:dyDescent="0.2">
      <c r="A18817" s="734">
        <v>45357</v>
      </c>
      <c r="B18817" s="63" t="s">
        <v>103</v>
      </c>
      <c r="C18817" s="63" t="s">
        <v>1495</v>
      </c>
      <c r="D18817" s="183" t="s">
        <v>370</v>
      </c>
      <c r="E18817" s="126">
        <v>1700</v>
      </c>
      <c r="F18817" s="126"/>
      <c r="G18817" s="126">
        <f t="shared" si="382"/>
        <v>-1700</v>
      </c>
      <c r="H18817" s="705" t="s">
        <v>12663</v>
      </c>
      <c r="J18817" s="40"/>
    </row>
    <row r="18818" spans="1:10" ht="15" x14ac:dyDescent="0.2">
      <c r="A18818" s="734">
        <v>45357</v>
      </c>
      <c r="B18818" s="63" t="s">
        <v>11089</v>
      </c>
      <c r="C18818" s="63" t="s">
        <v>5741</v>
      </c>
      <c r="D18818" s="183" t="s">
        <v>370</v>
      </c>
      <c r="E18818" s="126">
        <v>1400</v>
      </c>
      <c r="F18818" s="126"/>
      <c r="G18818" s="126">
        <f t="shared" si="382"/>
        <v>-1400</v>
      </c>
      <c r="H18818" s="705" t="s">
        <v>12663</v>
      </c>
      <c r="J18818" s="40"/>
    </row>
    <row r="18819" spans="1:10" ht="15" x14ac:dyDescent="0.2">
      <c r="A18819" s="734">
        <v>45357</v>
      </c>
      <c r="B18819" s="63" t="s">
        <v>11089</v>
      </c>
      <c r="C18819" s="63" t="s">
        <v>10993</v>
      </c>
      <c r="D18819" s="183" t="s">
        <v>12660</v>
      </c>
      <c r="E18819" s="126">
        <v>950</v>
      </c>
      <c r="F18819" s="126"/>
      <c r="G18819" s="126">
        <f t="shared" si="382"/>
        <v>-950</v>
      </c>
      <c r="H18819" s="705" t="s">
        <v>12663</v>
      </c>
      <c r="J18819" s="40"/>
    </row>
    <row r="18820" spans="1:10" ht="15" x14ac:dyDescent="0.2">
      <c r="A18820" s="734">
        <v>45357</v>
      </c>
      <c r="B18820" s="63" t="s">
        <v>11089</v>
      </c>
      <c r="C18820" s="63" t="s">
        <v>10993</v>
      </c>
      <c r="D18820" s="183" t="s">
        <v>12697</v>
      </c>
      <c r="E18820" s="126">
        <v>21000</v>
      </c>
      <c r="F18820" s="126"/>
      <c r="G18820" s="126">
        <f t="shared" si="382"/>
        <v>-21000</v>
      </c>
      <c r="H18820" s="705" t="s">
        <v>12663</v>
      </c>
      <c r="J18820" s="40"/>
    </row>
    <row r="18821" spans="1:10" ht="15" x14ac:dyDescent="0.2">
      <c r="A18821" s="734">
        <v>45357</v>
      </c>
      <c r="B18821" s="63" t="s">
        <v>25</v>
      </c>
      <c r="C18821" s="63" t="s">
        <v>2428</v>
      </c>
      <c r="D18821" s="183" t="s">
        <v>12661</v>
      </c>
      <c r="E18821" s="126">
        <v>150000</v>
      </c>
      <c r="F18821" s="126"/>
      <c r="G18821" s="126">
        <f t="shared" si="382"/>
        <v>-150000</v>
      </c>
      <c r="H18821" s="705" t="s">
        <v>12663</v>
      </c>
      <c r="J18821" s="40"/>
    </row>
    <row r="18822" spans="1:10" ht="15" x14ac:dyDescent="0.2">
      <c r="A18822" s="734">
        <v>45357</v>
      </c>
      <c r="B18822" s="63" t="s">
        <v>11738</v>
      </c>
      <c r="C18822" s="63" t="s">
        <v>10993</v>
      </c>
      <c r="D18822" s="183" t="s">
        <v>12662</v>
      </c>
      <c r="E18822" s="126">
        <v>21000</v>
      </c>
      <c r="F18822" s="126"/>
      <c r="G18822" s="126">
        <f t="shared" si="382"/>
        <v>-21000</v>
      </c>
      <c r="H18822" s="705" t="s">
        <v>12663</v>
      </c>
      <c r="J18822" s="40"/>
    </row>
    <row r="18823" spans="1:10" ht="15" x14ac:dyDescent="0.2">
      <c r="A18823" s="734">
        <v>45357</v>
      </c>
      <c r="B18823" s="63" t="s">
        <v>11738</v>
      </c>
      <c r="C18823" s="63" t="s">
        <v>12703</v>
      </c>
      <c r="D18823" s="183" t="s">
        <v>10721</v>
      </c>
      <c r="E18823" s="126">
        <v>40000</v>
      </c>
      <c r="F18823" s="126"/>
      <c r="G18823" s="126">
        <f t="shared" si="382"/>
        <v>-40000</v>
      </c>
      <c r="H18823" s="705" t="s">
        <v>12663</v>
      </c>
      <c r="J18823" s="40"/>
    </row>
    <row r="18824" spans="1:10" ht="15" x14ac:dyDescent="0.2">
      <c r="A18824" s="734">
        <v>45358</v>
      </c>
      <c r="B18824" s="63" t="s">
        <v>11738</v>
      </c>
      <c r="C18824" s="63" t="s">
        <v>10993</v>
      </c>
      <c r="D18824" s="183" t="s">
        <v>12662</v>
      </c>
      <c r="E18824" s="126">
        <v>9000</v>
      </c>
      <c r="F18824" s="126"/>
      <c r="G18824" s="126">
        <f t="shared" si="382"/>
        <v>-9000</v>
      </c>
      <c r="H18824" s="705" t="s">
        <v>12663</v>
      </c>
      <c r="J18824" s="40"/>
    </row>
    <row r="18825" spans="1:10" ht="15" x14ac:dyDescent="0.2">
      <c r="A18825" s="734">
        <v>45357</v>
      </c>
      <c r="B18825" s="63" t="s">
        <v>10908</v>
      </c>
      <c r="C18825" s="63" t="s">
        <v>10993</v>
      </c>
      <c r="D18825" s="183" t="s">
        <v>12698</v>
      </c>
      <c r="E18825" s="126">
        <v>15500</v>
      </c>
      <c r="F18825" s="126"/>
      <c r="G18825" s="126">
        <f t="shared" ref="G18825:G18828" si="383">F18825-E18825</f>
        <v>-15500</v>
      </c>
      <c r="H18825" s="705" t="s">
        <v>12663</v>
      </c>
      <c r="J18825" s="40"/>
    </row>
    <row r="18826" spans="1:10" ht="15" x14ac:dyDescent="0.2">
      <c r="A18826" s="734">
        <v>45358</v>
      </c>
      <c r="B18826" s="63" t="s">
        <v>10908</v>
      </c>
      <c r="C18826" s="63" t="s">
        <v>286</v>
      </c>
      <c r="D18826" s="183" t="s">
        <v>12693</v>
      </c>
      <c r="E18826" s="126">
        <v>650</v>
      </c>
      <c r="F18826" s="126"/>
      <c r="G18826" s="126">
        <f t="shared" si="383"/>
        <v>-650</v>
      </c>
      <c r="H18826" s="705" t="s">
        <v>12663</v>
      </c>
      <c r="J18826" s="40"/>
    </row>
    <row r="18827" spans="1:10" ht="15" x14ac:dyDescent="0.2">
      <c r="A18827" s="734">
        <v>45358</v>
      </c>
      <c r="B18827" s="63" t="s">
        <v>12652</v>
      </c>
      <c r="C18827" s="63" t="s">
        <v>11975</v>
      </c>
      <c r="D18827" s="183" t="s">
        <v>12696</v>
      </c>
      <c r="E18827" s="126">
        <v>20000</v>
      </c>
      <c r="F18827" s="126"/>
      <c r="G18827" s="126">
        <f t="shared" si="383"/>
        <v>-20000</v>
      </c>
      <c r="H18827" s="705" t="s">
        <v>12663</v>
      </c>
      <c r="J18827" s="40"/>
    </row>
    <row r="18828" spans="1:10" ht="15" x14ac:dyDescent="0.2">
      <c r="A18828" s="734">
        <v>45358</v>
      </c>
      <c r="B18828" s="63" t="s">
        <v>11089</v>
      </c>
      <c r="C18828" s="63" t="s">
        <v>5741</v>
      </c>
      <c r="D18828" s="183" t="s">
        <v>370</v>
      </c>
      <c r="E18828" s="126">
        <v>800</v>
      </c>
      <c r="F18828" s="126"/>
      <c r="G18828" s="126">
        <f t="shared" si="383"/>
        <v>-800</v>
      </c>
      <c r="H18828" s="705" t="s">
        <v>12663</v>
      </c>
      <c r="J18828" s="40"/>
    </row>
    <row r="18829" spans="1:10" ht="15" x14ac:dyDescent="0.2">
      <c r="A18829" s="734">
        <v>45359</v>
      </c>
      <c r="B18829" s="63" t="s">
        <v>103</v>
      </c>
      <c r="C18829" s="63" t="s">
        <v>103</v>
      </c>
      <c r="D18829" s="183" t="s">
        <v>12558</v>
      </c>
      <c r="E18829" s="126">
        <v>4000</v>
      </c>
      <c r="F18829" s="126"/>
      <c r="G18829" s="126">
        <f t="shared" ref="G18829:G18838" si="384">F18829-E18829</f>
        <v>-4000</v>
      </c>
      <c r="H18829" s="705" t="s">
        <v>12663</v>
      </c>
      <c r="J18829" s="40"/>
    </row>
    <row r="18830" spans="1:10" ht="15" x14ac:dyDescent="0.2">
      <c r="A18830" s="734">
        <v>45359</v>
      </c>
      <c r="B18830" s="63" t="s">
        <v>12699</v>
      </c>
      <c r="C18830" s="63" t="s">
        <v>10993</v>
      </c>
      <c r="D18830" s="183" t="s">
        <v>12700</v>
      </c>
      <c r="E18830" s="126">
        <v>182980</v>
      </c>
      <c r="F18830" s="126"/>
      <c r="G18830" s="126">
        <f t="shared" si="384"/>
        <v>-182980</v>
      </c>
      <c r="H18830" s="705" t="s">
        <v>12663</v>
      </c>
      <c r="J18830" s="40"/>
    </row>
    <row r="18831" spans="1:10" ht="15" x14ac:dyDescent="0.2">
      <c r="A18831" s="734">
        <v>45359</v>
      </c>
      <c r="B18831" s="63" t="s">
        <v>12699</v>
      </c>
      <c r="C18831" s="63" t="s">
        <v>5741</v>
      </c>
      <c r="D18831" s="183" t="s">
        <v>370</v>
      </c>
      <c r="E18831" s="126">
        <v>500</v>
      </c>
      <c r="F18831" s="126"/>
      <c r="G18831" s="126">
        <f t="shared" si="384"/>
        <v>-500</v>
      </c>
      <c r="H18831" s="705" t="s">
        <v>12663</v>
      </c>
      <c r="J18831" s="40"/>
    </row>
    <row r="18832" spans="1:10" ht="15" x14ac:dyDescent="0.2">
      <c r="A18832" s="734">
        <v>45359</v>
      </c>
      <c r="B18832" s="63" t="s">
        <v>12699</v>
      </c>
      <c r="C18832" s="63" t="s">
        <v>286</v>
      </c>
      <c r="D18832" s="183" t="s">
        <v>8663</v>
      </c>
      <c r="E18832" s="126">
        <v>500</v>
      </c>
      <c r="F18832" s="126"/>
      <c r="G18832" s="126">
        <f t="shared" si="384"/>
        <v>-500</v>
      </c>
      <c r="H18832" s="705" t="s">
        <v>12663</v>
      </c>
      <c r="J18832" s="40"/>
    </row>
    <row r="18833" spans="1:10" ht="15" x14ac:dyDescent="0.2">
      <c r="A18833" s="734">
        <v>45359</v>
      </c>
      <c r="B18833" s="63" t="s">
        <v>12699</v>
      </c>
      <c r="C18833" s="63" t="s">
        <v>11884</v>
      </c>
      <c r="D18833" s="183" t="s">
        <v>12701</v>
      </c>
      <c r="E18833" s="126">
        <v>10000</v>
      </c>
      <c r="F18833" s="126"/>
      <c r="G18833" s="126">
        <f t="shared" si="384"/>
        <v>-10000</v>
      </c>
      <c r="H18833" s="705" t="s">
        <v>12663</v>
      </c>
      <c r="J18833" s="40"/>
    </row>
    <row r="18834" spans="1:10" ht="15" x14ac:dyDescent="0.2">
      <c r="A18834" s="734">
        <v>45359</v>
      </c>
      <c r="B18834" s="63" t="s">
        <v>12699</v>
      </c>
      <c r="C18834" s="63" t="s">
        <v>5741</v>
      </c>
      <c r="D18834" s="183" t="s">
        <v>370</v>
      </c>
      <c r="E18834" s="126">
        <v>1500</v>
      </c>
      <c r="F18834" s="126"/>
      <c r="G18834" s="126">
        <f t="shared" si="384"/>
        <v>-1500</v>
      </c>
      <c r="H18834" s="705" t="s">
        <v>12663</v>
      </c>
      <c r="J18834" s="40"/>
    </row>
    <row r="18835" spans="1:10" ht="15" x14ac:dyDescent="0.2">
      <c r="A18835" s="734">
        <v>45359</v>
      </c>
      <c r="B18835" s="63" t="s">
        <v>11089</v>
      </c>
      <c r="C18835" s="63" t="s">
        <v>10993</v>
      </c>
      <c r="D18835" s="183" t="s">
        <v>12704</v>
      </c>
      <c r="E18835" s="126">
        <v>233500</v>
      </c>
      <c r="F18835" s="126"/>
      <c r="G18835" s="126">
        <f t="shared" si="384"/>
        <v>-233500</v>
      </c>
      <c r="H18835" s="705" t="s">
        <v>12663</v>
      </c>
      <c r="J18835" s="40"/>
    </row>
    <row r="18836" spans="1:10" ht="15" x14ac:dyDescent="0.2">
      <c r="A18836" s="734">
        <v>45359</v>
      </c>
      <c r="B18836" s="63" t="s">
        <v>11089</v>
      </c>
      <c r="C18836" s="63" t="s">
        <v>10993</v>
      </c>
      <c r="D18836" s="183" t="s">
        <v>12705</v>
      </c>
      <c r="E18836" s="126">
        <v>35600</v>
      </c>
      <c r="F18836" s="126"/>
      <c r="G18836" s="126">
        <f t="shared" si="384"/>
        <v>-35600</v>
      </c>
      <c r="H18836" s="705" t="s">
        <v>12663</v>
      </c>
      <c r="J18836" s="40"/>
    </row>
    <row r="18837" spans="1:10" ht="15" x14ac:dyDescent="0.2">
      <c r="A18837" s="734">
        <v>45359</v>
      </c>
      <c r="B18837" s="63" t="s">
        <v>11897</v>
      </c>
      <c r="C18837" s="63" t="s">
        <v>10993</v>
      </c>
      <c r="D18837" s="183" t="s">
        <v>12706</v>
      </c>
      <c r="E18837" s="126">
        <v>32000</v>
      </c>
      <c r="F18837" s="126"/>
      <c r="G18837" s="126">
        <f t="shared" si="384"/>
        <v>-32000</v>
      </c>
      <c r="H18837" s="705" t="s">
        <v>12663</v>
      </c>
      <c r="J18837" s="40"/>
    </row>
    <row r="18838" spans="1:10" ht="15" x14ac:dyDescent="0.2">
      <c r="A18838" s="734">
        <v>45359</v>
      </c>
      <c r="B18838" s="63" t="s">
        <v>11089</v>
      </c>
      <c r="C18838" s="63" t="s">
        <v>10993</v>
      </c>
      <c r="D18838" s="183" t="s">
        <v>12707</v>
      </c>
      <c r="E18838" s="126">
        <v>12000</v>
      </c>
      <c r="F18838" s="126"/>
      <c r="G18838" s="126">
        <f t="shared" si="384"/>
        <v>-12000</v>
      </c>
      <c r="H18838" s="705" t="s">
        <v>12663</v>
      </c>
      <c r="J18838" s="40"/>
    </row>
    <row r="18839" spans="1:10" ht="15" x14ac:dyDescent="0.2">
      <c r="A18839" s="734">
        <v>45360</v>
      </c>
      <c r="B18839" s="63" t="s">
        <v>103</v>
      </c>
      <c r="C18839" s="63" t="s">
        <v>103</v>
      </c>
      <c r="D18839" s="183" t="s">
        <v>12558</v>
      </c>
      <c r="E18839" s="126">
        <v>3000</v>
      </c>
      <c r="F18839" s="126"/>
      <c r="G18839" s="126">
        <f t="shared" ref="G18839:G18845" si="385">F18839-E18839</f>
        <v>-3000</v>
      </c>
      <c r="H18839" s="705" t="s">
        <v>12663</v>
      </c>
      <c r="J18839" s="40"/>
    </row>
    <row r="18840" spans="1:10" ht="15" x14ac:dyDescent="0.2">
      <c r="A18840" s="734">
        <v>45360</v>
      </c>
      <c r="B18840" s="63" t="s">
        <v>8559</v>
      </c>
      <c r="C18840" s="63" t="s">
        <v>3104</v>
      </c>
      <c r="D18840" s="183" t="s">
        <v>12763</v>
      </c>
      <c r="E18840" s="126">
        <v>10000</v>
      </c>
      <c r="F18840" s="126"/>
      <c r="G18840" s="126">
        <f t="shared" si="385"/>
        <v>-10000</v>
      </c>
      <c r="H18840" s="705" t="s">
        <v>12663</v>
      </c>
      <c r="J18840" s="40"/>
    </row>
    <row r="18841" spans="1:10" ht="15" x14ac:dyDescent="0.2">
      <c r="A18841" s="734">
        <v>45360</v>
      </c>
      <c r="B18841" s="63" t="s">
        <v>11089</v>
      </c>
      <c r="C18841" s="63" t="s">
        <v>10993</v>
      </c>
      <c r="D18841" s="183" t="s">
        <v>12708</v>
      </c>
      <c r="E18841" s="126">
        <v>1050</v>
      </c>
      <c r="F18841" s="126"/>
      <c r="G18841" s="126">
        <f t="shared" si="385"/>
        <v>-1050</v>
      </c>
      <c r="H18841" s="705" t="s">
        <v>12663</v>
      </c>
      <c r="J18841" s="40"/>
    </row>
    <row r="18842" spans="1:10" ht="15" x14ac:dyDescent="0.2">
      <c r="A18842" s="734">
        <v>45360</v>
      </c>
      <c r="B18842" s="63" t="s">
        <v>11089</v>
      </c>
      <c r="C18842" s="63" t="s">
        <v>103</v>
      </c>
      <c r="D18842" s="183" t="s">
        <v>12709</v>
      </c>
      <c r="E18842" s="126">
        <v>12000</v>
      </c>
      <c r="F18842" s="126"/>
      <c r="G18842" s="126">
        <f t="shared" si="385"/>
        <v>-12000</v>
      </c>
      <c r="H18842" s="705" t="s">
        <v>12663</v>
      </c>
      <c r="J18842" s="40"/>
    </row>
    <row r="18843" spans="1:10" ht="15" x14ac:dyDescent="0.2">
      <c r="A18843" s="734">
        <v>45360</v>
      </c>
      <c r="B18843" s="63" t="s">
        <v>11897</v>
      </c>
      <c r="C18843" s="63" t="s">
        <v>11029</v>
      </c>
      <c r="D18843" s="183" t="s">
        <v>10721</v>
      </c>
      <c r="E18843" s="126">
        <v>100000</v>
      </c>
      <c r="F18843" s="126"/>
      <c r="G18843" s="126">
        <f t="shared" si="385"/>
        <v>-100000</v>
      </c>
      <c r="H18843" s="705" t="s">
        <v>12663</v>
      </c>
      <c r="J18843" s="40"/>
    </row>
    <row r="18844" spans="1:10" ht="15" x14ac:dyDescent="0.2">
      <c r="A18844" s="734">
        <v>45360</v>
      </c>
      <c r="B18844" s="63" t="s">
        <v>9986</v>
      </c>
      <c r="C18844" s="63" t="s">
        <v>6423</v>
      </c>
      <c r="D18844" s="183" t="s">
        <v>12461</v>
      </c>
      <c r="E18844" s="126">
        <v>40000</v>
      </c>
      <c r="F18844" s="126"/>
      <c r="G18844" s="126">
        <f t="shared" si="385"/>
        <v>-40000</v>
      </c>
      <c r="H18844" s="705" t="s">
        <v>12663</v>
      </c>
      <c r="J18844" s="40"/>
    </row>
    <row r="18845" spans="1:10" ht="15" x14ac:dyDescent="0.2">
      <c r="A18845" s="734">
        <v>45360</v>
      </c>
      <c r="B18845" s="63" t="s">
        <v>11089</v>
      </c>
      <c r="C18845" s="63" t="s">
        <v>12472</v>
      </c>
      <c r="D18845" s="183" t="s">
        <v>12718</v>
      </c>
      <c r="E18845" s="126">
        <v>10000</v>
      </c>
      <c r="F18845" s="126"/>
      <c r="G18845" s="126">
        <f t="shared" si="385"/>
        <v>-10000</v>
      </c>
      <c r="H18845" s="705" t="s">
        <v>12663</v>
      </c>
      <c r="J18845" s="40"/>
    </row>
    <row r="18846" spans="1:10" ht="15" x14ac:dyDescent="0.2">
      <c r="A18846" s="734">
        <v>45362</v>
      </c>
      <c r="B18846" s="63" t="s">
        <v>3946</v>
      </c>
      <c r="C18846" s="63" t="s">
        <v>5741</v>
      </c>
      <c r="D18846" s="183" t="s">
        <v>12710</v>
      </c>
      <c r="E18846" s="126">
        <v>3000</v>
      </c>
      <c r="F18846" s="126"/>
      <c r="G18846" s="126">
        <f t="shared" ref="G18846:G18851" si="386">F18846-E18846</f>
        <v>-3000</v>
      </c>
      <c r="H18846" s="705" t="s">
        <v>12663</v>
      </c>
      <c r="J18846" s="40"/>
    </row>
    <row r="18847" spans="1:10" ht="15" x14ac:dyDescent="0.2">
      <c r="A18847" s="734">
        <v>45362</v>
      </c>
      <c r="B18847" s="63" t="s">
        <v>11089</v>
      </c>
      <c r="C18847" s="63" t="s">
        <v>10993</v>
      </c>
      <c r="D18847" s="183" t="s">
        <v>9917</v>
      </c>
      <c r="E18847" s="126">
        <v>19650</v>
      </c>
      <c r="F18847" s="126"/>
      <c r="G18847" s="126">
        <f t="shared" si="386"/>
        <v>-19650</v>
      </c>
      <c r="H18847" s="705" t="s">
        <v>12663</v>
      </c>
      <c r="J18847" s="40"/>
    </row>
    <row r="18848" spans="1:10" ht="15" x14ac:dyDescent="0.2">
      <c r="A18848" s="734">
        <v>45362</v>
      </c>
      <c r="B18848" s="63" t="s">
        <v>11089</v>
      </c>
      <c r="C18848" s="63" t="s">
        <v>6784</v>
      </c>
      <c r="D18848" s="183" t="s">
        <v>12302</v>
      </c>
      <c r="E18848" s="126">
        <v>250000</v>
      </c>
      <c r="F18848" s="126"/>
      <c r="G18848" s="126">
        <f t="shared" si="386"/>
        <v>-250000</v>
      </c>
      <c r="H18848" s="705" t="s">
        <v>12663</v>
      </c>
      <c r="J18848" s="40"/>
    </row>
    <row r="18849" spans="1:10" ht="15" x14ac:dyDescent="0.2">
      <c r="A18849" s="734">
        <v>45362</v>
      </c>
      <c r="B18849" s="63" t="s">
        <v>10908</v>
      </c>
      <c r="C18849" s="63" t="s">
        <v>392</v>
      </c>
      <c r="D18849" s="183" t="s">
        <v>3991</v>
      </c>
      <c r="E18849" s="126">
        <v>2800</v>
      </c>
      <c r="F18849" s="126"/>
      <c r="G18849" s="126">
        <f t="shared" si="386"/>
        <v>-2800</v>
      </c>
      <c r="H18849" s="705" t="s">
        <v>12663</v>
      </c>
      <c r="J18849" s="40"/>
    </row>
    <row r="18850" spans="1:10" ht="15" x14ac:dyDescent="0.2">
      <c r="A18850" s="734">
        <v>45362</v>
      </c>
      <c r="B18850" s="63" t="s">
        <v>11897</v>
      </c>
      <c r="C18850" s="63" t="s">
        <v>11386</v>
      </c>
      <c r="D18850" s="183" t="s">
        <v>12302</v>
      </c>
      <c r="E18850" s="126">
        <v>125000</v>
      </c>
      <c r="F18850" s="126"/>
      <c r="G18850" s="126">
        <f t="shared" si="386"/>
        <v>-125000</v>
      </c>
      <c r="H18850" s="705" t="s">
        <v>12663</v>
      </c>
      <c r="J18850" s="40"/>
    </row>
    <row r="18851" spans="1:10" ht="15" x14ac:dyDescent="0.2">
      <c r="A18851" s="734">
        <v>45362</v>
      </c>
      <c r="B18851" s="63" t="s">
        <v>11897</v>
      </c>
      <c r="C18851" s="63" t="s">
        <v>10993</v>
      </c>
      <c r="D18851" s="183" t="s">
        <v>12725</v>
      </c>
      <c r="E18851" s="126">
        <v>47000</v>
      </c>
      <c r="F18851" s="126"/>
      <c r="G18851" s="126">
        <f t="shared" si="386"/>
        <v>-47000</v>
      </c>
      <c r="H18851" s="705" t="s">
        <v>12663</v>
      </c>
      <c r="J18851" s="40"/>
    </row>
    <row r="18852" spans="1:10" ht="15" x14ac:dyDescent="0.2">
      <c r="A18852" s="734">
        <v>45362</v>
      </c>
      <c r="B18852" s="63" t="s">
        <v>3946</v>
      </c>
      <c r="C18852" s="63" t="s">
        <v>5741</v>
      </c>
      <c r="D18852" s="183" t="s">
        <v>12710</v>
      </c>
      <c r="E18852" s="126">
        <v>3000</v>
      </c>
      <c r="F18852" s="126"/>
      <c r="G18852" s="126">
        <f t="shared" ref="G18852:G18864" si="387">F18852-E18852</f>
        <v>-3000</v>
      </c>
      <c r="H18852" s="705" t="s">
        <v>12663</v>
      </c>
      <c r="J18852" s="40"/>
    </row>
    <row r="18853" spans="1:10" ht="15" x14ac:dyDescent="0.2">
      <c r="A18853" s="734">
        <v>45362</v>
      </c>
      <c r="B18853" s="63" t="s">
        <v>11897</v>
      </c>
      <c r="C18853" s="63" t="s">
        <v>5741</v>
      </c>
      <c r="D18853" s="183" t="s">
        <v>370</v>
      </c>
      <c r="E18853" s="126">
        <v>2000</v>
      </c>
      <c r="F18853" s="126"/>
      <c r="G18853" s="126">
        <f t="shared" si="387"/>
        <v>-2000</v>
      </c>
      <c r="H18853" s="705" t="s">
        <v>12663</v>
      </c>
      <c r="J18853" s="40"/>
    </row>
    <row r="18854" spans="1:10" ht="15" x14ac:dyDescent="0.2">
      <c r="A18854" s="734">
        <v>45362</v>
      </c>
      <c r="B18854" s="63" t="s">
        <v>103</v>
      </c>
      <c r="C18854" s="63" t="s">
        <v>103</v>
      </c>
      <c r="D18854" s="183" t="s">
        <v>12558</v>
      </c>
      <c r="E18854" s="126">
        <v>2000</v>
      </c>
      <c r="F18854" s="126"/>
      <c r="G18854" s="126">
        <f t="shared" si="387"/>
        <v>-2000</v>
      </c>
      <c r="H18854" s="705" t="s">
        <v>12663</v>
      </c>
      <c r="J18854" s="40"/>
    </row>
    <row r="18855" spans="1:10" ht="15" x14ac:dyDescent="0.2">
      <c r="A18855" s="734">
        <v>45362</v>
      </c>
      <c r="B18855" s="63" t="s">
        <v>12637</v>
      </c>
      <c r="C18855" s="63" t="s">
        <v>5741</v>
      </c>
      <c r="D18855" s="183" t="s">
        <v>12726</v>
      </c>
      <c r="E18855" s="126">
        <v>500</v>
      </c>
      <c r="F18855" s="126"/>
      <c r="G18855" s="126">
        <f t="shared" si="387"/>
        <v>-500</v>
      </c>
      <c r="H18855" s="705" t="s">
        <v>12663</v>
      </c>
      <c r="J18855" s="40"/>
    </row>
    <row r="18856" spans="1:10" ht="15" x14ac:dyDescent="0.2">
      <c r="A18856" s="734">
        <v>45362</v>
      </c>
      <c r="B18856" s="63" t="s">
        <v>12727</v>
      </c>
      <c r="C18856" s="63" t="s">
        <v>5741</v>
      </c>
      <c r="D18856" s="183" t="s">
        <v>12726</v>
      </c>
      <c r="E18856" s="126">
        <v>550</v>
      </c>
      <c r="F18856" s="126"/>
      <c r="G18856" s="126">
        <f t="shared" si="387"/>
        <v>-550</v>
      </c>
      <c r="H18856" s="705" t="s">
        <v>12663</v>
      </c>
      <c r="J18856" s="40"/>
    </row>
    <row r="18857" spans="1:10" ht="15" x14ac:dyDescent="0.2">
      <c r="A18857" s="734">
        <v>45362</v>
      </c>
      <c r="B18857" s="63" t="s">
        <v>11897</v>
      </c>
      <c r="C18857" s="63" t="s">
        <v>10993</v>
      </c>
      <c r="D18857" s="183" t="s">
        <v>9546</v>
      </c>
      <c r="E18857" s="126">
        <v>2500</v>
      </c>
      <c r="F18857" s="126"/>
      <c r="G18857" s="126">
        <f t="shared" si="387"/>
        <v>-2500</v>
      </c>
      <c r="H18857" s="705" t="s">
        <v>12663</v>
      </c>
      <c r="J18857" s="40"/>
    </row>
    <row r="18858" spans="1:10" ht="15" x14ac:dyDescent="0.2">
      <c r="A18858" s="734">
        <v>45362</v>
      </c>
      <c r="B18858" s="63" t="s">
        <v>11897</v>
      </c>
      <c r="C18858" s="63" t="s">
        <v>5741</v>
      </c>
      <c r="D18858" s="183" t="s">
        <v>12728</v>
      </c>
      <c r="E18858" s="126">
        <v>1500</v>
      </c>
      <c r="F18858" s="126"/>
      <c r="G18858" s="126">
        <f t="shared" si="387"/>
        <v>-1500</v>
      </c>
      <c r="H18858" s="705" t="s">
        <v>12663</v>
      </c>
      <c r="J18858" s="40"/>
    </row>
    <row r="18859" spans="1:10" ht="15" x14ac:dyDescent="0.2">
      <c r="A18859" s="734">
        <v>45362</v>
      </c>
      <c r="B18859" s="63" t="s">
        <v>11135</v>
      </c>
      <c r="C18859" s="63" t="s">
        <v>10993</v>
      </c>
      <c r="D18859" s="183" t="s">
        <v>12729</v>
      </c>
      <c r="E18859" s="126">
        <v>2000</v>
      </c>
      <c r="F18859" s="126"/>
      <c r="G18859" s="126">
        <f t="shared" si="387"/>
        <v>-2000</v>
      </c>
      <c r="H18859" s="705" t="s">
        <v>12663</v>
      </c>
      <c r="J18859" s="40"/>
    </row>
    <row r="18860" spans="1:10" ht="15" x14ac:dyDescent="0.2">
      <c r="A18860" s="734">
        <v>45362</v>
      </c>
      <c r="B18860" s="63" t="s">
        <v>103</v>
      </c>
      <c r="C18860" s="63" t="s">
        <v>103</v>
      </c>
      <c r="D18860" s="183" t="s">
        <v>12730</v>
      </c>
      <c r="E18860" s="126">
        <v>8000</v>
      </c>
      <c r="F18860" s="126"/>
      <c r="G18860" s="126">
        <f t="shared" si="387"/>
        <v>-8000</v>
      </c>
      <c r="H18860" s="705" t="s">
        <v>12663</v>
      </c>
      <c r="J18860" s="40"/>
    </row>
    <row r="18861" spans="1:10" ht="15" x14ac:dyDescent="0.2">
      <c r="A18861" s="734">
        <v>45362</v>
      </c>
      <c r="B18861" s="63" t="s">
        <v>12717</v>
      </c>
      <c r="C18861" s="63" t="s">
        <v>5410</v>
      </c>
      <c r="D18861" s="183" t="s">
        <v>12731</v>
      </c>
      <c r="E18861" s="126">
        <v>5000</v>
      </c>
      <c r="F18861" s="126"/>
      <c r="G18861" s="126">
        <f t="shared" si="387"/>
        <v>-5000</v>
      </c>
      <c r="H18861" s="705" t="s">
        <v>12663</v>
      </c>
      <c r="J18861" s="40"/>
    </row>
    <row r="18862" spans="1:10" ht="15" x14ac:dyDescent="0.2">
      <c r="A18862" s="734">
        <v>45363</v>
      </c>
      <c r="B18862" s="63" t="s">
        <v>11089</v>
      </c>
      <c r="C18862" s="63" t="s">
        <v>11552</v>
      </c>
      <c r="D18862" s="183" t="s">
        <v>12732</v>
      </c>
      <c r="E18862" s="126">
        <v>60600</v>
      </c>
      <c r="F18862" s="126"/>
      <c r="G18862" s="126">
        <f t="shared" si="387"/>
        <v>-60600</v>
      </c>
      <c r="H18862" s="705" t="s">
        <v>12663</v>
      </c>
      <c r="J18862" s="40"/>
    </row>
    <row r="18863" spans="1:10" ht="15" x14ac:dyDescent="0.2">
      <c r="A18863" s="734">
        <v>45363</v>
      </c>
      <c r="B18863" s="63" t="s">
        <v>11089</v>
      </c>
      <c r="C18863" s="63" t="s">
        <v>10993</v>
      </c>
      <c r="D18863" s="183" t="s">
        <v>12733</v>
      </c>
      <c r="E18863" s="126">
        <v>9600</v>
      </c>
      <c r="F18863" s="126"/>
      <c r="G18863" s="126">
        <f t="shared" si="387"/>
        <v>-9600</v>
      </c>
      <c r="H18863" s="705" t="s">
        <v>12663</v>
      </c>
      <c r="J18863" s="40"/>
    </row>
    <row r="18864" spans="1:10" ht="15" x14ac:dyDescent="0.2">
      <c r="A18864" s="734">
        <v>45363</v>
      </c>
      <c r="B18864" s="63" t="s">
        <v>11897</v>
      </c>
      <c r="C18864" s="63" t="s">
        <v>10993</v>
      </c>
      <c r="D18864" s="183" t="s">
        <v>12734</v>
      </c>
      <c r="E18864" s="126">
        <v>39950</v>
      </c>
      <c r="F18864" s="126"/>
      <c r="G18864" s="126">
        <f t="shared" si="387"/>
        <v>-39950</v>
      </c>
      <c r="H18864" s="705" t="s">
        <v>12663</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12663</v>
      </c>
      <c r="J18865" s="40"/>
    </row>
    <row r="18866" spans="1:10" ht="15" x14ac:dyDescent="0.2">
      <c r="A18866" s="734">
        <v>45363</v>
      </c>
      <c r="B18866" s="63" t="s">
        <v>11089</v>
      </c>
      <c r="C18866" s="63" t="s">
        <v>5741</v>
      </c>
      <c r="D18866" s="183" t="s">
        <v>370</v>
      </c>
      <c r="E18866" s="126">
        <v>1500</v>
      </c>
      <c r="F18866" s="126"/>
      <c r="G18866" s="126">
        <f t="shared" si="388"/>
        <v>-1500</v>
      </c>
      <c r="H18866" s="705" t="s">
        <v>12663</v>
      </c>
      <c r="J18866" s="40"/>
    </row>
    <row r="18867" spans="1:10" ht="15" x14ac:dyDescent="0.2">
      <c r="A18867" s="734">
        <v>45363</v>
      </c>
      <c r="B18867" s="63" t="s">
        <v>11089</v>
      </c>
      <c r="C18867" s="63" t="s">
        <v>10993</v>
      </c>
      <c r="D18867" s="183" t="s">
        <v>12738</v>
      </c>
      <c r="E18867" s="126">
        <v>18000</v>
      </c>
      <c r="F18867" s="126"/>
      <c r="G18867" s="126">
        <f t="shared" si="388"/>
        <v>-18000</v>
      </c>
      <c r="H18867" s="705" t="s">
        <v>12663</v>
      </c>
      <c r="J18867" s="40"/>
    </row>
    <row r="18868" spans="1:10" ht="15" x14ac:dyDescent="0.2">
      <c r="A18868" s="734">
        <v>45364</v>
      </c>
      <c r="B18868" s="63" t="s">
        <v>11897</v>
      </c>
      <c r="C18868" s="63" t="s">
        <v>5387</v>
      </c>
      <c r="D18868" s="183" t="s">
        <v>12739</v>
      </c>
      <c r="E18868" s="126">
        <v>2400</v>
      </c>
      <c r="F18868" s="126"/>
      <c r="G18868" s="126">
        <f t="shared" si="388"/>
        <v>-2400</v>
      </c>
      <c r="H18868" s="705" t="s">
        <v>12663</v>
      </c>
      <c r="J18868" s="40"/>
    </row>
    <row r="18869" spans="1:10" ht="15" x14ac:dyDescent="0.2">
      <c r="A18869" s="734">
        <v>45364</v>
      </c>
      <c r="B18869" s="63" t="s">
        <v>11738</v>
      </c>
      <c r="C18869" s="63" t="s">
        <v>5741</v>
      </c>
      <c r="D18869" s="183" t="s">
        <v>370</v>
      </c>
      <c r="E18869" s="126">
        <v>2000</v>
      </c>
      <c r="F18869" s="126"/>
      <c r="G18869" s="126">
        <f t="shared" si="388"/>
        <v>-2000</v>
      </c>
      <c r="H18869" s="705" t="s">
        <v>12663</v>
      </c>
      <c r="J18869" s="40"/>
    </row>
    <row r="18870" spans="1:10" ht="15" x14ac:dyDescent="0.2">
      <c r="A18870" s="734">
        <v>45364</v>
      </c>
      <c r="B18870" s="63" t="s">
        <v>103</v>
      </c>
      <c r="C18870" s="63" t="s">
        <v>8230</v>
      </c>
      <c r="D18870" s="183" t="s">
        <v>1157</v>
      </c>
      <c r="E18870" s="126">
        <v>5000</v>
      </c>
      <c r="F18870" s="126"/>
      <c r="G18870" s="126">
        <f t="shared" si="388"/>
        <v>-5000</v>
      </c>
      <c r="H18870" s="705" t="s">
        <v>12663</v>
      </c>
      <c r="J18870" s="40"/>
    </row>
    <row r="18871" spans="1:10" ht="15" x14ac:dyDescent="0.2">
      <c r="A18871" s="734">
        <v>45364</v>
      </c>
      <c r="B18871" s="63" t="s">
        <v>11738</v>
      </c>
      <c r="C18871" s="63" t="s">
        <v>1495</v>
      </c>
      <c r="D18871" s="183" t="s">
        <v>12740</v>
      </c>
      <c r="E18871" s="126">
        <v>4860</v>
      </c>
      <c r="F18871" s="126"/>
      <c r="G18871" s="126">
        <f t="shared" si="388"/>
        <v>-4860</v>
      </c>
      <c r="H18871" s="705" t="s">
        <v>12663</v>
      </c>
      <c r="J18871" s="40"/>
    </row>
    <row r="18872" spans="1:10" ht="15" x14ac:dyDescent="0.2">
      <c r="A18872" s="734">
        <v>45364</v>
      </c>
      <c r="B18872" s="63" t="s">
        <v>11738</v>
      </c>
      <c r="C18872" s="63" t="s">
        <v>10993</v>
      </c>
      <c r="D18872" s="183" t="s">
        <v>12741</v>
      </c>
      <c r="E18872" s="126">
        <v>63240</v>
      </c>
      <c r="F18872" s="126"/>
      <c r="G18872" s="126">
        <f t="shared" si="388"/>
        <v>-63240</v>
      </c>
      <c r="H18872" s="705" t="s">
        <v>12663</v>
      </c>
      <c r="J18872" s="40"/>
    </row>
    <row r="18873" spans="1:10" ht="15" x14ac:dyDescent="0.2">
      <c r="A18873" s="734">
        <v>45364</v>
      </c>
      <c r="B18873" s="63" t="s">
        <v>11738</v>
      </c>
      <c r="C18873" s="63" t="s">
        <v>10993</v>
      </c>
      <c r="D18873" s="183" t="s">
        <v>12742</v>
      </c>
      <c r="E18873" s="126">
        <v>5280</v>
      </c>
      <c r="F18873" s="126"/>
      <c r="G18873" s="126">
        <f t="shared" si="388"/>
        <v>-5280</v>
      </c>
      <c r="H18873" s="705" t="s">
        <v>12663</v>
      </c>
      <c r="J18873" s="40"/>
    </row>
    <row r="18874" spans="1:10" ht="15" x14ac:dyDescent="0.2">
      <c r="A18874" s="734">
        <v>45364</v>
      </c>
      <c r="B18874" s="63" t="s">
        <v>11897</v>
      </c>
      <c r="C18874" s="63" t="s">
        <v>8091</v>
      </c>
      <c r="D18874" s="183" t="s">
        <v>12743</v>
      </c>
      <c r="E18874" s="126">
        <v>250000</v>
      </c>
      <c r="F18874" s="126"/>
      <c r="G18874" s="126">
        <f t="shared" si="388"/>
        <v>-250000</v>
      </c>
      <c r="H18874" s="705" t="s">
        <v>12663</v>
      </c>
      <c r="J18874" s="40"/>
    </row>
    <row r="18875" spans="1:10" ht="48" x14ac:dyDescent="0.2">
      <c r="A18875" s="734">
        <v>45364</v>
      </c>
      <c r="B18875" s="63" t="s">
        <v>103</v>
      </c>
      <c r="C18875" s="63" t="s">
        <v>12744</v>
      </c>
      <c r="D18875" s="183" t="s">
        <v>12745</v>
      </c>
      <c r="E18875" s="126">
        <v>50000</v>
      </c>
      <c r="F18875" s="126"/>
      <c r="G18875" s="126">
        <f t="shared" si="388"/>
        <v>-50000</v>
      </c>
      <c r="H18875" s="705" t="s">
        <v>12663</v>
      </c>
      <c r="J18875" s="40"/>
    </row>
    <row r="18876" spans="1:10" ht="24" x14ac:dyDescent="0.2">
      <c r="A18876" s="734">
        <v>45364</v>
      </c>
      <c r="B18876" s="63" t="s">
        <v>9356</v>
      </c>
      <c r="C18876" s="63" t="s">
        <v>10993</v>
      </c>
      <c r="D18876" s="183" t="s">
        <v>12746</v>
      </c>
      <c r="E18876" s="126">
        <v>25500</v>
      </c>
      <c r="F18876" s="126"/>
      <c r="G18876" s="126">
        <f t="shared" si="388"/>
        <v>-25500</v>
      </c>
      <c r="H18876" s="705" t="s">
        <v>12663</v>
      </c>
      <c r="J18876" s="40"/>
    </row>
    <row r="18877" spans="1:10" ht="15" x14ac:dyDescent="0.2">
      <c r="A18877" s="734">
        <v>45364</v>
      </c>
      <c r="B18877" s="63" t="s">
        <v>25</v>
      </c>
      <c r="C18877" s="63" t="s">
        <v>4065</v>
      </c>
      <c r="D18877" s="183" t="s">
        <v>12749</v>
      </c>
      <c r="E18877" s="126">
        <v>900</v>
      </c>
      <c r="F18877" s="126"/>
      <c r="G18877" s="126">
        <f t="shared" ref="G18877:G18879" si="389">F18877-E18877</f>
        <v>-900</v>
      </c>
      <c r="H18877" s="705" t="s">
        <v>12663</v>
      </c>
      <c r="J18877" s="40"/>
    </row>
    <row r="18878" spans="1:10" ht="15" x14ac:dyDescent="0.2">
      <c r="A18878" s="734">
        <v>45364</v>
      </c>
      <c r="B18878" s="63" t="s">
        <v>103</v>
      </c>
      <c r="C18878" s="63" t="s">
        <v>103</v>
      </c>
      <c r="D18878" s="183" t="s">
        <v>12558</v>
      </c>
      <c r="E18878" s="126">
        <v>1000</v>
      </c>
      <c r="F18878" s="126"/>
      <c r="G18878" s="126">
        <f t="shared" si="389"/>
        <v>-1000</v>
      </c>
      <c r="H18878" s="705" t="s">
        <v>12663</v>
      </c>
      <c r="J18878" s="40"/>
    </row>
    <row r="18879" spans="1:10" ht="15" x14ac:dyDescent="0.2">
      <c r="A18879" s="734">
        <v>45365</v>
      </c>
      <c r="B18879" s="63" t="s">
        <v>11897</v>
      </c>
      <c r="C18879" s="63" t="s">
        <v>10993</v>
      </c>
      <c r="D18879" s="183" t="s">
        <v>12750</v>
      </c>
      <c r="E18879" s="126">
        <v>1800</v>
      </c>
      <c r="F18879" s="126"/>
      <c r="G18879" s="126">
        <f t="shared" si="389"/>
        <v>-1800</v>
      </c>
      <c r="H18879" s="705" t="s">
        <v>12663</v>
      </c>
      <c r="J18879" s="40"/>
    </row>
    <row r="18880" spans="1:10" ht="15" x14ac:dyDescent="0.2">
      <c r="A18880" s="734">
        <v>45365</v>
      </c>
      <c r="B18880" s="63" t="s">
        <v>11897</v>
      </c>
      <c r="C18880" s="63" t="s">
        <v>10993</v>
      </c>
      <c r="D18880" s="183" t="s">
        <v>12752</v>
      </c>
      <c r="E18880" s="126">
        <v>1250</v>
      </c>
      <c r="F18880" s="126"/>
      <c r="G18880" s="126">
        <f t="shared" ref="G18880:G18893" si="390">F18880-E18880</f>
        <v>-1250</v>
      </c>
      <c r="H18880" s="705" t="s">
        <v>12663</v>
      </c>
      <c r="J18880" s="40"/>
    </row>
    <row r="18881" spans="1:10" ht="15" x14ac:dyDescent="0.2">
      <c r="A18881" s="734">
        <v>45365</v>
      </c>
      <c r="B18881" s="63" t="s">
        <v>25</v>
      </c>
      <c r="C18881" s="63" t="s">
        <v>8150</v>
      </c>
      <c r="D18881" s="183" t="s">
        <v>6343</v>
      </c>
      <c r="E18881" s="126">
        <v>2905</v>
      </c>
      <c r="F18881" s="126"/>
      <c r="G18881" s="126">
        <f t="shared" si="390"/>
        <v>-2905</v>
      </c>
      <c r="H18881" s="705" t="s">
        <v>12663</v>
      </c>
      <c r="J18881" s="40"/>
    </row>
    <row r="18882" spans="1:10" ht="15" x14ac:dyDescent="0.2">
      <c r="A18882" s="734">
        <v>45365</v>
      </c>
      <c r="B18882" s="63" t="s">
        <v>103</v>
      </c>
      <c r="C18882" s="63" t="s">
        <v>8150</v>
      </c>
      <c r="D18882" s="183" t="s">
        <v>6343</v>
      </c>
      <c r="E18882" s="126">
        <v>9220</v>
      </c>
      <c r="F18882" s="126"/>
      <c r="G18882" s="126">
        <f t="shared" si="390"/>
        <v>-9220</v>
      </c>
      <c r="H18882" s="705" t="s">
        <v>12663</v>
      </c>
      <c r="J18882" s="40"/>
    </row>
    <row r="18883" spans="1:10" ht="15" x14ac:dyDescent="0.2">
      <c r="A18883" s="734">
        <v>45365</v>
      </c>
      <c r="B18883" s="63" t="s">
        <v>11897</v>
      </c>
      <c r="C18883" s="63" t="s">
        <v>5741</v>
      </c>
      <c r="D18883" s="183" t="s">
        <v>370</v>
      </c>
      <c r="E18883" s="126">
        <v>3000</v>
      </c>
      <c r="F18883" s="126"/>
      <c r="G18883" s="126">
        <f t="shared" si="390"/>
        <v>-3000</v>
      </c>
      <c r="H18883" s="705" t="s">
        <v>12663</v>
      </c>
      <c r="J18883" s="40"/>
    </row>
    <row r="18884" spans="1:10" ht="15" x14ac:dyDescent="0.2">
      <c r="A18884" s="734">
        <v>45365</v>
      </c>
      <c r="B18884" s="63" t="s">
        <v>11897</v>
      </c>
      <c r="C18884" s="63" t="s">
        <v>5741</v>
      </c>
      <c r="D18884" s="183" t="s">
        <v>12753</v>
      </c>
      <c r="E18884" s="126">
        <v>250</v>
      </c>
      <c r="F18884" s="126"/>
      <c r="G18884" s="126">
        <f t="shared" si="390"/>
        <v>-250</v>
      </c>
      <c r="H18884" s="705" t="s">
        <v>12663</v>
      </c>
      <c r="J18884" s="40"/>
    </row>
    <row r="18885" spans="1:10" ht="15" x14ac:dyDescent="0.2">
      <c r="A18885" s="734">
        <v>45365</v>
      </c>
      <c r="B18885" s="63" t="s">
        <v>10908</v>
      </c>
      <c r="C18885" s="63" t="s">
        <v>5741</v>
      </c>
      <c r="D18885" s="183" t="s">
        <v>12754</v>
      </c>
      <c r="E18885" s="126">
        <v>300</v>
      </c>
      <c r="F18885" s="126"/>
      <c r="G18885" s="126">
        <f t="shared" si="390"/>
        <v>-300</v>
      </c>
      <c r="H18885" s="705" t="s">
        <v>12663</v>
      </c>
      <c r="J18885" s="40"/>
    </row>
    <row r="18886" spans="1:10" ht="15" x14ac:dyDescent="0.2">
      <c r="A18886" s="734">
        <v>45365</v>
      </c>
      <c r="B18886" s="63" t="s">
        <v>11897</v>
      </c>
      <c r="C18886" s="63" t="s">
        <v>286</v>
      </c>
      <c r="D18886" s="183" t="s">
        <v>12755</v>
      </c>
      <c r="E18886" s="126">
        <v>1000</v>
      </c>
      <c r="F18886" s="126"/>
      <c r="G18886" s="126">
        <f t="shared" si="390"/>
        <v>-1000</v>
      </c>
      <c r="H18886" s="705" t="s">
        <v>12663</v>
      </c>
      <c r="J18886" s="40"/>
    </row>
    <row r="18887" spans="1:10" ht="15" x14ac:dyDescent="0.2">
      <c r="A18887" s="734">
        <v>45365</v>
      </c>
      <c r="B18887" s="63" t="s">
        <v>103</v>
      </c>
      <c r="C18887" s="63" t="s">
        <v>103</v>
      </c>
      <c r="D18887" s="183" t="s">
        <v>12558</v>
      </c>
      <c r="E18887" s="126">
        <v>1000</v>
      </c>
      <c r="F18887" s="126"/>
      <c r="G18887" s="126">
        <f t="shared" si="390"/>
        <v>-1000</v>
      </c>
      <c r="H18887" s="705" t="s">
        <v>12663</v>
      </c>
      <c r="J18887" s="40"/>
    </row>
    <row r="18888" spans="1:10" ht="15" x14ac:dyDescent="0.2">
      <c r="A18888" s="734">
        <v>45365</v>
      </c>
      <c r="B18888" s="63" t="s">
        <v>11897</v>
      </c>
      <c r="C18888" s="63" t="s">
        <v>5741</v>
      </c>
      <c r="D18888" s="183" t="s">
        <v>370</v>
      </c>
      <c r="E18888" s="126">
        <v>250</v>
      </c>
      <c r="F18888" s="126"/>
      <c r="G18888" s="126">
        <f t="shared" si="390"/>
        <v>-250</v>
      </c>
      <c r="H18888" s="705" t="s">
        <v>12663</v>
      </c>
      <c r="J18888" s="40"/>
    </row>
    <row r="18889" spans="1:10" ht="15" x14ac:dyDescent="0.2">
      <c r="A18889" s="734">
        <v>45365</v>
      </c>
      <c r="B18889" s="63" t="s">
        <v>11089</v>
      </c>
      <c r="C18889" s="63" t="s">
        <v>11725</v>
      </c>
      <c r="D18889" s="183" t="s">
        <v>12756</v>
      </c>
      <c r="E18889" s="126">
        <v>100000</v>
      </c>
      <c r="F18889" s="126"/>
      <c r="G18889" s="126">
        <f t="shared" si="390"/>
        <v>-100000</v>
      </c>
      <c r="H18889" s="705" t="s">
        <v>12663</v>
      </c>
      <c r="J18889" s="40"/>
    </row>
    <row r="18890" spans="1:10" ht="15" x14ac:dyDescent="0.2">
      <c r="A18890" s="734">
        <v>45365</v>
      </c>
      <c r="B18890" s="63" t="s">
        <v>11446</v>
      </c>
      <c r="C18890" s="63" t="s">
        <v>11884</v>
      </c>
      <c r="D18890" s="183" t="s">
        <v>10721</v>
      </c>
      <c r="E18890" s="126">
        <v>75000</v>
      </c>
      <c r="F18890" s="126"/>
      <c r="G18890" s="126">
        <f t="shared" si="390"/>
        <v>-75000</v>
      </c>
      <c r="H18890" s="705" t="s">
        <v>12663</v>
      </c>
      <c r="J18890" s="40"/>
    </row>
    <row r="18891" spans="1:10" ht="15" x14ac:dyDescent="0.2">
      <c r="A18891" s="734">
        <v>45365</v>
      </c>
      <c r="B18891" s="63" t="s">
        <v>25</v>
      </c>
      <c r="C18891" s="63" t="s">
        <v>7595</v>
      </c>
      <c r="D18891" s="183" t="s">
        <v>11376</v>
      </c>
      <c r="E18891" s="126">
        <v>85000</v>
      </c>
      <c r="F18891" s="126"/>
      <c r="G18891" s="126">
        <f t="shared" si="390"/>
        <v>-85000</v>
      </c>
      <c r="H18891" s="705" t="s">
        <v>12663</v>
      </c>
      <c r="J18891" s="40"/>
    </row>
    <row r="18892" spans="1:10" ht="15" x14ac:dyDescent="0.2">
      <c r="A18892" s="734">
        <v>45366</v>
      </c>
      <c r="B18892" s="63" t="s">
        <v>12533</v>
      </c>
      <c r="C18892" s="63" t="s">
        <v>10993</v>
      </c>
      <c r="D18892" s="183" t="s">
        <v>4966</v>
      </c>
      <c r="E18892" s="126">
        <v>193890</v>
      </c>
      <c r="F18892" s="126"/>
      <c r="G18892" s="126">
        <f t="shared" si="390"/>
        <v>-193890</v>
      </c>
      <c r="H18892" s="705" t="s">
        <v>12663</v>
      </c>
      <c r="J18892" s="40"/>
    </row>
    <row r="18893" spans="1:10" ht="15" x14ac:dyDescent="0.2">
      <c r="A18893" s="734">
        <v>45366</v>
      </c>
      <c r="B18893" s="63" t="s">
        <v>12533</v>
      </c>
      <c r="C18893" s="63" t="s">
        <v>10993</v>
      </c>
      <c r="D18893" s="183" t="s">
        <v>4966</v>
      </c>
      <c r="E18893" s="126">
        <v>116460</v>
      </c>
      <c r="F18893" s="126"/>
      <c r="G18893" s="126">
        <f t="shared" si="390"/>
        <v>-116460</v>
      </c>
      <c r="H18893" s="705" t="s">
        <v>12663</v>
      </c>
      <c r="J18893" s="40"/>
    </row>
    <row r="18894" spans="1:10" ht="15" x14ac:dyDescent="0.2">
      <c r="A18894" s="734">
        <v>45366</v>
      </c>
      <c r="B18894" s="63" t="s">
        <v>12533</v>
      </c>
      <c r="C18894" s="63" t="s">
        <v>10993</v>
      </c>
      <c r="D18894" s="183" t="s">
        <v>4966</v>
      </c>
      <c r="E18894" s="126">
        <v>11790</v>
      </c>
      <c r="F18894" s="126"/>
      <c r="G18894" s="126">
        <f t="shared" ref="G18894:G18895" si="391">F18894-E18894</f>
        <v>-11790</v>
      </c>
      <c r="H18894" s="705" t="s">
        <v>12663</v>
      </c>
      <c r="J18894" s="40"/>
    </row>
    <row r="18895" spans="1:10" ht="15" x14ac:dyDescent="0.2">
      <c r="A18895" s="734">
        <v>45366</v>
      </c>
      <c r="B18895" s="63" t="s">
        <v>12533</v>
      </c>
      <c r="C18895" s="63" t="s">
        <v>10993</v>
      </c>
      <c r="D18895" s="183" t="s">
        <v>4966</v>
      </c>
      <c r="E18895" s="126">
        <v>2300</v>
      </c>
      <c r="F18895" s="126"/>
      <c r="G18895" s="126">
        <f t="shared" si="391"/>
        <v>-2300</v>
      </c>
      <c r="H18895" s="705" t="s">
        <v>12663</v>
      </c>
      <c r="J18895" s="40"/>
    </row>
    <row r="18896" spans="1:10" ht="15" x14ac:dyDescent="0.2">
      <c r="A18896" s="734">
        <v>45366</v>
      </c>
      <c r="B18896" s="63" t="s">
        <v>11897</v>
      </c>
      <c r="C18896" s="63" t="s">
        <v>10993</v>
      </c>
      <c r="D18896" s="183" t="s">
        <v>12757</v>
      </c>
      <c r="E18896" s="126">
        <v>15600</v>
      </c>
      <c r="F18896" s="126"/>
      <c r="G18896" s="126">
        <f t="shared" ref="G18896:G18901" si="392">F18896-E18896</f>
        <v>-15600</v>
      </c>
      <c r="H18896" s="705" t="s">
        <v>12663</v>
      </c>
      <c r="J18896" s="40"/>
    </row>
    <row r="18897" spans="1:10" ht="15" x14ac:dyDescent="0.2">
      <c r="A18897" s="734">
        <v>45366</v>
      </c>
      <c r="B18897" s="63" t="s">
        <v>10908</v>
      </c>
      <c r="C18897" s="63" t="s">
        <v>10993</v>
      </c>
      <c r="D18897" s="183" t="s">
        <v>12758</v>
      </c>
      <c r="E18897" s="126">
        <v>1000</v>
      </c>
      <c r="F18897" s="126"/>
      <c r="G18897" s="126">
        <f t="shared" si="392"/>
        <v>-1000</v>
      </c>
      <c r="H18897" s="705" t="s">
        <v>12663</v>
      </c>
      <c r="J18897" s="40"/>
    </row>
    <row r="18898" spans="1:10" ht="15" x14ac:dyDescent="0.2">
      <c r="A18898" s="734">
        <v>45366</v>
      </c>
      <c r="B18898" s="63" t="s">
        <v>11897</v>
      </c>
      <c r="C18898" s="63" t="s">
        <v>10993</v>
      </c>
      <c r="D18898" s="183" t="s">
        <v>12759</v>
      </c>
      <c r="E18898" s="126">
        <v>7500</v>
      </c>
      <c r="F18898" s="126"/>
      <c r="G18898" s="126">
        <f t="shared" si="392"/>
        <v>-7500</v>
      </c>
      <c r="H18898" s="705" t="s">
        <v>12663</v>
      </c>
      <c r="J18898" s="40"/>
    </row>
    <row r="18899" spans="1:10" ht="15" x14ac:dyDescent="0.2">
      <c r="A18899" s="734">
        <v>45366</v>
      </c>
      <c r="B18899" s="63" t="s">
        <v>11897</v>
      </c>
      <c r="C18899" s="63" t="s">
        <v>10993</v>
      </c>
      <c r="D18899" s="183" t="s">
        <v>12760</v>
      </c>
      <c r="E18899" s="126">
        <v>540</v>
      </c>
      <c r="F18899" s="126"/>
      <c r="G18899" s="126">
        <f t="shared" si="392"/>
        <v>-540</v>
      </c>
      <c r="H18899" s="705" t="s">
        <v>12663</v>
      </c>
      <c r="J18899" s="40"/>
    </row>
    <row r="18900" spans="1:10" ht="24" x14ac:dyDescent="0.2">
      <c r="A18900" s="734">
        <v>45366</v>
      </c>
      <c r="B18900" s="63" t="s">
        <v>11089</v>
      </c>
      <c r="C18900" s="63" t="s">
        <v>10484</v>
      </c>
      <c r="D18900" s="183" t="s">
        <v>12762</v>
      </c>
      <c r="E18900" s="126">
        <v>500000</v>
      </c>
      <c r="F18900" s="126"/>
      <c r="G18900" s="126">
        <f t="shared" si="392"/>
        <v>-500000</v>
      </c>
      <c r="H18900" s="705" t="s">
        <v>12663</v>
      </c>
      <c r="J18900" s="40"/>
    </row>
    <row r="18901" spans="1:10" ht="15" x14ac:dyDescent="0.2">
      <c r="A18901" s="734">
        <v>45366</v>
      </c>
      <c r="B18901" s="63" t="s">
        <v>11897</v>
      </c>
      <c r="C18901" s="63" t="s">
        <v>12764</v>
      </c>
      <c r="D18901" s="183" t="s">
        <v>12224</v>
      </c>
      <c r="E18901" s="126">
        <v>250000</v>
      </c>
      <c r="F18901" s="126"/>
      <c r="G18901" s="126">
        <f t="shared" si="392"/>
        <v>-250000</v>
      </c>
      <c r="H18901" s="705" t="s">
        <v>12663</v>
      </c>
      <c r="J18901" s="40"/>
    </row>
    <row r="18902" spans="1:10" ht="15" x14ac:dyDescent="0.2">
      <c r="A18902" s="734">
        <v>45366</v>
      </c>
      <c r="B18902" s="63" t="s">
        <v>9356</v>
      </c>
      <c r="C18902" s="63" t="s">
        <v>392</v>
      </c>
      <c r="D18902" s="183" t="s">
        <v>12469</v>
      </c>
      <c r="E18902" s="126">
        <v>1500</v>
      </c>
      <c r="F18902" s="126"/>
      <c r="G18902" s="126">
        <f t="shared" ref="G18902:G18909" si="393">F18902-E18902</f>
        <v>-1500</v>
      </c>
      <c r="H18902" s="705" t="s">
        <v>12663</v>
      </c>
      <c r="J18902" s="40"/>
    </row>
    <row r="18903" spans="1:10" ht="15" x14ac:dyDescent="0.2">
      <c r="A18903" s="734">
        <v>45367</v>
      </c>
      <c r="B18903" s="63" t="s">
        <v>11897</v>
      </c>
      <c r="C18903" s="63" t="s">
        <v>10993</v>
      </c>
      <c r="D18903" s="183" t="s">
        <v>11268</v>
      </c>
      <c r="E18903" s="126">
        <v>5560</v>
      </c>
      <c r="F18903" s="126"/>
      <c r="G18903" s="126">
        <f t="shared" si="393"/>
        <v>-5560</v>
      </c>
      <c r="H18903" s="705" t="s">
        <v>12663</v>
      </c>
      <c r="J18903" s="40"/>
    </row>
    <row r="18904" spans="1:10" ht="15" x14ac:dyDescent="0.2">
      <c r="A18904" s="734">
        <v>45367</v>
      </c>
      <c r="B18904" s="63" t="s">
        <v>11897</v>
      </c>
      <c r="C18904" s="63" t="s">
        <v>5741</v>
      </c>
      <c r="D18904" s="183" t="s">
        <v>370</v>
      </c>
      <c r="E18904" s="126">
        <v>350</v>
      </c>
      <c r="F18904" s="126"/>
      <c r="G18904" s="126">
        <f t="shared" si="393"/>
        <v>-350</v>
      </c>
      <c r="H18904" s="705" t="s">
        <v>12663</v>
      </c>
      <c r="J18904" s="40"/>
    </row>
    <row r="18905" spans="1:10" ht="15" x14ac:dyDescent="0.2">
      <c r="A18905" s="734">
        <v>45367</v>
      </c>
      <c r="B18905" s="63" t="s">
        <v>11738</v>
      </c>
      <c r="C18905" s="63" t="s">
        <v>7838</v>
      </c>
      <c r="D18905" s="183" t="s">
        <v>12765</v>
      </c>
      <c r="E18905" s="126">
        <v>12400</v>
      </c>
      <c r="F18905" s="126"/>
      <c r="G18905" s="126">
        <f t="shared" si="393"/>
        <v>-12400</v>
      </c>
      <c r="H18905" s="705" t="s">
        <v>12663</v>
      </c>
      <c r="J18905" s="40"/>
    </row>
    <row r="18906" spans="1:10" ht="15" x14ac:dyDescent="0.2">
      <c r="A18906" s="734">
        <v>45367</v>
      </c>
      <c r="B18906" s="63" t="s">
        <v>10908</v>
      </c>
      <c r="C18906" s="63" t="s">
        <v>10993</v>
      </c>
      <c r="D18906" s="183" t="s">
        <v>12766</v>
      </c>
      <c r="E18906" s="126">
        <v>950</v>
      </c>
      <c r="F18906" s="126"/>
      <c r="G18906" s="126">
        <f t="shared" si="393"/>
        <v>-950</v>
      </c>
      <c r="H18906" s="705" t="s">
        <v>12663</v>
      </c>
      <c r="J18906" s="40"/>
    </row>
    <row r="18907" spans="1:10" ht="15" x14ac:dyDescent="0.2">
      <c r="A18907" s="734">
        <v>45367</v>
      </c>
      <c r="B18907" s="63" t="s">
        <v>10363</v>
      </c>
      <c r="C18907" s="63" t="s">
        <v>2190</v>
      </c>
      <c r="D18907" s="183" t="s">
        <v>12767</v>
      </c>
      <c r="E18907" s="126">
        <v>9500</v>
      </c>
      <c r="F18907" s="126"/>
      <c r="G18907" s="126">
        <f t="shared" si="393"/>
        <v>-9500</v>
      </c>
      <c r="H18907" s="705" t="s">
        <v>12663</v>
      </c>
      <c r="J18907" s="40"/>
    </row>
    <row r="18908" spans="1:10" ht="15" x14ac:dyDescent="0.2">
      <c r="A18908" s="734">
        <v>45367</v>
      </c>
      <c r="B18908" s="63" t="s">
        <v>10908</v>
      </c>
      <c r="C18908" s="63" t="s">
        <v>5741</v>
      </c>
      <c r="D18908" s="183" t="s">
        <v>370</v>
      </c>
      <c r="E18908" s="126">
        <v>500</v>
      </c>
      <c r="F18908" s="126"/>
      <c r="G18908" s="126">
        <f t="shared" si="393"/>
        <v>-500</v>
      </c>
      <c r="H18908" s="705" t="s">
        <v>12663</v>
      </c>
      <c r="J18908" s="40"/>
    </row>
    <row r="18909" spans="1:10" ht="15" x14ac:dyDescent="0.2">
      <c r="A18909" s="734">
        <v>45367</v>
      </c>
      <c r="B18909" s="63" t="s">
        <v>11897</v>
      </c>
      <c r="C18909" s="63" t="s">
        <v>12768</v>
      </c>
      <c r="D18909" s="183" t="s">
        <v>12461</v>
      </c>
      <c r="E18909" s="126">
        <v>58470</v>
      </c>
      <c r="F18909" s="126"/>
      <c r="G18909" s="126">
        <f t="shared" si="393"/>
        <v>-58470</v>
      </c>
      <c r="H18909" s="705" t="s">
        <v>12663</v>
      </c>
      <c r="J18909" s="40"/>
    </row>
    <row r="18910" spans="1:10" ht="15" x14ac:dyDescent="0.2">
      <c r="A18910" s="733">
        <v>45355</v>
      </c>
      <c r="B18910" s="174" t="s">
        <v>11635</v>
      </c>
      <c r="C18910" s="174" t="s">
        <v>11291</v>
      </c>
      <c r="D18910" s="228" t="s">
        <v>12664</v>
      </c>
      <c r="E18910" s="236">
        <v>65000</v>
      </c>
      <c r="F18910" s="236"/>
      <c r="G18910" s="236">
        <f t="shared" si="382"/>
        <v>-65000</v>
      </c>
      <c r="H18910" s="709" t="s">
        <v>12663</v>
      </c>
    </row>
    <row r="18911" spans="1:10" ht="24" x14ac:dyDescent="0.2">
      <c r="A18911" s="733">
        <v>45355</v>
      </c>
      <c r="B18911" s="174" t="s">
        <v>11897</v>
      </c>
      <c r="C18911" s="174" t="s">
        <v>11291</v>
      </c>
      <c r="D18911" s="228" t="s">
        <v>12665</v>
      </c>
      <c r="E18911" s="236">
        <v>135000</v>
      </c>
      <c r="F18911" s="236"/>
      <c r="G18911" s="236">
        <f t="shared" si="382"/>
        <v>-135000</v>
      </c>
      <c r="H18911" s="709" t="s">
        <v>12663</v>
      </c>
    </row>
    <row r="18912" spans="1:10" ht="15" x14ac:dyDescent="0.2">
      <c r="A18912" s="733">
        <v>45356</v>
      </c>
      <c r="B18912" s="174" t="s">
        <v>12366</v>
      </c>
      <c r="C18912" s="174" t="s">
        <v>12104</v>
      </c>
      <c r="D18912" s="228" t="s">
        <v>12666</v>
      </c>
      <c r="E18912" s="236">
        <v>186000</v>
      </c>
      <c r="F18912" s="236"/>
      <c r="G18912" s="236">
        <f t="shared" si="382"/>
        <v>-186000</v>
      </c>
      <c r="H18912" s="709" t="s">
        <v>12663</v>
      </c>
    </row>
    <row r="18913" spans="1:8" ht="15" x14ac:dyDescent="0.2">
      <c r="A18913" s="733">
        <v>45359</v>
      </c>
      <c r="B18913" s="174" t="s">
        <v>9356</v>
      </c>
      <c r="C18913" s="174" t="s">
        <v>1198</v>
      </c>
      <c r="D18913" s="228" t="s">
        <v>12669</v>
      </c>
      <c r="E18913" s="236">
        <v>412181</v>
      </c>
      <c r="F18913" s="236"/>
      <c r="G18913" s="236">
        <f t="shared" si="382"/>
        <v>-412181</v>
      </c>
      <c r="H18913" s="709" t="s">
        <v>12663</v>
      </c>
    </row>
    <row r="18914" spans="1:8" ht="18.75" customHeight="1" x14ac:dyDescent="0.2">
      <c r="A18914" s="733">
        <v>45362</v>
      </c>
      <c r="B18914" s="174" t="s">
        <v>12714</v>
      </c>
      <c r="C18914" s="174" t="s">
        <v>12715</v>
      </c>
      <c r="D18914" s="228" t="s">
        <v>12716</v>
      </c>
      <c r="E18914" s="236">
        <v>1071000</v>
      </c>
      <c r="F18914" s="236"/>
      <c r="G18914" s="236">
        <f t="shared" si="382"/>
        <v>-1071000</v>
      </c>
      <c r="H18914" s="709" t="s">
        <v>12663</v>
      </c>
    </row>
    <row r="18915" spans="1:8" ht="15" x14ac:dyDescent="0.2">
      <c r="A18915" s="733">
        <v>45364</v>
      </c>
      <c r="B18915" s="174" t="s">
        <v>37</v>
      </c>
      <c r="C18915" s="551" t="s">
        <v>3003</v>
      </c>
      <c r="D18915" s="740" t="s">
        <v>12737</v>
      </c>
      <c r="E18915" s="552">
        <v>27362</v>
      </c>
      <c r="F18915" s="236"/>
      <c r="G18915" s="236">
        <f t="shared" si="382"/>
        <v>-27362</v>
      </c>
      <c r="H18915" s="709" t="s">
        <v>12663</v>
      </c>
    </row>
    <row r="18916" spans="1:8" ht="15" x14ac:dyDescent="0.2">
      <c r="A18916" s="733">
        <v>45364</v>
      </c>
      <c r="B18916" s="174" t="s">
        <v>3945</v>
      </c>
      <c r="C18916" s="551" t="s">
        <v>3003</v>
      </c>
      <c r="D18916" s="740" t="s">
        <v>12737</v>
      </c>
      <c r="E18916" s="552">
        <v>35367</v>
      </c>
      <c r="F18916" s="236"/>
      <c r="G18916" s="236">
        <f t="shared" si="382"/>
        <v>-35367</v>
      </c>
      <c r="H18916" s="709" t="s">
        <v>12663</v>
      </c>
    </row>
    <row r="18917" spans="1:8" ht="15" x14ac:dyDescent="0.2">
      <c r="A18917" s="733">
        <v>45364</v>
      </c>
      <c r="B18917" s="174" t="s">
        <v>3946</v>
      </c>
      <c r="C18917" s="551" t="s">
        <v>3003</v>
      </c>
      <c r="D18917" s="740" t="s">
        <v>12737</v>
      </c>
      <c r="E18917" s="552">
        <v>32760</v>
      </c>
      <c r="F18917" s="236"/>
      <c r="G18917" s="236">
        <f t="shared" si="382"/>
        <v>-32760</v>
      </c>
      <c r="H18917" s="709" t="s">
        <v>12663</v>
      </c>
    </row>
    <row r="18918" spans="1:8" ht="24" x14ac:dyDescent="0.2">
      <c r="A18918" s="730">
        <v>45359</v>
      </c>
      <c r="B18918" s="94" t="s">
        <v>11093</v>
      </c>
      <c r="C18918" s="94" t="s">
        <v>559</v>
      </c>
      <c r="D18918" s="802" t="s">
        <v>12668</v>
      </c>
      <c r="E18918" s="176"/>
      <c r="F18918" s="176">
        <v>412181</v>
      </c>
      <c r="G18918" s="176">
        <f t="shared" si="382"/>
        <v>412181</v>
      </c>
      <c r="H18918" s="702" t="s">
        <v>12663</v>
      </c>
    </row>
    <row r="18919" spans="1:8" ht="15" x14ac:dyDescent="0.2">
      <c r="A18919" s="730">
        <v>45359</v>
      </c>
      <c r="B18919" s="94" t="s">
        <v>12533</v>
      </c>
      <c r="C18919" s="94" t="s">
        <v>559</v>
      </c>
      <c r="D18919" s="802" t="s">
        <v>12687</v>
      </c>
      <c r="E18919" s="176"/>
      <c r="F18919" s="176">
        <v>8053923</v>
      </c>
      <c r="G18919" s="176">
        <f t="shared" ref="G18919" si="394">F18919-E18919</f>
        <v>8053923</v>
      </c>
      <c r="H18919" s="702" t="s">
        <v>12663</v>
      </c>
    </row>
    <row r="18920" spans="1:8" ht="15" x14ac:dyDescent="0.2">
      <c r="A18920" s="730">
        <v>45362</v>
      </c>
      <c r="B18920" s="94" t="s">
        <v>12366</v>
      </c>
      <c r="C18920" s="94" t="s">
        <v>559</v>
      </c>
      <c r="D18920" s="802" t="s">
        <v>12702</v>
      </c>
      <c r="E18920" s="176"/>
      <c r="F18920" s="176">
        <v>4658436</v>
      </c>
      <c r="G18920" s="176">
        <f t="shared" ref="G18920:G18924" si="395">F18920-E18920</f>
        <v>4658436</v>
      </c>
      <c r="H18920" s="702" t="s">
        <v>12663</v>
      </c>
    </row>
    <row r="18921" spans="1:8" ht="15" x14ac:dyDescent="0.2">
      <c r="A18921" s="730">
        <v>45362</v>
      </c>
      <c r="B18921" s="91" t="s">
        <v>11897</v>
      </c>
      <c r="C18921" s="94" t="s">
        <v>559</v>
      </c>
      <c r="D18921" s="801" t="s">
        <v>12711</v>
      </c>
      <c r="E18921" s="92"/>
      <c r="F18921" s="92">
        <v>6010680</v>
      </c>
      <c r="G18921" s="92">
        <f t="shared" si="395"/>
        <v>6010680</v>
      </c>
      <c r="H18921" s="702" t="s">
        <v>12663</v>
      </c>
    </row>
    <row r="18922" spans="1:8" ht="15" x14ac:dyDescent="0.2">
      <c r="A18922" s="730">
        <v>45362</v>
      </c>
      <c r="B18922" s="91" t="s">
        <v>11897</v>
      </c>
      <c r="C18922" s="94" t="s">
        <v>559</v>
      </c>
      <c r="D18922" s="801" t="s">
        <v>12711</v>
      </c>
      <c r="E18922" s="92"/>
      <c r="F18922" s="92">
        <v>5060000</v>
      </c>
      <c r="G18922" s="92">
        <f t="shared" si="395"/>
        <v>5060000</v>
      </c>
      <c r="H18922" s="702" t="s">
        <v>12663</v>
      </c>
    </row>
    <row r="18923" spans="1:8" ht="15" x14ac:dyDescent="0.2">
      <c r="A18923" s="730">
        <v>45362</v>
      </c>
      <c r="B18923" s="91" t="s">
        <v>11897</v>
      </c>
      <c r="C18923" s="94" t="s">
        <v>559</v>
      </c>
      <c r="D18923" s="801" t="s">
        <v>12712</v>
      </c>
      <c r="E18923" s="92"/>
      <c r="F18923" s="92">
        <v>10000000</v>
      </c>
      <c r="G18923" s="92">
        <f t="shared" si="395"/>
        <v>10000000</v>
      </c>
      <c r="H18923" s="702" t="s">
        <v>12663</v>
      </c>
    </row>
    <row r="18924" spans="1:8" ht="15" x14ac:dyDescent="0.2">
      <c r="A18924" s="730">
        <v>45362</v>
      </c>
      <c r="B18924" s="91" t="s">
        <v>11897</v>
      </c>
      <c r="C18924" s="94" t="s">
        <v>559</v>
      </c>
      <c r="D18924" s="801" t="s">
        <v>12713</v>
      </c>
      <c r="E18924" s="92"/>
      <c r="F18924" s="92">
        <v>1071000</v>
      </c>
      <c r="G18924" s="92">
        <f t="shared" si="395"/>
        <v>1071000</v>
      </c>
      <c r="H18924" s="702" t="s">
        <v>12663</v>
      </c>
    </row>
    <row r="18925" spans="1:8" ht="15" x14ac:dyDescent="0.2">
      <c r="A18925" s="730">
        <v>45366</v>
      </c>
      <c r="B18925" s="91" t="s">
        <v>12372</v>
      </c>
      <c r="C18925" s="94" t="s">
        <v>559</v>
      </c>
      <c r="D18925" s="801" t="s">
        <v>12761</v>
      </c>
      <c r="E18925" s="92"/>
      <c r="F18925" s="92">
        <v>500000</v>
      </c>
      <c r="G18925" s="92">
        <f t="shared" ref="G18925" si="396">F18925-E18925</f>
        <v>500000</v>
      </c>
      <c r="H18925" s="702" t="s">
        <v>12663</v>
      </c>
    </row>
  </sheetData>
  <autoFilter ref="A1:P1892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6" t="s">
        <v>0</v>
      </c>
      <c r="B1" s="1126" t="s">
        <v>47</v>
      </c>
    </row>
    <row r="2" spans="1:11" hidden="1" x14ac:dyDescent="0.3">
      <c r="A2" s="1126" t="s">
        <v>2</v>
      </c>
      <c r="B2" s="1126" t="s">
        <v>47</v>
      </c>
    </row>
    <row r="3" spans="1:11" hidden="1" x14ac:dyDescent="0.3">
      <c r="A3" s="1126" t="s">
        <v>840</v>
      </c>
      <c r="B3" s="1126" t="s">
        <v>47</v>
      </c>
    </row>
    <row r="4" spans="1:11" ht="24" hidden="1" thickBot="1" x14ac:dyDescent="0.35">
      <c r="A4"/>
      <c r="B4"/>
      <c r="C4"/>
      <c r="D4"/>
      <c r="F4" s="98" t="s">
        <v>1767</v>
      </c>
      <c r="H4" s="1147" t="s">
        <v>1767</v>
      </c>
      <c r="I4" s="1147"/>
      <c r="J4" s="1147"/>
    </row>
    <row r="5" spans="1:11" ht="24" thickBot="1" x14ac:dyDescent="0.35">
      <c r="A5" s="1127" t="s">
        <v>4137</v>
      </c>
      <c r="B5" s="1128" t="s">
        <v>4134</v>
      </c>
      <c r="C5" s="1128" t="s">
        <v>4135</v>
      </c>
      <c r="D5" s="1128" t="s">
        <v>4136</v>
      </c>
      <c r="E5" s="347"/>
      <c r="H5" s="1147"/>
      <c r="I5" s="1147"/>
      <c r="J5" s="1147"/>
      <c r="K5" s="1014" t="s">
        <v>10860</v>
      </c>
    </row>
    <row r="6" spans="1:11" ht="26.25" x14ac:dyDescent="0.4">
      <c r="A6" s="738" t="s">
        <v>12372</v>
      </c>
      <c r="B6" s="739">
        <v>2700</v>
      </c>
      <c r="C6" s="739">
        <v>500000</v>
      </c>
      <c r="D6" s="739">
        <v>497300</v>
      </c>
      <c r="F6" s="697" t="s">
        <v>155</v>
      </c>
      <c r="G6" s="698" t="s">
        <v>2613</v>
      </c>
      <c r="H6" s="698" t="s">
        <v>7682</v>
      </c>
      <c r="I6" s="697" t="s">
        <v>2615</v>
      </c>
    </row>
    <row r="7" spans="1:11" ht="26.25" x14ac:dyDescent="0.4">
      <c r="A7" s="738" t="s">
        <v>12511</v>
      </c>
      <c r="B7" s="739">
        <v>28650</v>
      </c>
      <c r="C7" s="739"/>
      <c r="D7" s="739">
        <v>-28650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12426</v>
      </c>
      <c r="B8" s="739">
        <v>13100</v>
      </c>
      <c r="C8" s="739"/>
      <c r="D8" s="739">
        <v>-13100</v>
      </c>
      <c r="F8" s="695" t="s">
        <v>4721</v>
      </c>
      <c r="G8" s="696">
        <f t="shared" si="0"/>
        <v>10957853.041129032</v>
      </c>
      <c r="H8" s="696">
        <f>VLOOKUP(F8,'Project wise Supplier balance'!$A$6:$D$91,4,0)</f>
        <v>162620</v>
      </c>
      <c r="I8" s="693">
        <f t="shared" si="1"/>
        <v>10795233.041129032</v>
      </c>
    </row>
    <row r="9" spans="1:11" ht="26.25" x14ac:dyDescent="0.4">
      <c r="A9" s="738" t="s">
        <v>12533</v>
      </c>
      <c r="B9" s="739">
        <v>3582126</v>
      </c>
      <c r="C9" s="739">
        <v>8053923</v>
      </c>
      <c r="D9" s="739">
        <v>4471797</v>
      </c>
      <c r="F9" s="695" t="s">
        <v>2652</v>
      </c>
      <c r="G9" s="696">
        <f t="shared" si="0"/>
        <v>10068965.30031715</v>
      </c>
      <c r="H9" s="696">
        <f>VLOOKUP(F9,'Project wise Supplier balance'!$A$6:$D$91,4,0)</f>
        <v>0</v>
      </c>
      <c r="I9" s="693">
        <f t="shared" si="1"/>
        <v>10068965.30031715</v>
      </c>
    </row>
    <row r="10" spans="1:11" ht="26.25" x14ac:dyDescent="0.4">
      <c r="A10" s="738" t="s">
        <v>12627</v>
      </c>
      <c r="B10" s="739">
        <v>571850</v>
      </c>
      <c r="C10" s="739"/>
      <c r="D10" s="739">
        <v>-571850</v>
      </c>
      <c r="F10" s="695" t="s">
        <v>1400</v>
      </c>
      <c r="G10" s="696">
        <f t="shared" si="0"/>
        <v>16037003.15589213</v>
      </c>
      <c r="H10" s="696">
        <f>VLOOKUP(F10,'Project wise Supplier balance'!$A$6:$D$91,4,0)</f>
        <v>159545</v>
      </c>
      <c r="I10" s="693">
        <f t="shared" si="1"/>
        <v>15877458.15589213</v>
      </c>
    </row>
    <row r="11" spans="1:11" ht="26.25" x14ac:dyDescent="0.4">
      <c r="A11" s="738" t="s">
        <v>12207</v>
      </c>
      <c r="B11" s="739">
        <v>2438745</v>
      </c>
      <c r="C11" s="739">
        <v>13975308</v>
      </c>
      <c r="D11" s="739">
        <v>11536563</v>
      </c>
      <c r="F11" s="695" t="s">
        <v>7126</v>
      </c>
      <c r="G11" s="696">
        <f t="shared" si="0"/>
        <v>27649</v>
      </c>
      <c r="H11" s="696">
        <f>VLOOKUP(F11,'Project wise Supplier balance'!$A$6:$D$91,4,0)</f>
        <v>0</v>
      </c>
      <c r="I11" s="693">
        <f t="shared" si="1"/>
        <v>27649</v>
      </c>
    </row>
    <row r="12" spans="1:11" ht="26.25" x14ac:dyDescent="0.4">
      <c r="A12" s="738" t="s">
        <v>11897</v>
      </c>
      <c r="B12" s="739">
        <v>28015102</v>
      </c>
      <c r="C12" s="739">
        <v>32141680</v>
      </c>
      <c r="D12" s="739">
        <v>4126578</v>
      </c>
      <c r="F12" s="695" t="s">
        <v>7067</v>
      </c>
      <c r="G12" s="696">
        <f t="shared" si="0"/>
        <v>5665632</v>
      </c>
      <c r="H12" s="696" t="e">
        <f>VLOOKUP(F12,'Project wise Supplier balance'!$A$6:$D$91,4,0)</f>
        <v>#N/A</v>
      </c>
      <c r="I12" s="693" t="e">
        <f t="shared" si="1"/>
        <v>#N/A</v>
      </c>
    </row>
    <row r="13" spans="1:11" ht="26.25" x14ac:dyDescent="0.4">
      <c r="A13" s="738" t="s">
        <v>11617</v>
      </c>
      <c r="B13" s="739">
        <v>3811277</v>
      </c>
      <c r="C13" s="739">
        <v>2600000</v>
      </c>
      <c r="D13" s="739">
        <v>-1211277</v>
      </c>
      <c r="F13" s="695" t="s">
        <v>6511</v>
      </c>
      <c r="G13" s="696">
        <f t="shared" si="0"/>
        <v>2445161</v>
      </c>
      <c r="H13" s="696" t="e">
        <f>VLOOKUP(F13,'Project wise Supplier balance'!$A$6:$D$91,4,0)</f>
        <v>#N/A</v>
      </c>
      <c r="I13" s="693" t="e">
        <f t="shared" si="1"/>
        <v>#N/A</v>
      </c>
    </row>
    <row r="14" spans="1:11" ht="26.25" x14ac:dyDescent="0.4">
      <c r="A14" s="738" t="s">
        <v>11511</v>
      </c>
      <c r="B14" s="739">
        <v>3539630.5595105672</v>
      </c>
      <c r="C14" s="739">
        <v>4380000</v>
      </c>
      <c r="D14" s="739">
        <v>840369.44048943301</v>
      </c>
      <c r="F14" s="695" t="s">
        <v>6518</v>
      </c>
      <c r="G14" s="696">
        <f t="shared" si="0"/>
        <v>1915801.3763440857</v>
      </c>
      <c r="H14" s="696">
        <f>VLOOKUP(F14,'Project wise Supplier balance'!$A$6:$D$91,4,0)</f>
        <v>0</v>
      </c>
      <c r="I14" s="693">
        <f t="shared" si="1"/>
        <v>1915801.3763440857</v>
      </c>
    </row>
    <row r="15" spans="1:11" ht="26.25" x14ac:dyDescent="0.4">
      <c r="A15" s="738" t="s">
        <v>11446</v>
      </c>
      <c r="B15" s="739">
        <v>7365237</v>
      </c>
      <c r="C15" s="739">
        <v>9154145</v>
      </c>
      <c r="D15" s="739">
        <v>1788908</v>
      </c>
      <c r="F15" s="695" t="s">
        <v>6508</v>
      </c>
      <c r="G15" s="696">
        <f t="shared" si="0"/>
        <v>2118178</v>
      </c>
      <c r="H15" s="696">
        <f>VLOOKUP(F15,'Project wise Supplier balance'!$A$6:$D$91,4,0)</f>
        <v>4245</v>
      </c>
      <c r="I15" s="693">
        <f t="shared" si="1"/>
        <v>2113933</v>
      </c>
    </row>
    <row r="16" spans="1:11" ht="26.25" x14ac:dyDescent="0.4">
      <c r="A16" s="738" t="s">
        <v>7807</v>
      </c>
      <c r="B16" s="739">
        <v>2754240</v>
      </c>
      <c r="C16" s="739">
        <v>4334251</v>
      </c>
      <c r="D16" s="739">
        <v>1580011</v>
      </c>
      <c r="F16" s="695" t="s">
        <v>6505</v>
      </c>
      <c r="G16" s="696">
        <f t="shared" si="0"/>
        <v>4302191.3617511522</v>
      </c>
      <c r="H16" s="696" t="e">
        <f>VLOOKUP(F16,'Project wise Supplier balance'!$A$6:$D$91,4,0)</f>
        <v>#N/A</v>
      </c>
      <c r="I16" s="693" t="e">
        <f t="shared" si="1"/>
        <v>#N/A</v>
      </c>
    </row>
    <row r="17" spans="1:9" ht="26.25" x14ac:dyDescent="0.4">
      <c r="A17" s="738" t="s">
        <v>11340</v>
      </c>
      <c r="B17" s="739">
        <v>76862</v>
      </c>
      <c r="C17" s="739">
        <v>200000</v>
      </c>
      <c r="D17" s="739">
        <v>123138</v>
      </c>
      <c r="F17" s="695" t="s">
        <v>7555</v>
      </c>
      <c r="G17" s="696">
        <f t="shared" si="0"/>
        <v>946445.53225806449</v>
      </c>
      <c r="H17" s="696">
        <f>VLOOKUP(F17,'Project wise Supplier balance'!$A$6:$D$91,4,0)</f>
        <v>0</v>
      </c>
      <c r="I17" s="693">
        <f t="shared" si="1"/>
        <v>946445.53225806449</v>
      </c>
    </row>
    <row r="18" spans="1:9" ht="26.25" x14ac:dyDescent="0.4">
      <c r="A18" s="738" t="s">
        <v>11075</v>
      </c>
      <c r="B18" s="739">
        <v>1155980</v>
      </c>
      <c r="C18" s="739">
        <v>1000000</v>
      </c>
      <c r="D18" s="739">
        <v>-155980</v>
      </c>
      <c r="F18" s="695" t="s">
        <v>6953</v>
      </c>
      <c r="G18" s="696">
        <f t="shared" si="0"/>
        <v>1351664</v>
      </c>
      <c r="H18" s="696" t="e">
        <f>VLOOKUP(F18,'Project wise Supplier balance'!$A$6:$D$91,4,0)</f>
        <v>#N/A</v>
      </c>
      <c r="I18" s="693" t="e">
        <f t="shared" si="1"/>
        <v>#N/A</v>
      </c>
    </row>
    <row r="19" spans="1:9" ht="26.25" x14ac:dyDescent="0.4">
      <c r="A19" s="738" t="s">
        <v>11271</v>
      </c>
      <c r="B19" s="739">
        <v>659316</v>
      </c>
      <c r="C19" s="739">
        <v>1300000</v>
      </c>
      <c r="D19" s="739">
        <v>640684</v>
      </c>
      <c r="F19" s="695" t="s">
        <v>6647</v>
      </c>
      <c r="G19" s="696">
        <f t="shared" si="0"/>
        <v>67087</v>
      </c>
      <c r="H19" s="696">
        <f>VLOOKUP(F19,'Project wise Supplier balance'!$A$6:$D$91,4,0)</f>
        <v>0</v>
      </c>
      <c r="I19" s="693">
        <f t="shared" si="1"/>
        <v>67087</v>
      </c>
    </row>
    <row r="20" spans="1:9" ht="26.25" x14ac:dyDescent="0.4">
      <c r="A20" s="738" t="s">
        <v>11007</v>
      </c>
      <c r="B20" s="739">
        <v>319470</v>
      </c>
      <c r="C20" s="739">
        <v>900000</v>
      </c>
      <c r="D20" s="739">
        <v>580530</v>
      </c>
      <c r="F20" s="695" t="s">
        <v>7112</v>
      </c>
      <c r="G20" s="696">
        <f t="shared" si="0"/>
        <v>641998.78494623653</v>
      </c>
      <c r="H20" s="696">
        <f>VLOOKUP(F20,'Project wise Supplier balance'!$A$6:$D$91,4,0)</f>
        <v>0</v>
      </c>
      <c r="I20" s="693">
        <f t="shared" si="1"/>
        <v>641998.78494623653</v>
      </c>
    </row>
    <row r="21" spans="1:9" ht="26.25" x14ac:dyDescent="0.4">
      <c r="A21" s="738" t="s">
        <v>9719</v>
      </c>
      <c r="B21" s="739">
        <v>138515</v>
      </c>
      <c r="C21" s="739">
        <v>500000</v>
      </c>
      <c r="D21" s="739">
        <v>361485</v>
      </c>
      <c r="F21" s="695" t="s">
        <v>7657</v>
      </c>
      <c r="G21" s="696">
        <f t="shared" si="0"/>
        <v>702698.51</v>
      </c>
      <c r="H21" s="696">
        <f>VLOOKUP(F21,'Project wise Supplier balance'!$A$6:$D$91,4,0)</f>
        <v>0</v>
      </c>
      <c r="I21" s="693">
        <f t="shared" si="1"/>
        <v>702698.51</v>
      </c>
    </row>
    <row r="22" spans="1:9" ht="26.25" x14ac:dyDescent="0.4">
      <c r="A22" s="738" t="s">
        <v>10909</v>
      </c>
      <c r="B22" s="739">
        <v>20526021.397849467</v>
      </c>
      <c r="C22" s="739">
        <v>27083716</v>
      </c>
      <c r="D22" s="739">
        <v>6557694.6021505389</v>
      </c>
      <c r="F22" s="695" t="s">
        <v>6408</v>
      </c>
      <c r="G22" s="696">
        <f t="shared" si="0"/>
        <v>-209739.22580645164</v>
      </c>
      <c r="H22" s="696">
        <f>VLOOKUP(F22,'Project wise Supplier balance'!$A$6:$D$91,4,0)</f>
        <v>80843</v>
      </c>
      <c r="I22" s="693">
        <f t="shared" si="1"/>
        <v>-290582.22580645164</v>
      </c>
    </row>
    <row r="23" spans="1:9" ht="26.25" x14ac:dyDescent="0.4">
      <c r="A23" s="738" t="s">
        <v>10576</v>
      </c>
      <c r="B23" s="739">
        <v>33647718.333333336</v>
      </c>
      <c r="C23" s="739">
        <v>42957843</v>
      </c>
      <c r="D23" s="739">
        <v>9310124.6666666679</v>
      </c>
      <c r="F23" s="695" t="s">
        <v>7732</v>
      </c>
      <c r="G23" s="696">
        <f t="shared" si="0"/>
        <v>301911.87096774194</v>
      </c>
      <c r="H23" s="696">
        <f>VLOOKUP(F23,'Project wise Supplier balance'!$A$6:$D$91,4,0)</f>
        <v>0</v>
      </c>
      <c r="I23" s="693">
        <f t="shared" si="1"/>
        <v>301911.87096774194</v>
      </c>
    </row>
    <row r="24" spans="1:9" ht="26.25" x14ac:dyDescent="0.4">
      <c r="A24" s="738" t="s">
        <v>10379</v>
      </c>
      <c r="B24" s="739">
        <v>4030880</v>
      </c>
      <c r="C24" s="739">
        <v>3000000</v>
      </c>
      <c r="D24" s="739">
        <v>-1030880</v>
      </c>
      <c r="F24" s="695" t="s">
        <v>7746</v>
      </c>
      <c r="G24" s="696" t="e">
        <f t="shared" si="0"/>
        <v>#N/A</v>
      </c>
      <c r="H24" s="696">
        <f>VLOOKUP(F24,'Project wise Supplier balance'!$A$6:$D$91,4,0)</f>
        <v>0</v>
      </c>
      <c r="I24" s="693" t="e">
        <f t="shared" si="1"/>
        <v>#N/A</v>
      </c>
    </row>
    <row r="25" spans="1:9" ht="26.25" x14ac:dyDescent="0.4">
      <c r="A25" s="738" t="s">
        <v>10338</v>
      </c>
      <c r="B25" s="739">
        <v>5611655</v>
      </c>
      <c r="C25" s="739">
        <v>7705250</v>
      </c>
      <c r="D25" s="739">
        <v>2093595</v>
      </c>
    </row>
    <row r="26" spans="1:9" ht="26.25" x14ac:dyDescent="0.4">
      <c r="A26" s="738" t="s">
        <v>10296</v>
      </c>
      <c r="B26" s="739">
        <v>3951168.4623655914</v>
      </c>
      <c r="C26" s="739">
        <v>2000000</v>
      </c>
      <c r="D26" s="739">
        <v>-1951168.4623655914</v>
      </c>
    </row>
    <row r="27" spans="1:9" ht="26.25" x14ac:dyDescent="0.4">
      <c r="A27" s="738" t="s">
        <v>10232</v>
      </c>
      <c r="B27" s="739">
        <v>19606013.333333336</v>
      </c>
      <c r="C27" s="739">
        <v>31092766</v>
      </c>
      <c r="D27" s="739">
        <v>11486752.666666666</v>
      </c>
    </row>
    <row r="28" spans="1:9" ht="26.25" x14ac:dyDescent="0.4">
      <c r="A28" s="738" t="s">
        <v>10144</v>
      </c>
      <c r="B28" s="739">
        <v>6833762</v>
      </c>
      <c r="C28" s="739">
        <v>7704349</v>
      </c>
      <c r="D28" s="739">
        <v>870587</v>
      </c>
    </row>
    <row r="29" spans="1:9" ht="26.25" x14ac:dyDescent="0.4">
      <c r="A29" s="738" t="s">
        <v>10122</v>
      </c>
      <c r="B29" s="739">
        <v>83200</v>
      </c>
      <c r="C29" s="739">
        <v>0</v>
      </c>
      <c r="D29" s="739">
        <v>-83200</v>
      </c>
    </row>
    <row r="30" spans="1:9" ht="26.25" x14ac:dyDescent="0.4">
      <c r="A30" s="738" t="s">
        <v>10023</v>
      </c>
      <c r="B30" s="739">
        <v>8346073.5</v>
      </c>
      <c r="C30" s="739">
        <v>7120000</v>
      </c>
      <c r="D30" s="739">
        <v>-1226073.5</v>
      </c>
    </row>
    <row r="31" spans="1:9" ht="26.25" x14ac:dyDescent="0.4">
      <c r="A31" s="738" t="s">
        <v>9832</v>
      </c>
      <c r="B31" s="739">
        <v>23796095</v>
      </c>
      <c r="C31" s="739">
        <v>19830000</v>
      </c>
      <c r="D31" s="739">
        <v>-3966095</v>
      </c>
    </row>
    <row r="32" spans="1:9" ht="26.25" x14ac:dyDescent="0.4">
      <c r="A32" s="738" t="s">
        <v>9769</v>
      </c>
      <c r="B32" s="739">
        <v>16161004</v>
      </c>
      <c r="C32" s="739">
        <v>19855650</v>
      </c>
      <c r="D32" s="739">
        <v>3694646</v>
      </c>
    </row>
    <row r="33" spans="1:9" ht="26.25" x14ac:dyDescent="0.4">
      <c r="A33" s="738" t="s">
        <v>9661</v>
      </c>
      <c r="B33" s="739">
        <v>4762390.9032258065</v>
      </c>
      <c r="C33" s="739">
        <v>10021233</v>
      </c>
      <c r="D33" s="739">
        <v>5258842.0967741944</v>
      </c>
    </row>
    <row r="34" spans="1:9" ht="26.25" x14ac:dyDescent="0.4">
      <c r="A34" s="738" t="s">
        <v>9464</v>
      </c>
      <c r="B34" s="739">
        <v>2249169</v>
      </c>
      <c r="C34" s="739">
        <v>2722000</v>
      </c>
      <c r="D34" s="739">
        <v>472831</v>
      </c>
    </row>
    <row r="35" spans="1:9" ht="26.25" x14ac:dyDescent="0.4">
      <c r="A35" s="738" t="s">
        <v>9507</v>
      </c>
      <c r="B35" s="739">
        <v>2583814</v>
      </c>
      <c r="C35" s="739">
        <v>3185630</v>
      </c>
      <c r="D35" s="739">
        <v>601816</v>
      </c>
    </row>
    <row r="36" spans="1:9" ht="26.25" x14ac:dyDescent="0.4">
      <c r="A36" s="738" t="s">
        <v>9409</v>
      </c>
      <c r="B36" s="739">
        <v>6184137.7741935486</v>
      </c>
      <c r="C36" s="739">
        <v>12225909</v>
      </c>
      <c r="D36" s="739">
        <v>6041771.2258064514</v>
      </c>
    </row>
    <row r="37" spans="1:9" ht="26.25" x14ac:dyDescent="0.4">
      <c r="A37" s="738" t="s">
        <v>9402</v>
      </c>
      <c r="B37" s="739">
        <v>5033545.5483870972</v>
      </c>
      <c r="C37" s="739">
        <v>5502581</v>
      </c>
      <c r="D37" s="739">
        <v>469035.45161290327</v>
      </c>
    </row>
    <row r="38" spans="1:9" ht="26.25" x14ac:dyDescent="0.4">
      <c r="A38" s="738" t="s">
        <v>9356</v>
      </c>
      <c r="B38" s="739">
        <v>23386166.833333332</v>
      </c>
      <c r="C38" s="739">
        <v>19140130</v>
      </c>
      <c r="D38" s="739">
        <v>-4246036.833333334</v>
      </c>
    </row>
    <row r="39" spans="1:9" ht="26.25" x14ac:dyDescent="0.4">
      <c r="A39" s="738" t="s">
        <v>8868</v>
      </c>
      <c r="B39" s="739">
        <v>3511728</v>
      </c>
      <c r="C39" s="739">
        <v>3500000</v>
      </c>
      <c r="D39" s="739">
        <v>-11728</v>
      </c>
    </row>
    <row r="40" spans="1:9" ht="26.25" x14ac:dyDescent="0.4">
      <c r="A40" s="738" t="s">
        <v>8876</v>
      </c>
      <c r="B40" s="739">
        <v>7906484.3548387093</v>
      </c>
      <c r="C40" s="739">
        <v>14475224</v>
      </c>
      <c r="D40" s="739">
        <v>6568739.6451612907</v>
      </c>
    </row>
    <row r="41" spans="1:9" ht="26.25" x14ac:dyDescent="0.4">
      <c r="A41" s="738" t="s">
        <v>8559</v>
      </c>
      <c r="B41" s="739">
        <v>5685706</v>
      </c>
      <c r="C41" s="739">
        <v>5930062</v>
      </c>
      <c r="D41" s="739">
        <v>215957</v>
      </c>
    </row>
    <row r="42" spans="1:9" ht="26.25" x14ac:dyDescent="0.4">
      <c r="A42" s="738" t="s">
        <v>8657</v>
      </c>
      <c r="B42" s="739">
        <v>16339873</v>
      </c>
      <c r="C42" s="739">
        <v>24057411.419999998</v>
      </c>
      <c r="D42" s="739">
        <v>7717538.4199999999</v>
      </c>
    </row>
    <row r="43" spans="1:9" ht="26.25" x14ac:dyDescent="0.4">
      <c r="A43" s="738" t="s">
        <v>8532</v>
      </c>
      <c r="B43" s="739">
        <v>543932</v>
      </c>
      <c r="C43" s="739">
        <v>600000</v>
      </c>
      <c r="D43" s="739">
        <v>56068</v>
      </c>
      <c r="F43" s="291"/>
      <c r="G43" s="694"/>
      <c r="H43" s="694"/>
      <c r="I43" s="291"/>
    </row>
    <row r="44" spans="1:9" ht="26.25" x14ac:dyDescent="0.4">
      <c r="A44" s="738" t="s">
        <v>8077</v>
      </c>
      <c r="B44" s="739">
        <v>1657197</v>
      </c>
      <c r="C44" s="739">
        <v>2614743</v>
      </c>
      <c r="D44" s="739">
        <v>957546</v>
      </c>
      <c r="F44" s="291"/>
      <c r="G44" s="694"/>
      <c r="H44" s="694"/>
      <c r="I44" s="291"/>
    </row>
    <row r="45" spans="1:9" ht="26.25" x14ac:dyDescent="0.4">
      <c r="A45" s="738" t="s">
        <v>8339</v>
      </c>
      <c r="B45" s="739">
        <v>9756255</v>
      </c>
      <c r="C45" s="739">
        <v>14204081</v>
      </c>
      <c r="D45" s="739">
        <v>4489919</v>
      </c>
      <c r="F45" s="291"/>
      <c r="G45" s="694"/>
      <c r="H45" s="694"/>
      <c r="I45" s="291"/>
    </row>
    <row r="46" spans="1:9" ht="26.25" x14ac:dyDescent="0.4">
      <c r="A46" s="738" t="s">
        <v>7921</v>
      </c>
      <c r="B46" s="739">
        <v>19551392</v>
      </c>
      <c r="C46" s="739">
        <v>26037593</v>
      </c>
      <c r="D46" s="739">
        <v>6468201</v>
      </c>
      <c r="F46" s="291"/>
      <c r="G46" s="694"/>
      <c r="H46" s="694"/>
      <c r="I46" s="291"/>
    </row>
    <row r="47" spans="1:9" s="291" customFormat="1" ht="26.25" x14ac:dyDescent="0.4">
      <c r="A47" s="738" t="s">
        <v>8043</v>
      </c>
      <c r="B47" s="739">
        <v>20150378</v>
      </c>
      <c r="C47" s="739">
        <v>27909998</v>
      </c>
      <c r="D47" s="739">
        <v>7741620</v>
      </c>
      <c r="G47" s="694"/>
      <c r="H47" s="694"/>
    </row>
    <row r="48" spans="1:9" s="291" customFormat="1" ht="26.25" x14ac:dyDescent="0.4">
      <c r="A48" s="1132" t="s">
        <v>6508</v>
      </c>
      <c r="B48" s="1131">
        <v>2808804</v>
      </c>
      <c r="C48" s="1131">
        <v>4926982</v>
      </c>
      <c r="D48" s="1131">
        <v>2118178</v>
      </c>
      <c r="G48" s="694"/>
      <c r="H48" s="694"/>
    </row>
    <row r="49" spans="1:8" s="291" customFormat="1" ht="26.25" x14ac:dyDescent="0.4">
      <c r="A49" s="1132" t="s">
        <v>6511</v>
      </c>
      <c r="B49" s="1131">
        <v>7639492</v>
      </c>
      <c r="C49" s="1131">
        <v>10084653</v>
      </c>
      <c r="D49" s="1131">
        <v>2445161</v>
      </c>
      <c r="G49" s="694"/>
      <c r="H49" s="694"/>
    </row>
    <row r="50" spans="1:8" s="291" customFormat="1" ht="26.25" x14ac:dyDescent="0.4">
      <c r="A50" s="1132" t="s">
        <v>7126</v>
      </c>
      <c r="B50" s="1131">
        <v>2367767</v>
      </c>
      <c r="C50" s="1131">
        <v>2395416</v>
      </c>
      <c r="D50" s="1131">
        <v>27649</v>
      </c>
      <c r="G50" s="694"/>
      <c r="H50" s="694"/>
    </row>
    <row r="51" spans="1:8" s="291" customFormat="1" ht="26.25" x14ac:dyDescent="0.4">
      <c r="A51" s="1132" t="s">
        <v>6408</v>
      </c>
      <c r="B51" s="1131">
        <v>4913171.2258064514</v>
      </c>
      <c r="C51" s="1131">
        <v>4645812</v>
      </c>
      <c r="D51" s="1131">
        <v>-209739.22580645164</v>
      </c>
      <c r="G51" s="694"/>
      <c r="H51" s="694"/>
    </row>
    <row r="52" spans="1:8" s="291" customFormat="1" ht="26.25" x14ac:dyDescent="0.4">
      <c r="A52" s="1132" t="s">
        <v>18</v>
      </c>
      <c r="B52" s="1131">
        <v>2373025.1605222733</v>
      </c>
      <c r="C52" s="1131">
        <v>3796750</v>
      </c>
      <c r="D52" s="1131">
        <v>1433724.8394777267</v>
      </c>
      <c r="G52" s="694"/>
      <c r="H52" s="694"/>
    </row>
    <row r="53" spans="1:8" s="291" customFormat="1" ht="26.25" x14ac:dyDescent="0.4">
      <c r="A53" s="1132" t="s">
        <v>7953</v>
      </c>
      <c r="B53" s="1131">
        <v>4397458</v>
      </c>
      <c r="C53" s="1131">
        <v>6566988</v>
      </c>
      <c r="D53" s="1131">
        <v>2169530</v>
      </c>
      <c r="G53" s="694"/>
      <c r="H53" s="694"/>
    </row>
    <row r="54" spans="1:8" s="291" customFormat="1" ht="26.25" x14ac:dyDescent="0.4">
      <c r="A54" s="1132" t="s">
        <v>7817</v>
      </c>
      <c r="B54" s="1131">
        <v>781154</v>
      </c>
      <c r="C54" s="1131">
        <v>1300000</v>
      </c>
      <c r="D54" s="1131">
        <v>518846</v>
      </c>
      <c r="G54" s="694"/>
      <c r="H54" s="694"/>
    </row>
    <row r="55" spans="1:8" s="291" customFormat="1" ht="26.25" x14ac:dyDescent="0.4">
      <c r="A55" s="1132" t="s">
        <v>7732</v>
      </c>
      <c r="B55" s="1131">
        <v>428088.12903225806</v>
      </c>
      <c r="C55" s="1131">
        <v>730000</v>
      </c>
      <c r="D55" s="1131">
        <v>301911.87096774194</v>
      </c>
      <c r="G55" s="694"/>
      <c r="H55" s="694"/>
    </row>
    <row r="56" spans="1:8" s="291" customFormat="1" ht="26.25" x14ac:dyDescent="0.4">
      <c r="A56" s="1132" t="s">
        <v>4721</v>
      </c>
      <c r="B56" s="1131">
        <v>4198143.8588709673</v>
      </c>
      <c r="C56" s="1131">
        <v>15155996.9</v>
      </c>
      <c r="D56" s="1131">
        <v>10957853.041129032</v>
      </c>
      <c r="G56" s="694"/>
      <c r="H56" s="694"/>
    </row>
    <row r="57" spans="1:8" s="291" customFormat="1" ht="26.25" x14ac:dyDescent="0.4">
      <c r="A57" s="1132" t="s">
        <v>5811</v>
      </c>
      <c r="B57" s="1131">
        <v>3130611.7334869434</v>
      </c>
      <c r="C57" s="1131">
        <v>3500000</v>
      </c>
      <c r="D57" s="1131">
        <v>369388.26651305659</v>
      </c>
      <c r="G57" s="694"/>
      <c r="H57" s="694"/>
    </row>
    <row r="58" spans="1:8" s="291" customFormat="1" ht="26.25" x14ac:dyDescent="0.4">
      <c r="A58" s="1132" t="s">
        <v>3946</v>
      </c>
      <c r="B58" s="1131">
        <v>14916441.879108403</v>
      </c>
      <c r="C58" s="1131">
        <v>19365242</v>
      </c>
      <c r="D58" s="1131">
        <v>4466631.1208915981</v>
      </c>
      <c r="G58" s="694"/>
      <c r="H58" s="694"/>
    </row>
    <row r="59" spans="1:8" s="291" customFormat="1" ht="26.25" x14ac:dyDescent="0.4">
      <c r="A59" s="1132" t="s">
        <v>3945</v>
      </c>
      <c r="B59" s="1131">
        <v>9551464.6718212012</v>
      </c>
      <c r="C59" s="1131">
        <v>15445913</v>
      </c>
      <c r="D59" s="1131">
        <v>5897827.3604368633</v>
      </c>
      <c r="G59" s="694"/>
      <c r="H59" s="694"/>
    </row>
    <row r="60" spans="1:8" s="291" customFormat="1" ht="26.25" x14ac:dyDescent="0.4">
      <c r="A60" s="1132" t="s">
        <v>6103</v>
      </c>
      <c r="B60" s="1131">
        <v>289848</v>
      </c>
      <c r="C60" s="1131">
        <v>1337000</v>
      </c>
      <c r="D60" s="1131">
        <v>1047152</v>
      </c>
      <c r="G60" s="694"/>
      <c r="H60" s="694"/>
    </row>
    <row r="61" spans="1:8" s="291" customFormat="1" ht="26.25" x14ac:dyDescent="0.4">
      <c r="A61" s="1132" t="s">
        <v>1400</v>
      </c>
      <c r="B61" s="1131">
        <v>114510981.94410785</v>
      </c>
      <c r="C61" s="1131">
        <v>130502260.09999999</v>
      </c>
      <c r="D61" s="1131">
        <v>16037003.15589213</v>
      </c>
      <c r="G61" s="694"/>
      <c r="H61" s="694"/>
    </row>
    <row r="62" spans="1:8" s="291" customFormat="1" ht="26.25" x14ac:dyDescent="0.4">
      <c r="A62" s="1132" t="s">
        <v>2933</v>
      </c>
      <c r="B62" s="1131">
        <v>97556794.74362056</v>
      </c>
      <c r="C62" s="1131">
        <v>137552234</v>
      </c>
      <c r="D62" s="1131">
        <v>39998531.25637947</v>
      </c>
      <c r="G62" s="694"/>
      <c r="H62" s="694"/>
    </row>
    <row r="63" spans="1:8" s="291" customFormat="1" ht="26.25" x14ac:dyDescent="0.4">
      <c r="A63" s="1132" t="s">
        <v>7657</v>
      </c>
      <c r="B63" s="1131">
        <v>2210566</v>
      </c>
      <c r="C63" s="1131">
        <v>2913264.51</v>
      </c>
      <c r="D63" s="1131">
        <v>702698.51</v>
      </c>
      <c r="G63" s="694"/>
      <c r="H63" s="694"/>
    </row>
    <row r="64" spans="1:8" s="291" customFormat="1" ht="26.25" x14ac:dyDescent="0.4">
      <c r="A64" s="1132" t="s">
        <v>7112</v>
      </c>
      <c r="B64" s="1131">
        <v>3206398.2150537632</v>
      </c>
      <c r="C64" s="1131">
        <v>3848397</v>
      </c>
      <c r="D64" s="1131">
        <v>641998.78494623653</v>
      </c>
      <c r="G64" s="694"/>
      <c r="H64" s="694"/>
    </row>
    <row r="65" spans="1:8" s="291" customFormat="1" ht="26.25" x14ac:dyDescent="0.4">
      <c r="A65" s="1132" t="s">
        <v>7067</v>
      </c>
      <c r="B65" s="1131">
        <v>18681972</v>
      </c>
      <c r="C65" s="1131">
        <v>24347604</v>
      </c>
      <c r="D65" s="1131">
        <v>5665632</v>
      </c>
      <c r="G65" s="694"/>
      <c r="H65" s="694"/>
    </row>
    <row r="66" spans="1:8" s="291" customFormat="1" ht="26.25" x14ac:dyDescent="0.4">
      <c r="A66" s="1132" t="s">
        <v>6505</v>
      </c>
      <c r="B66" s="1131">
        <v>5291119.9715821808</v>
      </c>
      <c r="C66" s="1131">
        <v>9568884</v>
      </c>
      <c r="D66" s="1131">
        <v>4302191.3617511522</v>
      </c>
      <c r="G66" s="694"/>
      <c r="H66" s="694"/>
    </row>
    <row r="67" spans="1:8" s="291" customFormat="1" ht="26.25" x14ac:dyDescent="0.4">
      <c r="A67" s="1132" t="s">
        <v>7555</v>
      </c>
      <c r="B67" s="1131">
        <v>2463913.4677419355</v>
      </c>
      <c r="C67" s="1131">
        <v>3410359</v>
      </c>
      <c r="D67" s="1131">
        <v>946445.53225806449</v>
      </c>
      <c r="G67" s="694"/>
      <c r="H67" s="694"/>
    </row>
    <row r="68" spans="1:8" s="291" customFormat="1" ht="26.25" x14ac:dyDescent="0.4">
      <c r="A68" s="1132" t="s">
        <v>6953</v>
      </c>
      <c r="B68" s="1131">
        <v>3524112</v>
      </c>
      <c r="C68" s="1131">
        <v>4875776</v>
      </c>
      <c r="D68" s="1131">
        <v>1351664</v>
      </c>
      <c r="G68" s="694"/>
      <c r="H68" s="694"/>
    </row>
    <row r="69" spans="1:8" s="291" customFormat="1" ht="26.25" x14ac:dyDescent="0.4">
      <c r="A69" s="1132" t="s">
        <v>6647</v>
      </c>
      <c r="B69" s="1131">
        <v>381763</v>
      </c>
      <c r="C69" s="1131">
        <v>448850</v>
      </c>
      <c r="D69" s="1131">
        <v>67087</v>
      </c>
      <c r="G69" s="694"/>
      <c r="H69" s="694"/>
    </row>
    <row r="70" spans="1:8" s="291" customFormat="1" ht="26.25" x14ac:dyDescent="0.4">
      <c r="A70" s="1132" t="s">
        <v>6518</v>
      </c>
      <c r="B70" s="1131">
        <v>11348698.623655912</v>
      </c>
      <c r="C70" s="1131">
        <v>13264500</v>
      </c>
      <c r="D70" s="1131">
        <v>1915801.3763440857</v>
      </c>
      <c r="G70" s="694"/>
      <c r="H70" s="694"/>
    </row>
    <row r="71" spans="1:8" s="291" customFormat="1" ht="26.25" x14ac:dyDescent="0.4">
      <c r="A71" s="1132" t="s">
        <v>2652</v>
      </c>
      <c r="B71" s="1131">
        <v>26687909.699682843</v>
      </c>
      <c r="C71" s="1131">
        <v>36731542</v>
      </c>
      <c r="D71" s="1131">
        <v>10068965.30031715</v>
      </c>
      <c r="G71" s="694"/>
      <c r="H71" s="694"/>
    </row>
    <row r="72" spans="1:8" s="291" customFormat="1" ht="26.25" x14ac:dyDescent="0.4">
      <c r="A72" s="1132" t="s">
        <v>5544</v>
      </c>
      <c r="B72" s="1131">
        <v>678790.36290322582</v>
      </c>
      <c r="C72" s="1131">
        <v>872151</v>
      </c>
      <c r="D72" s="1131">
        <v>193360.63709677418</v>
      </c>
      <c r="G72" s="694"/>
      <c r="H72" s="694"/>
    </row>
    <row r="73" spans="1:8" s="291" customFormat="1" ht="26.25" x14ac:dyDescent="0.4">
      <c r="A73" s="1132" t="s">
        <v>5641</v>
      </c>
      <c r="B73" s="1131">
        <v>2512284.75</v>
      </c>
      <c r="C73" s="1131">
        <v>3685007</v>
      </c>
      <c r="D73" s="1131">
        <v>1236944.25</v>
      </c>
      <c r="G73" s="694"/>
      <c r="H73" s="694"/>
    </row>
    <row r="74" spans="1:8" s="291" customFormat="1" ht="26.25" x14ac:dyDescent="0.4">
      <c r="A74" s="1132" t="s">
        <v>5052</v>
      </c>
      <c r="B74" s="1131">
        <v>4445446.3494623657</v>
      </c>
      <c r="C74" s="1131">
        <v>6341262</v>
      </c>
      <c r="D74" s="1131">
        <v>1895815.6505376345</v>
      </c>
      <c r="G74" s="694"/>
      <c r="H74" s="694"/>
    </row>
    <row r="75" spans="1:8" s="291" customFormat="1" ht="26.25" x14ac:dyDescent="0.4">
      <c r="A75" s="1132" t="s">
        <v>5617</v>
      </c>
      <c r="B75" s="1131">
        <v>1142182.75</v>
      </c>
      <c r="C75" s="1131">
        <v>2131308</v>
      </c>
      <c r="D75" s="1131">
        <v>989125.25</v>
      </c>
      <c r="G75" s="694"/>
      <c r="H75" s="694"/>
    </row>
    <row r="76" spans="1:8" s="291" customFormat="1" ht="26.25" x14ac:dyDescent="0.4">
      <c r="A76" s="1132" t="s">
        <v>82</v>
      </c>
      <c r="B76" s="1131">
        <v>4379244</v>
      </c>
      <c r="C76" s="1131">
        <v>10411961</v>
      </c>
      <c r="D76" s="1131">
        <v>6032717</v>
      </c>
      <c r="G76" s="694"/>
      <c r="H76" s="694"/>
    </row>
    <row r="77" spans="1:8" s="291" customFormat="1" ht="26.25" x14ac:dyDescent="0.4">
      <c r="A77" s="1132" t="s">
        <v>154</v>
      </c>
      <c r="B77" s="1131">
        <v>6704728</v>
      </c>
      <c r="C77" s="1131">
        <v>10075309</v>
      </c>
      <c r="D77" s="1131">
        <v>3380173</v>
      </c>
      <c r="G77" s="694"/>
      <c r="H77" s="694"/>
    </row>
    <row r="78" spans="1:8" s="291" customFormat="1" ht="26.25" x14ac:dyDescent="0.4">
      <c r="A78" s="1132" t="s">
        <v>2094</v>
      </c>
      <c r="B78" s="1131">
        <v>5185502.0489631332</v>
      </c>
      <c r="C78" s="1131">
        <v>6644055</v>
      </c>
      <c r="D78" s="1131">
        <v>1458552.9510368668</v>
      </c>
      <c r="G78" s="694"/>
      <c r="H78" s="694"/>
    </row>
    <row r="79" spans="1:8" s="291" customFormat="1" ht="26.25" x14ac:dyDescent="0.4">
      <c r="A79" s="1132" t="s">
        <v>2787</v>
      </c>
      <c r="B79" s="1131">
        <v>45546316.695372485</v>
      </c>
      <c r="C79" s="1131">
        <v>60651110</v>
      </c>
      <c r="D79" s="1131">
        <v>15104793.304627493</v>
      </c>
      <c r="G79" s="694"/>
      <c r="H79" s="694"/>
    </row>
    <row r="80" spans="1:8" s="291" customFormat="1" ht="26.25" x14ac:dyDescent="0.4">
      <c r="A80" s="1132" t="s">
        <v>2548</v>
      </c>
      <c r="B80" s="1131">
        <v>1543068.4838709678</v>
      </c>
      <c r="C80" s="1131">
        <v>2378225</v>
      </c>
      <c r="D80" s="1131">
        <v>835156.51612903224</v>
      </c>
      <c r="G80" s="694"/>
      <c r="H80" s="694"/>
    </row>
    <row r="81" spans="1:8" s="291" customFormat="1" ht="26.25" x14ac:dyDescent="0.4">
      <c r="A81" s="1132" t="s">
        <v>75</v>
      </c>
      <c r="B81" s="1131">
        <v>2419632</v>
      </c>
      <c r="C81" s="1131"/>
      <c r="D81" s="1131">
        <v>-2419632</v>
      </c>
      <c r="G81" s="694"/>
      <c r="H81" s="694"/>
    </row>
    <row r="82" spans="1:8" s="291" customFormat="1" ht="26.25" x14ac:dyDescent="0.4">
      <c r="A82" s="1132" t="s">
        <v>1493</v>
      </c>
      <c r="B82" s="1131">
        <v>1943741.4677419357</v>
      </c>
      <c r="C82" s="1131">
        <v>3015886</v>
      </c>
      <c r="D82" s="1131">
        <v>1072144.5322580645</v>
      </c>
      <c r="G82" s="694"/>
      <c r="H82" s="694"/>
    </row>
    <row r="83" spans="1:8" s="291" customFormat="1" ht="26.25" x14ac:dyDescent="0.4">
      <c r="A83" s="1132" t="s">
        <v>37</v>
      </c>
      <c r="B83" s="1131">
        <v>15896524.490161026</v>
      </c>
      <c r="C83" s="1131">
        <v>23729314</v>
      </c>
      <c r="D83" s="1131">
        <v>7823442.0636024121</v>
      </c>
      <c r="G83" s="694"/>
      <c r="H83" s="694"/>
    </row>
    <row r="84" spans="1:8" s="291" customFormat="1" ht="26.25" x14ac:dyDescent="0.4">
      <c r="A84" s="1132" t="s">
        <v>11</v>
      </c>
      <c r="B84" s="1131">
        <v>1892653.2044930877</v>
      </c>
      <c r="C84" s="1131">
        <v>1656000</v>
      </c>
      <c r="D84" s="1131">
        <v>-241653.20449308754</v>
      </c>
      <c r="G84" s="694"/>
      <c r="H84" s="694"/>
    </row>
    <row r="85" spans="1:8" s="291" customFormat="1" ht="26.25" x14ac:dyDescent="0.4">
      <c r="A85" s="1132" t="s">
        <v>25</v>
      </c>
      <c r="B85" s="1131">
        <v>18745375.887096774</v>
      </c>
      <c r="C85" s="1131"/>
      <c r="D85" s="1131">
        <v>-18735375.887096774</v>
      </c>
      <c r="G85" s="694"/>
      <c r="H85" s="694"/>
    </row>
    <row r="86" spans="1:8" s="291" customFormat="1" ht="26.25" x14ac:dyDescent="0.4">
      <c r="A86" s="1132" t="s">
        <v>14</v>
      </c>
      <c r="B86" s="1131">
        <v>1143402</v>
      </c>
      <c r="C86" s="1131">
        <v>1572705</v>
      </c>
      <c r="D86" s="1131">
        <v>429303</v>
      </c>
      <c r="G86" s="694"/>
      <c r="H86" s="694"/>
    </row>
    <row r="87" spans="1:8" s="291" customFormat="1" ht="26.25" x14ac:dyDescent="0.4">
      <c r="A87" s="1132" t="s">
        <v>1691</v>
      </c>
      <c r="B87" s="1131">
        <v>1698566</v>
      </c>
      <c r="C87" s="1131"/>
      <c r="D87" s="1131">
        <v>-1698566</v>
      </c>
      <c r="G87" s="694"/>
      <c r="H87" s="694"/>
    </row>
    <row r="88" spans="1:8" s="291" customFormat="1" ht="26.25" x14ac:dyDescent="0.4">
      <c r="A88" s="1132" t="s">
        <v>16</v>
      </c>
      <c r="B88" s="1131">
        <v>23123224.691530842</v>
      </c>
      <c r="C88" s="1131">
        <v>50000</v>
      </c>
      <c r="D88" s="1131">
        <v>-23073265.885079227</v>
      </c>
      <c r="G88" s="694"/>
      <c r="H88" s="694"/>
    </row>
    <row r="89" spans="1:8" s="291" customFormat="1" ht="26.25" x14ac:dyDescent="0.4">
      <c r="A89" s="1132" t="s">
        <v>22</v>
      </c>
      <c r="B89" s="1131">
        <v>721543</v>
      </c>
      <c r="C89" s="1131">
        <v>1000426</v>
      </c>
      <c r="D89" s="1131">
        <v>278883</v>
      </c>
      <c r="G89" s="694"/>
      <c r="H89" s="694"/>
    </row>
    <row r="90" spans="1:8" s="291" customFormat="1" ht="26.25" x14ac:dyDescent="0.4">
      <c r="A90" s="1132" t="s">
        <v>2657</v>
      </c>
      <c r="B90" s="1131">
        <v>1632291.6774193549</v>
      </c>
      <c r="C90" s="1131">
        <v>3056239</v>
      </c>
      <c r="D90" s="1131">
        <v>1423947.3225806453</v>
      </c>
      <c r="G90" s="694"/>
      <c r="H90" s="694"/>
    </row>
    <row r="91" spans="1:8" s="291" customFormat="1" ht="26.25" x14ac:dyDescent="0.4">
      <c r="A91" s="1132" t="s">
        <v>5165</v>
      </c>
      <c r="B91" s="1131"/>
      <c r="C91" s="1131">
        <v>485141</v>
      </c>
      <c r="D91" s="1131">
        <v>485141</v>
      </c>
      <c r="G91" s="694"/>
      <c r="H91" s="694"/>
    </row>
    <row r="92" spans="1:8" s="291" customFormat="1" ht="26.25" x14ac:dyDescent="0.4">
      <c r="A92" s="1132" t="s">
        <v>6635</v>
      </c>
      <c r="B92" s="1131">
        <v>631720</v>
      </c>
      <c r="C92" s="1131">
        <v>1000000</v>
      </c>
      <c r="D92" s="1131">
        <v>368280</v>
      </c>
      <c r="G92" s="694"/>
      <c r="H92" s="694"/>
    </row>
    <row r="93" spans="1:8" s="291" customFormat="1" ht="26.25" x14ac:dyDescent="0.4">
      <c r="A93" s="1132" t="s">
        <v>6516</v>
      </c>
      <c r="B93" s="1131">
        <v>4971444.0025458178</v>
      </c>
      <c r="C93" s="1131">
        <v>7995733</v>
      </c>
      <c r="D93" s="1131">
        <v>3024288.9974541827</v>
      </c>
      <c r="G93" s="694"/>
      <c r="H93" s="694"/>
    </row>
    <row r="94" spans="1:8" s="291" customFormat="1" ht="26.25" x14ac:dyDescent="0.4">
      <c r="A94" s="1132" t="s">
        <v>6447</v>
      </c>
      <c r="B94" s="1131">
        <v>550023</v>
      </c>
      <c r="C94" s="1131">
        <v>1100470</v>
      </c>
      <c r="D94" s="1131">
        <v>550447</v>
      </c>
      <c r="G94" s="694"/>
      <c r="H94" s="694"/>
    </row>
    <row r="95" spans="1:8" s="291" customFormat="1" ht="26.25" x14ac:dyDescent="0.4">
      <c r="A95" s="1132" t="s">
        <v>5746</v>
      </c>
      <c r="B95" s="1131">
        <v>735045</v>
      </c>
      <c r="C95" s="1131">
        <v>1058484</v>
      </c>
      <c r="D95" s="1131">
        <v>323439</v>
      </c>
      <c r="G95" s="694"/>
      <c r="H95" s="694"/>
    </row>
    <row r="96" spans="1:8" s="291" customFormat="1" ht="26.25" x14ac:dyDescent="0.4">
      <c r="A96" s="1132" t="s">
        <v>5671</v>
      </c>
      <c r="B96" s="1131">
        <v>271826</v>
      </c>
      <c r="C96" s="1131">
        <v>563000</v>
      </c>
      <c r="D96" s="1131">
        <v>291174</v>
      </c>
      <c r="G96" s="694"/>
      <c r="H96" s="694"/>
    </row>
    <row r="97" spans="1:9" s="291" customFormat="1" ht="26.25" x14ac:dyDescent="0.4">
      <c r="A97" s="1132" t="s">
        <v>7764</v>
      </c>
      <c r="B97" s="1131"/>
      <c r="C97" s="1131">
        <v>64507</v>
      </c>
      <c r="D97" s="1131">
        <v>64507</v>
      </c>
      <c r="G97" s="694"/>
      <c r="H97" s="694"/>
    </row>
    <row r="98" spans="1:9" s="291" customFormat="1" ht="26.25" x14ac:dyDescent="0.4">
      <c r="A98" s="1132" t="s">
        <v>40</v>
      </c>
      <c r="B98" s="1131">
        <v>51386165.801987335</v>
      </c>
      <c r="C98" s="1131">
        <v>69560627</v>
      </c>
      <c r="D98" s="1131">
        <v>18225961.198012669</v>
      </c>
      <c r="F98" s="4"/>
      <c r="G98" s="245"/>
      <c r="H98" s="245"/>
      <c r="I98" s="4"/>
    </row>
    <row r="99" spans="1:9" s="291" customFormat="1" ht="26.25" x14ac:dyDescent="0.4">
      <c r="A99" s="1132" t="s">
        <v>5227</v>
      </c>
      <c r="B99" s="1131">
        <v>1808575</v>
      </c>
      <c r="C99" s="1131">
        <v>2875708</v>
      </c>
      <c r="D99" s="1131">
        <v>1067133</v>
      </c>
      <c r="F99" s="4"/>
      <c r="G99" s="245"/>
      <c r="H99" s="245"/>
      <c r="I99" s="4"/>
    </row>
    <row r="100" spans="1:9" s="291" customFormat="1" ht="26.25" x14ac:dyDescent="0.4">
      <c r="A100" s="1132" t="s">
        <v>3622</v>
      </c>
      <c r="B100" s="1131">
        <v>7385548</v>
      </c>
      <c r="C100" s="1131">
        <v>12071334</v>
      </c>
      <c r="D100" s="1131">
        <v>4685786</v>
      </c>
      <c r="F100" s="4"/>
      <c r="G100" s="245"/>
      <c r="H100" s="245"/>
      <c r="I100" s="4"/>
    </row>
    <row r="101" spans="1:9" s="291" customFormat="1" ht="26.25" x14ac:dyDescent="0.4">
      <c r="A101" s="1132" t="s">
        <v>3733</v>
      </c>
      <c r="B101" s="1131">
        <v>5642256.6693548393</v>
      </c>
      <c r="C101" s="1131">
        <v>6215763</v>
      </c>
      <c r="D101" s="1131">
        <v>573506.33064516122</v>
      </c>
      <c r="F101" s="4"/>
      <c r="G101" s="245"/>
      <c r="H101" s="245"/>
      <c r="I101" s="4"/>
    </row>
    <row r="102" spans="1:9" ht="26.25" x14ac:dyDescent="0.4">
      <c r="A102" s="1132" t="s">
        <v>8828</v>
      </c>
      <c r="B102" s="1131">
        <v>785021</v>
      </c>
      <c r="C102" s="1131">
        <v>690021</v>
      </c>
      <c r="D102" s="1131">
        <v>-95000</v>
      </c>
    </row>
    <row r="103" spans="1:9" ht="26.25" x14ac:dyDescent="0.4">
      <c r="A103" s="1132" t="s">
        <v>8891</v>
      </c>
      <c r="B103" s="1131">
        <v>84014</v>
      </c>
      <c r="C103" s="1131">
        <v>88818</v>
      </c>
      <c r="D103" s="1131">
        <v>4804</v>
      </c>
    </row>
    <row r="104" spans="1:9" ht="26.25" x14ac:dyDescent="0.4">
      <c r="A104" s="1132" t="s">
        <v>9515</v>
      </c>
      <c r="B104" s="1131">
        <v>332250</v>
      </c>
      <c r="C104" s="1131"/>
      <c r="D104" s="1131">
        <v>-332250</v>
      </c>
    </row>
    <row r="105" spans="1:9" ht="26.25" x14ac:dyDescent="0.4">
      <c r="A105" s="1132" t="s">
        <v>10373</v>
      </c>
      <c r="B105" s="1131">
        <v>25000</v>
      </c>
      <c r="C105" s="1131"/>
      <c r="D105" s="1131">
        <v>-25000</v>
      </c>
    </row>
    <row r="106" spans="1:9" ht="26.25" x14ac:dyDescent="0.4">
      <c r="A106" s="1129" t="s">
        <v>10363</v>
      </c>
      <c r="B106" s="1131">
        <v>103300</v>
      </c>
      <c r="C106" s="1131"/>
      <c r="D106" s="1131">
        <v>-103300</v>
      </c>
    </row>
    <row r="107" spans="1:9" ht="26.25" x14ac:dyDescent="0.4">
      <c r="A107" s="1132" t="s">
        <v>11625</v>
      </c>
      <c r="B107" s="1131">
        <v>92210</v>
      </c>
      <c r="C107" s="1131">
        <v>112665</v>
      </c>
      <c r="D107" s="1131">
        <v>20455</v>
      </c>
    </row>
    <row r="108" spans="1:9" ht="26.25" x14ac:dyDescent="0.4">
      <c r="A108" s="1129" t="s">
        <v>12652</v>
      </c>
      <c r="B108" s="1131">
        <v>130680</v>
      </c>
      <c r="C108" s="1131"/>
      <c r="D108" s="1131">
        <v>-130680</v>
      </c>
    </row>
    <row r="109" spans="1:9" ht="26.25" x14ac:dyDescent="0.4">
      <c r="A109" s="1129" t="s">
        <v>11716</v>
      </c>
      <c r="B109" s="1131">
        <v>56173</v>
      </c>
      <c r="C109" s="1131"/>
      <c r="D109" s="1131">
        <v>-56173</v>
      </c>
    </row>
    <row r="110" spans="1:9" ht="26.25" x14ac:dyDescent="0.4">
      <c r="A110" s="1129" t="s">
        <v>12455</v>
      </c>
      <c r="B110" s="1131">
        <v>20900</v>
      </c>
      <c r="C110" s="1131"/>
      <c r="D110" s="1131">
        <v>-20900</v>
      </c>
    </row>
    <row r="111" spans="1:9" ht="26.25" x14ac:dyDescent="0.4">
      <c r="A111" s="1129" t="s">
        <v>12717</v>
      </c>
      <c r="B111" s="1131">
        <v>5000</v>
      </c>
      <c r="C111" s="1131"/>
      <c r="D111" s="1131">
        <v>-5000</v>
      </c>
    </row>
    <row r="112" spans="1:9" ht="26.25" x14ac:dyDescent="0.4">
      <c r="A112" s="1130" t="s">
        <v>5410</v>
      </c>
      <c r="B112" s="1131">
        <v>5000</v>
      </c>
      <c r="C112" s="1131"/>
      <c r="D112" s="1131">
        <v>-5000</v>
      </c>
    </row>
    <row r="113" spans="1:4" ht="26.25" x14ac:dyDescent="0.4">
      <c r="A113" s="1129" t="s">
        <v>12699</v>
      </c>
      <c r="B113" s="1131">
        <v>195480</v>
      </c>
      <c r="C113" s="1131"/>
      <c r="D113" s="1131">
        <v>-195480</v>
      </c>
    </row>
    <row r="114" spans="1:4" ht="26.25" x14ac:dyDescent="0.4">
      <c r="A114" s="1130" t="s">
        <v>286</v>
      </c>
      <c r="B114" s="1131">
        <v>500</v>
      </c>
      <c r="C114" s="1131"/>
      <c r="D114" s="1131">
        <v>-500</v>
      </c>
    </row>
    <row r="115" spans="1:4" ht="26.25" x14ac:dyDescent="0.4">
      <c r="A115" s="1130" t="s">
        <v>3145</v>
      </c>
      <c r="B115" s="1131">
        <v>182980</v>
      </c>
      <c r="C115" s="1131"/>
      <c r="D115" s="1131">
        <v>-182980</v>
      </c>
    </row>
    <row r="116" spans="1:4" ht="26.25" x14ac:dyDescent="0.4">
      <c r="A116" s="1130" t="s">
        <v>5741</v>
      </c>
      <c r="B116" s="1131">
        <v>2000</v>
      </c>
      <c r="C116" s="1131"/>
      <c r="D116" s="1131">
        <v>-2000</v>
      </c>
    </row>
    <row r="117" spans="1:4" ht="26.25" x14ac:dyDescent="0.4">
      <c r="A117" s="1130" t="s">
        <v>11560</v>
      </c>
      <c r="B117" s="1131">
        <v>10000</v>
      </c>
      <c r="C117" s="1131"/>
      <c r="D117" s="1131">
        <v>-10000</v>
      </c>
    </row>
    <row r="118" spans="1:4" ht="26.25" x14ac:dyDescent="0.4">
      <c r="A118" s="1129" t="s">
        <v>12714</v>
      </c>
      <c r="B118" s="1131">
        <v>1071000</v>
      </c>
      <c r="C118" s="1131"/>
      <c r="D118" s="1131">
        <v>-1071000</v>
      </c>
    </row>
    <row r="119" spans="1:4" ht="26.25" x14ac:dyDescent="0.4">
      <c r="A119" s="1130" t="s">
        <v>12715</v>
      </c>
      <c r="B119" s="1131">
        <v>1071000</v>
      </c>
      <c r="C119" s="1131"/>
      <c r="D119" s="1131">
        <v>-1071000</v>
      </c>
    </row>
    <row r="120" spans="1:4" ht="26.25" x14ac:dyDescent="0.4">
      <c r="A120" s="1129" t="s">
        <v>12727</v>
      </c>
      <c r="B120" s="1131">
        <v>550</v>
      </c>
      <c r="C120" s="1131"/>
      <c r="D120" s="1131">
        <v>-550</v>
      </c>
    </row>
    <row r="121" spans="1:4" ht="26.25" x14ac:dyDescent="0.4">
      <c r="A121" s="1130" t="s">
        <v>5741</v>
      </c>
      <c r="B121" s="1131">
        <v>550</v>
      </c>
      <c r="C121" s="1131"/>
      <c r="D121" s="1131">
        <v>-550</v>
      </c>
    </row>
    <row r="122" spans="1:4" ht="26.25" x14ac:dyDescent="0.4">
      <c r="A122" s="1132" t="s">
        <v>45</v>
      </c>
      <c r="B122" s="1131">
        <v>887666959.65736759</v>
      </c>
      <c r="C122" s="1131">
        <v>1117383128.9299998</v>
      </c>
      <c r="D122" s="1131">
        <v>230002195.99843895</v>
      </c>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3"/>
  <sheetViews>
    <sheetView workbookViewId="0">
      <pane ySplit="1" topLeftCell="A2" activePane="bottomLeft" state="frozen"/>
      <selection pane="bottomLeft" activeCell="A11" sqref="A11"/>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48" t="s">
        <v>10901</v>
      </c>
      <c r="C2" s="1028">
        <v>47002950</v>
      </c>
      <c r="D2" s="1028">
        <f>C2*5%</f>
        <v>2350147.5</v>
      </c>
      <c r="E2" s="1028">
        <f>C2-D2</f>
        <v>44652802.5</v>
      </c>
      <c r="F2" s="1044"/>
      <c r="G2" s="1064">
        <f ca="1">SUMIF(Posting!$B:$E,A2,Posting!$E:$E)</f>
        <v>19606013.333333336</v>
      </c>
      <c r="H2" s="1065">
        <f ca="1">SUMIF(Posting!$B:$F,A2,Posting!$F:$F)</f>
        <v>31092766</v>
      </c>
      <c r="I2" s="1064">
        <f ca="1">SUMIF(Supplier!$B:$F,A2,Supplier!$E:$E)-SUMIF(Supplier!$B:$F,A2,Supplier!$F:$F)</f>
        <v>296686</v>
      </c>
      <c r="J2" s="1064">
        <v>30787947.325000003</v>
      </c>
      <c r="K2" s="1064"/>
      <c r="L2" s="1064"/>
      <c r="M2" s="1065">
        <f ca="1">J2+K2-H2-L2</f>
        <v>-304818.67499999702</v>
      </c>
    </row>
    <row r="3" spans="1:16" x14ac:dyDescent="0.25">
      <c r="A3" s="940" t="s">
        <v>10144</v>
      </c>
      <c r="B3" s="1148"/>
      <c r="C3" s="1021">
        <v>9767572.5</v>
      </c>
      <c r="D3" s="1021">
        <v>0</v>
      </c>
      <c r="E3" s="1021">
        <f t="shared" ref="E3:E51" si="0">C3-D3</f>
        <v>9767572.5</v>
      </c>
      <c r="F3" s="1040"/>
      <c r="G3" s="1022">
        <f ca="1">SUMIF(Posting!$B:$E,A3,Posting!$E:$E)</f>
        <v>6833762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48"/>
      <c r="C4" s="1021">
        <v>8741941</v>
      </c>
      <c r="D4" s="1021"/>
      <c r="E4" s="1021">
        <f t="shared" si="0"/>
        <v>8741941</v>
      </c>
      <c r="F4" s="1041"/>
      <c r="G4" s="1022">
        <f ca="1">SUMIF(Posting!$B:$E,A4,Posting!$E:$E)</f>
        <v>8346073.5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48"/>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48"/>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48"/>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49"/>
      <c r="C8" s="1025">
        <v>78840000</v>
      </c>
      <c r="D8" s="1025">
        <v>11384496</v>
      </c>
      <c r="E8" s="1025">
        <f t="shared" si="0"/>
        <v>67455504</v>
      </c>
      <c r="F8" s="1043"/>
      <c r="G8" s="1022">
        <f ca="1">SUMIF(Posting!$B:$E,A8,Posting!$E:$E)</f>
        <v>23796095</v>
      </c>
      <c r="H8" s="1026">
        <f ca="1">SUMIF(Posting!$B:$F,A8,Posting!$F:$F)</f>
        <v>19830000</v>
      </c>
      <c r="I8" s="1022">
        <f ca="1">SUMIF(Supplier!$B:$F,A8,Supplier!$E:$E)-SUMIF(Supplier!$B:$F,A8,Supplier!$F:$F)</f>
        <v>1210943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12533</v>
      </c>
      <c r="B10" s="1148" t="s">
        <v>10902</v>
      </c>
      <c r="C10" s="1019">
        <v>13262828</v>
      </c>
      <c r="D10" s="1019"/>
      <c r="E10" s="1019">
        <f t="shared" ref="E10" si="1">C10-D10</f>
        <v>13262828</v>
      </c>
      <c r="F10" s="1039"/>
      <c r="G10" s="1022">
        <f ca="1">SUMIF(Posting!$B:$E,A10,Posting!$E:$E)</f>
        <v>3582126</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12717</v>
      </c>
      <c r="B11" s="1148"/>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48"/>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48"/>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48"/>
      <c r="C14" s="1021"/>
      <c r="D14" s="1021"/>
      <c r="E14" s="1021"/>
      <c r="F14" s="1041"/>
      <c r="G14" s="1022">
        <f ca="1">SUMIF(Posting!$B:$E,A14,Posting!$E:$E)</f>
        <v>5695706</v>
      </c>
      <c r="H14" s="1022">
        <f ca="1">SUMIF(Posting!$B:$F,A14,Posting!$F:$F)</f>
        <v>5930062</v>
      </c>
      <c r="I14" s="1022">
        <f ca="1">SUMIF(Supplier!$B:$F,A14,Supplier!$E:$E)-SUMIF(Supplier!$B:$F,A14,Supplier!$F:$F)</f>
        <v>111994</v>
      </c>
      <c r="J14" s="1022">
        <v>5746832</v>
      </c>
      <c r="K14" s="1022"/>
      <c r="L14" s="1064"/>
      <c r="M14" s="1035">
        <f ca="1">J14-H14</f>
        <v>-183230</v>
      </c>
      <c r="N14" s="1045"/>
    </row>
    <row r="15" spans="1:16" s="4" customFormat="1" x14ac:dyDescent="0.3">
      <c r="A15" s="940" t="s">
        <v>12207</v>
      </c>
      <c r="B15" s="1148"/>
      <c r="C15" s="1021"/>
      <c r="D15" s="1021"/>
      <c r="E15" s="1021"/>
      <c r="F15" s="1041"/>
      <c r="G15" s="1022">
        <f ca="1">SUMIF(Posting!$B:$E,A15,Posting!$E:$E)</f>
        <v>2438745</v>
      </c>
      <c r="H15" s="1022">
        <f ca="1">SUMIF(Posting!$B:$F,A15,Posting!$F:$F)</f>
        <v>13975308</v>
      </c>
      <c r="I15" s="1022">
        <f ca="1">SUMIF(Supplier!$B:$F,A15,Supplier!$E:$E)-SUMIF(Supplier!$B:$F,A15,Supplier!$F:$F)</f>
        <v>1589525</v>
      </c>
      <c r="J15" s="1022"/>
      <c r="K15" s="1022"/>
      <c r="L15" s="1064"/>
      <c r="M15" s="1064"/>
      <c r="N15" s="1045"/>
    </row>
    <row r="16" spans="1:16" s="4" customFormat="1" x14ac:dyDescent="0.3">
      <c r="A16" s="940" t="s">
        <v>12247</v>
      </c>
      <c r="B16" s="1148"/>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48"/>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48"/>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48"/>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48"/>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48"/>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48"/>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48"/>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49"/>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50" t="s">
        <v>10903</v>
      </c>
      <c r="C26" s="1019">
        <v>28340413.5</v>
      </c>
      <c r="D26" s="1019"/>
      <c r="E26" s="1019">
        <f t="shared" si="0"/>
        <v>28340413.5</v>
      </c>
      <c r="F26" s="1039"/>
      <c r="G26" s="1022">
        <f ca="1">SUMIF(Posting!$B:$E,A26,Posting!$E:$E)</f>
        <v>23387666.833333332</v>
      </c>
      <c r="H26" s="1020">
        <f ca="1">SUMIF(Posting!$B:$F,A26,Posting!$F:$F)</f>
        <v>19140130</v>
      </c>
      <c r="I26" s="1022">
        <f ca="1">SUMIF(Supplier!$B:$F,A26,Supplier!$E:$E)-SUMIF(Supplier!$B:$F,A26,Supplier!$F:$F)</f>
        <v>167559</v>
      </c>
      <c r="J26" s="1022">
        <v>25423994.165999997</v>
      </c>
      <c r="K26" s="1022">
        <v>5940507.6512000002</v>
      </c>
      <c r="L26" s="1064"/>
      <c r="M26" s="1022">
        <f ca="1">J26+K26-H26-L26</f>
        <v>12224371.817199998</v>
      </c>
    </row>
    <row r="27" spans="1:13" s="4" customFormat="1" ht="19.5" thickBot="1" x14ac:dyDescent="0.35">
      <c r="A27" s="1095" t="s">
        <v>11716</v>
      </c>
      <c r="B27" s="1148"/>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51"/>
      <c r="C28" s="1025">
        <v>33854640.027999997</v>
      </c>
      <c r="D28" s="1025"/>
      <c r="E28" s="1025">
        <f t="shared" si="0"/>
        <v>33854640.027999997</v>
      </c>
      <c r="F28" s="1043"/>
      <c r="G28" s="1022">
        <f ca="1">SUMIF(Posting!$B:$E,A28,Posting!$E:$E)</f>
        <v>20527471.397849467</v>
      </c>
      <c r="H28" s="1026">
        <f ca="1">SUMIF(Posting!$B:$F,A28,Posting!$F:$F)</f>
        <v>27083716</v>
      </c>
      <c r="I28" s="1022">
        <f ca="1">SUMIF(Supplier!$B:$F,A28,Supplier!$E:$E)-SUMIF(Supplier!$B:$F,A28,Supplier!$F:$F)</f>
        <v>1266930.5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2754240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33647718.333333336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12628</v>
      </c>
      <c r="B36" s="1148"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12426</v>
      </c>
      <c r="B37" s="1148"/>
      <c r="C37" s="1021"/>
      <c r="D37" s="1021"/>
      <c r="E37" s="1021"/>
      <c r="F37" s="1041"/>
      <c r="G37" s="1022">
        <f ca="1">SUMIF(Posting!$B:$E,A37,Posting!$E:$E)</f>
        <v>13100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11897</v>
      </c>
      <c r="B38" s="1148"/>
      <c r="C38" s="1021"/>
      <c r="D38" s="1021"/>
      <c r="E38" s="1021"/>
      <c r="F38" s="1041"/>
      <c r="G38" s="1022">
        <f ca="1">SUMIF(Posting!$B:$E,A38,Posting!$E:$E)</f>
        <v>28329482</v>
      </c>
      <c r="H38" s="1026">
        <f ca="1">SUMIF(Posting!$B:$F,A38,Posting!$F:$F)</f>
        <v>32141680</v>
      </c>
      <c r="I38" s="1022">
        <f ca="1">SUMIF(Supplier!$B:$F,A38,Supplier!$E:$E)-SUMIF(Supplier!$B:$F,A38,Supplier!$F:$F)</f>
        <v>5898043</v>
      </c>
      <c r="J38" s="1022"/>
      <c r="K38" s="1022"/>
      <c r="L38" s="1022"/>
      <c r="M38" s="1022"/>
    </row>
    <row r="39" spans="1:201" s="4" customFormat="1" ht="19.5" thickBot="1" x14ac:dyDescent="0.35">
      <c r="A39" s="1103" t="s">
        <v>12626</v>
      </c>
      <c r="B39" s="1148"/>
      <c r="C39" s="1021"/>
      <c r="D39" s="1021"/>
      <c r="E39" s="1021"/>
      <c r="F39" s="1041"/>
      <c r="G39" s="1022">
        <f ca="1">SUMIF(Posting!$B:$E,A39,Posting!$E:$E)</f>
        <v>28650</v>
      </c>
      <c r="H39" s="1026">
        <f ca="1">SUMIF(Posting!$B:$F,A39,Posting!$F:$F)</f>
        <v>0</v>
      </c>
      <c r="I39" s="1022">
        <f ca="1">SUMIF(Supplier!$B:$F,A39,Supplier!$E:$E)-SUMIF(Supplier!$B:$F,A39,Supplier!$F:$F)</f>
        <v>0</v>
      </c>
      <c r="J39" s="1022"/>
      <c r="K39" s="1022"/>
      <c r="L39" s="1022"/>
      <c r="M39" s="1022"/>
    </row>
    <row r="40" spans="1:201" s="4" customFormat="1" ht="19.5" thickBot="1" x14ac:dyDescent="0.35">
      <c r="A40" s="1103" t="s">
        <v>11617</v>
      </c>
      <c r="B40" s="1148"/>
      <c r="C40" s="1021"/>
      <c r="D40" s="1021"/>
      <c r="E40" s="1021"/>
      <c r="F40" s="1041"/>
      <c r="G40" s="1022">
        <f ca="1">SUMIF(Posting!$B:$E,A40,Posting!$E:$E)</f>
        <v>3811277</v>
      </c>
      <c r="H40" s="1026">
        <f ca="1">SUMIF(Posting!$B:$F,A40,Posting!$F:$F)</f>
        <v>2600000</v>
      </c>
      <c r="I40" s="1022">
        <f ca="1">SUMIF(Supplier!$B:$F,A40,Supplier!$E:$E)-SUMIF(Supplier!$B:$F,A40,Supplier!$F:$F)</f>
        <v>136039</v>
      </c>
      <c r="J40" s="1022"/>
      <c r="K40" s="1022"/>
      <c r="L40" s="1022"/>
      <c r="M40" s="1022"/>
    </row>
    <row r="41" spans="1:201" s="4" customFormat="1" x14ac:dyDescent="0.3">
      <c r="A41" s="1103" t="s">
        <v>9661</v>
      </c>
      <c r="B41" s="1148"/>
      <c r="C41" s="1021">
        <v>19265070</v>
      </c>
      <c r="D41" s="1021"/>
      <c r="E41" s="1021">
        <f t="shared" si="0"/>
        <v>19265070</v>
      </c>
      <c r="F41" s="1041"/>
      <c r="G41" s="1022">
        <f ca="1">SUMIF(Posting!$B:$E,A41,Posting!$E:$E)</f>
        <v>4762390.9032258065</v>
      </c>
      <c r="H41" s="1022">
        <f ca="1">SUMIF(Posting!$B:$F,A41,Posting!$F:$F)</f>
        <v>10021233</v>
      </c>
      <c r="I41" s="1022">
        <f ca="1">SUMIF(Supplier!$B:$F,A41,Supplier!$E:$E)-SUMIF(Supplier!$B:$F,A41,Supplier!$F:$F)</f>
        <v>180880</v>
      </c>
      <c r="J41" s="1022">
        <v>12816794.375</v>
      </c>
      <c r="K41" s="1022">
        <v>594057.625</v>
      </c>
      <c r="L41" s="1022"/>
      <c r="M41" s="1022">
        <f t="shared" ref="M41:M48" ca="1" si="3">J41+K41-H41-L41</f>
        <v>3389619</v>
      </c>
    </row>
    <row r="42" spans="1:201" s="1029" customFormat="1" x14ac:dyDescent="0.3">
      <c r="A42" s="1103" t="s">
        <v>10338</v>
      </c>
      <c r="B42" s="1148"/>
      <c r="C42" s="1021"/>
      <c r="D42" s="1021"/>
      <c r="E42" s="1021">
        <f t="shared" si="0"/>
        <v>0</v>
      </c>
      <c r="F42" s="1041"/>
      <c r="G42" s="1022">
        <f ca="1">SUMIF(Posting!$B:$E,A42,Posting!$E:$E)</f>
        <v>5611655</v>
      </c>
      <c r="H42" s="1022">
        <f ca="1">SUMIF(Posting!$B:$F,A42,Posting!$F:$F)</f>
        <v>7705250</v>
      </c>
      <c r="I42" s="1022">
        <f ca="1">SUMIF(Supplier!$B:$F,A42,Supplier!$E:$E)-SUMIF(Supplier!$B:$F,A42,Supplier!$F:$F)</f>
        <v>4500</v>
      </c>
      <c r="J42" s="1022"/>
      <c r="K42" s="1022"/>
      <c r="L42" s="1022"/>
      <c r="M42" s="1022">
        <f t="shared" ca="1" si="3"/>
        <v>-7705250</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11446</v>
      </c>
      <c r="B43" s="1148"/>
      <c r="C43" s="1021"/>
      <c r="D43" s="1021"/>
      <c r="E43" s="1021"/>
      <c r="F43" s="1041"/>
      <c r="G43" s="1022">
        <f ca="1">SUMIF(Posting!$B:$E,A43,Posting!$E:$E)</f>
        <v>7365237</v>
      </c>
      <c r="H43" s="1022">
        <f ca="1">SUMIF(Posting!$B:$F,A43,Posting!$F:$F)</f>
        <v>9154145</v>
      </c>
      <c r="I43" s="1022">
        <f ca="1">SUMIF(Supplier!$B:$F,A43,Supplier!$E:$E)-SUMIF(Supplier!$B:$F,A43,Supplier!$F:$F)</f>
        <v>188300</v>
      </c>
      <c r="J43" s="1022"/>
      <c r="K43" s="1022"/>
      <c r="L43" s="1022"/>
      <c r="M43" s="1022">
        <f t="shared" ca="1" si="3"/>
        <v>-9154145</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9402</v>
      </c>
      <c r="B44" s="1148"/>
      <c r="C44" s="1021">
        <v>9435400</v>
      </c>
      <c r="D44" s="1021"/>
      <c r="E44" s="1021">
        <f t="shared" si="0"/>
        <v>9435400</v>
      </c>
      <c r="F44" s="1041"/>
      <c r="G44" s="1022">
        <f ca="1">SUMIF(Posting!$B:$E,A44,Posting!$E:$E)</f>
        <v>5033545.5483870972</v>
      </c>
      <c r="H44" s="1022">
        <f ca="1">SUMIF(Posting!$B:$F,A44,Posting!$F:$F)</f>
        <v>5502581</v>
      </c>
      <c r="I44" s="1022">
        <f ca="1">SUMIF(Supplier!$B:$F,A44,Supplier!$E:$E)-SUMIF(Supplier!$B:$F,A44,Supplier!$F:$F)</f>
        <v>288985</v>
      </c>
      <c r="J44" s="1022">
        <v>7544179.9950000001</v>
      </c>
      <c r="K44" s="1022">
        <v>1774042.2881999998</v>
      </c>
      <c r="L44" s="1022"/>
      <c r="M44" s="1022">
        <f t="shared" ca="1" si="3"/>
        <v>3815641.2831999995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8876</v>
      </c>
      <c r="B45" s="1148"/>
      <c r="C45" s="1021">
        <v>14110484</v>
      </c>
      <c r="D45" s="1021">
        <v>987733.88000000012</v>
      </c>
      <c r="E45" s="1021">
        <f t="shared" si="0"/>
        <v>13122750.119999999</v>
      </c>
      <c r="F45" s="1041"/>
      <c r="G45" s="1022">
        <f ca="1">SUMIF(Posting!$B:$E,A45,Posting!$E:$E)</f>
        <v>7906484.3548387093</v>
      </c>
      <c r="H45" s="1022">
        <f ca="1">SUMIF(Posting!$B:$F,A45,Posting!$F:$F)</f>
        <v>14475224</v>
      </c>
      <c r="I45" s="1022">
        <f ca="1">SUMIF(Supplier!$B:$F,A45,Supplier!$E:$E)-SUMIF(Supplier!$B:$F,A45,Supplier!$F:$F)</f>
        <v>91114</v>
      </c>
      <c r="J45" s="1022">
        <v>14003000</v>
      </c>
      <c r="K45" s="1022">
        <v>3154108</v>
      </c>
      <c r="L45" s="1022"/>
      <c r="M45" s="1022">
        <f t="shared" ca="1" si="3"/>
        <v>2681884</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9507</v>
      </c>
      <c r="B46" s="1148"/>
      <c r="C46" s="1021">
        <f>[4]Summary!$C$14</f>
        <v>7767350</v>
      </c>
      <c r="D46" s="1021"/>
      <c r="E46" s="1021">
        <f>C46-D46</f>
        <v>7767350</v>
      </c>
      <c r="F46" s="1041"/>
      <c r="G46" s="1022">
        <f ca="1">SUMIF(Posting!$B:$E,A46,Posting!$E:$E)</f>
        <v>2583814</v>
      </c>
      <c r="H46" s="1022">
        <f ca="1">SUMIF(Posting!$B:$F,A46,Posting!$F:$F)</f>
        <v>3185630</v>
      </c>
      <c r="I46" s="1022">
        <f ca="1">SUMIF(Supplier!$B:$F,A46,Supplier!$E:$E)-SUMIF(Supplier!$B:$F,A46,Supplier!$F:$F)</f>
        <v>0</v>
      </c>
      <c r="J46" s="1022">
        <v>4180000</v>
      </c>
      <c r="K46" s="1022">
        <v>657480</v>
      </c>
      <c r="L46" s="1022"/>
      <c r="M46" s="1022">
        <f t="shared" ca="1" si="3"/>
        <v>1651850</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7921</v>
      </c>
      <c r="B47" s="1148"/>
      <c r="C47" s="1021">
        <v>22948040</v>
      </c>
      <c r="D47" s="1021">
        <v>1445726.52</v>
      </c>
      <c r="E47" s="1021">
        <f t="shared" si="0"/>
        <v>21502313.48</v>
      </c>
      <c r="F47" s="1041"/>
      <c r="G47" s="1022">
        <f ca="1">SUMIF(Posting!$B:$E,A47,Posting!$E:$E)</f>
        <v>19551392</v>
      </c>
      <c r="H47" s="1022">
        <f ca="1">SUMIF(Posting!$B:$F,A47,Posting!$F:$F)</f>
        <v>26037593</v>
      </c>
      <c r="I47" s="1022">
        <f ca="1">SUMIF(Supplier!$B:$F,A47,Supplier!$E:$E)-SUMIF(Supplier!$B:$F,A47,Supplier!$F:$F)</f>
        <v>0</v>
      </c>
      <c r="J47" s="1022">
        <v>23740232.403525002</v>
      </c>
      <c r="K47" s="1022">
        <v>1010566</v>
      </c>
      <c r="L47" s="1022"/>
      <c r="M47" s="1022">
        <f t="shared" ca="1" si="3"/>
        <v>-1286794.5964749977</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8339</v>
      </c>
      <c r="B48" s="1148"/>
      <c r="C48" s="1021">
        <v>12161762</v>
      </c>
      <c r="D48" s="1021"/>
      <c r="E48" s="1021">
        <f t="shared" si="0"/>
        <v>12161762</v>
      </c>
      <c r="F48" s="1041"/>
      <c r="G48" s="1022">
        <f ca="1">SUMIF(Posting!$B:$E,A48,Posting!$E:$E)</f>
        <v>9756255</v>
      </c>
      <c r="H48" s="1022">
        <f ca="1">SUMIF(Posting!$B:$F,A48,Posting!$F:$F)</f>
        <v>14204081</v>
      </c>
      <c r="I48" s="1022">
        <f ca="1">SUMIF(Supplier!$B:$F,A48,Supplier!$E:$E)-SUMIF(Supplier!$B:$F,A48,Supplier!$F:$F)</f>
        <v>16040</v>
      </c>
      <c r="J48" s="1022">
        <v>13071783.779999999</v>
      </c>
      <c r="K48" s="1022">
        <v>1879882</v>
      </c>
      <c r="L48" s="1022"/>
      <c r="M48" s="1022">
        <f t="shared" ca="1" si="3"/>
        <v>747584.77999999933</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8043</v>
      </c>
      <c r="B49" s="1148"/>
      <c r="C49" s="1021">
        <v>24512695</v>
      </c>
      <c r="D49" s="1021"/>
      <c r="E49" s="1021">
        <f t="shared" si="0"/>
        <v>24512695</v>
      </c>
      <c r="F49" s="1041"/>
      <c r="G49" s="1022">
        <f ca="1">SUMIF(Posting!$B:$E,A49,Posting!$E:$E)</f>
        <v>20150378</v>
      </c>
      <c r="H49" s="1022">
        <f ca="1">SUMIF(Posting!$B:$F,A49,Posting!$F:$F)</f>
        <v>27909998</v>
      </c>
      <c r="I49" s="1022">
        <f ca="1">SUMIF(Supplier!$B:$F,A49,Supplier!$E:$E)-SUMIF(Supplier!$B:$F,A49,Supplier!$F:$F)</f>
        <v>0</v>
      </c>
      <c r="J49" s="1022">
        <v>27296624.739999998</v>
      </c>
      <c r="K49" s="1022">
        <v>3581218.75</v>
      </c>
      <c r="L49" s="1022"/>
      <c r="M49" s="1022" t="str">
        <f ca="1">IF(J49&gt;H49,J49+K49-H49,"Bill will be submitted")</f>
        <v>Bill will be submitted</v>
      </c>
      <c r="N49" s="1045"/>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11271</v>
      </c>
      <c r="B50" s="1148"/>
      <c r="C50" s="1021">
        <v>2273000</v>
      </c>
      <c r="D50" s="1021"/>
      <c r="E50" s="1021">
        <f t="shared" si="0"/>
        <v>2273000</v>
      </c>
      <c r="F50" s="1041"/>
      <c r="G50" s="1022">
        <f ca="1">SUMIF(Posting!$B:$E,A50,Posting!$E:$E)</f>
        <v>659316</v>
      </c>
      <c r="H50" s="1022">
        <f ca="1">SUMIF(Posting!$B:$F,A50,Posting!$F:$F)</f>
        <v>1300000</v>
      </c>
      <c r="I50" s="1022">
        <f ca="1">SUMIF(Supplier!$B:$F,A50,Supplier!$E:$E)-SUMIF(Supplier!$B:$F,A50,Supplier!$F:$F)</f>
        <v>0</v>
      </c>
      <c r="J50" s="1091">
        <v>2083000</v>
      </c>
      <c r="K50" s="1091"/>
      <c r="L50" s="1022"/>
      <c r="M50" s="1022">
        <f ca="1">IF(J50&gt;H50,J50+K50-H50,"Bill will be submitted")</f>
        <v>783000</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8868</v>
      </c>
      <c r="B51" s="1152"/>
      <c r="C51" s="1021">
        <v>3838450</v>
      </c>
      <c r="D51" s="1021">
        <v>188450</v>
      </c>
      <c r="E51" s="1021">
        <f t="shared" si="0"/>
        <v>3650000</v>
      </c>
      <c r="F51" s="1041"/>
      <c r="G51" s="1022">
        <f ca="1">SUMIF(Posting!$B:$E,A51,Posting!$E:$E)</f>
        <v>3511728</v>
      </c>
      <c r="H51" s="1022">
        <f ca="1">SUMIF(Posting!$B:$F,A51,Posting!$F:$F)</f>
        <v>3500000</v>
      </c>
      <c r="I51" s="1022">
        <f ca="1">SUMIF(Supplier!$B:$F,A51,Supplier!$E:$E)-SUMIF(Supplier!$B:$F,A51,Supplier!$F:$F)</f>
        <v>229776</v>
      </c>
      <c r="J51" s="1022">
        <v>3729145.2</v>
      </c>
      <c r="K51" s="1022">
        <v>1030055</v>
      </c>
      <c r="L51" s="1022"/>
      <c r="M51" s="1022">
        <f t="shared" ref="M51" ca="1" si="4">J51+K51-H51-L51</f>
        <v>1259200.2000000002</v>
      </c>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031"/>
      <c r="B52" s="1032"/>
      <c r="C52" s="1032"/>
      <c r="D52" s="1032"/>
      <c r="E52" s="1032"/>
      <c r="F52" s="1032"/>
      <c r="G52" s="1032"/>
      <c r="H52" s="1032"/>
      <c r="I52" s="314">
        <f ca="1">SUM(I2:I51)</f>
        <v>13349621.5</v>
      </c>
      <c r="J52" s="314">
        <f>SUM(J2:J51)</f>
        <v>210439331.30528498</v>
      </c>
      <c r="K52" s="314"/>
      <c r="L52" s="314"/>
      <c r="M52" s="314">
        <f ca="1">SUM(M2:M51)</f>
        <v>41829428.840935014</v>
      </c>
      <c r="N52" s="1045"/>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4"/>
      <c r="B53" s="245"/>
      <c r="C53" s="1033"/>
      <c r="D53" s="1033"/>
      <c r="E53" s="1033"/>
      <c r="F53" s="1033"/>
      <c r="G53" s="1033"/>
      <c r="H53" s="1033"/>
      <c r="I53" s="1033"/>
      <c r="J53" s="1033"/>
      <c r="K53" s="1033"/>
      <c r="L53" s="1033"/>
      <c r="M53" s="1033"/>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sheetData>
  <mergeCells count="4">
    <mergeCell ref="B2:B8"/>
    <mergeCell ref="B26:B28"/>
    <mergeCell ref="B36:B51"/>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12681</v>
      </c>
      <c r="C1" s="1123" t="s">
        <v>12683</v>
      </c>
      <c r="D1" s="1123" t="s">
        <v>12686</v>
      </c>
      <c r="E1" s="1117" t="s">
        <v>12682</v>
      </c>
      <c r="F1" s="1117" t="s">
        <v>12678</v>
      </c>
      <c r="G1" s="1122" t="s">
        <v>11020</v>
      </c>
      <c r="H1" s="1122" t="s">
        <v>12685</v>
      </c>
      <c r="I1" s="1116" t="s">
        <v>12679</v>
      </c>
      <c r="J1" s="1116" t="s">
        <v>12680</v>
      </c>
      <c r="K1" s="1116" t="s">
        <v>10900</v>
      </c>
      <c r="L1" s="1118" t="s">
        <v>11021</v>
      </c>
    </row>
    <row r="2" spans="1:200" s="4" customFormat="1" x14ac:dyDescent="0.3">
      <c r="A2" s="1103" t="s">
        <v>12628</v>
      </c>
      <c r="B2" s="1021">
        <v>5138700</v>
      </c>
      <c r="C2" s="1121" t="s">
        <v>12684</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12684</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32141680</v>
      </c>
      <c r="L4" s="1022">
        <v>0</v>
      </c>
    </row>
    <row r="5" spans="1:200" s="4" customFormat="1" x14ac:dyDescent="0.3">
      <c r="A5" s="1103" t="s">
        <v>12626</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9154145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5502581</v>
      </c>
      <c r="L10" s="1022">
        <f t="shared" ca="1" si="4"/>
        <v>3871151.3493439984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3500000</v>
      </c>
      <c r="L17" s="1022">
        <f t="shared" ca="1" si="4"/>
        <v>3779244.6980000008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20147118.6350815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40"/>
  <sheetViews>
    <sheetView zoomScale="120" zoomScaleNormal="120" workbookViewId="0">
      <pane ySplit="1" topLeftCell="A2" activePane="bottomLeft" state="frozen"/>
      <selection activeCell="D26" sqref="D26"/>
      <selection pane="bottomLeft" activeCell="A3553" activeCellId="2" sqref="A3474:XFD3474 A3475:XFD3475 A3553:XFD355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67" t="s">
        <v>519</v>
      </c>
    </row>
    <row r="53" spans="1:8" x14ac:dyDescent="0.25">
      <c r="A53" s="17">
        <v>42426</v>
      </c>
      <c r="B53" s="21" t="s">
        <v>129</v>
      </c>
      <c r="C53" s="13" t="s">
        <v>161</v>
      </c>
      <c r="D53" s="766"/>
      <c r="E53" s="22"/>
      <c r="F53" s="19">
        <v>60000</v>
      </c>
      <c r="G53" s="14">
        <f t="shared" si="4"/>
        <v>-60000</v>
      </c>
      <c r="H53" s="1167"/>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5" t="s">
        <v>518</v>
      </c>
    </row>
    <row r="65" spans="1:8" x14ac:dyDescent="0.25">
      <c r="A65" s="17">
        <v>42430</v>
      </c>
      <c r="B65" s="21" t="s">
        <v>40</v>
      </c>
      <c r="C65" s="13" t="s">
        <v>164</v>
      </c>
      <c r="D65" s="766">
        <v>8707</v>
      </c>
      <c r="E65" s="22">
        <v>9826</v>
      </c>
      <c r="F65" s="19"/>
      <c r="G65" s="14">
        <f t="shared" si="6"/>
        <v>9826</v>
      </c>
      <c r="H65" s="1155"/>
    </row>
    <row r="66" spans="1:8" x14ac:dyDescent="0.25">
      <c r="A66" s="17">
        <v>42432</v>
      </c>
      <c r="B66" s="21" t="s">
        <v>130</v>
      </c>
      <c r="C66" s="13" t="s">
        <v>164</v>
      </c>
      <c r="D66" s="766">
        <v>8822</v>
      </c>
      <c r="E66" s="22">
        <v>10294</v>
      </c>
      <c r="F66" s="19"/>
      <c r="G66" s="14">
        <f t="shared" si="6"/>
        <v>10294</v>
      </c>
      <c r="H66" s="1155"/>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0" t="s">
        <v>2193</v>
      </c>
    </row>
    <row r="442" spans="1:8" x14ac:dyDescent="0.25">
      <c r="A442" s="17">
        <v>42740</v>
      </c>
      <c r="B442" s="10" t="s">
        <v>1400</v>
      </c>
      <c r="C442" s="11" t="s">
        <v>1803</v>
      </c>
      <c r="F442" s="9">
        <v>433634</v>
      </c>
      <c r="G442" s="6">
        <f t="shared" si="11"/>
        <v>-433634</v>
      </c>
      <c r="H442" s="1191"/>
    </row>
    <row r="443" spans="1:8" x14ac:dyDescent="0.25">
      <c r="A443" s="17">
        <v>42740</v>
      </c>
      <c r="B443" s="10" t="s">
        <v>1676</v>
      </c>
      <c r="C443" s="11" t="s">
        <v>1803</v>
      </c>
      <c r="F443" s="9">
        <v>32908</v>
      </c>
      <c r="G443" s="6">
        <f t="shared" si="11"/>
        <v>-32908</v>
      </c>
      <c r="H443" s="1191"/>
    </row>
    <row r="444" spans="1:8" x14ac:dyDescent="0.25">
      <c r="A444" s="17">
        <v>42740</v>
      </c>
      <c r="B444" s="10" t="s">
        <v>32</v>
      </c>
      <c r="C444" s="11" t="s">
        <v>1803</v>
      </c>
      <c r="F444" s="9">
        <v>30468</v>
      </c>
      <c r="G444" s="6">
        <f t="shared" si="11"/>
        <v>-30468</v>
      </c>
      <c r="H444" s="1192"/>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0" t="s">
        <v>2194</v>
      </c>
    </row>
    <row r="460" spans="1:8" x14ac:dyDescent="0.25">
      <c r="A460" s="17">
        <v>42804</v>
      </c>
      <c r="B460" s="10" t="s">
        <v>1397</v>
      </c>
      <c r="C460" s="11" t="s">
        <v>1803</v>
      </c>
      <c r="F460" s="9">
        <v>100000</v>
      </c>
      <c r="G460" s="6">
        <f t="shared" si="11"/>
        <v>-100000</v>
      </c>
      <c r="H460" s="1191"/>
    </row>
    <row r="461" spans="1:8" x14ac:dyDescent="0.25">
      <c r="A461" s="17">
        <v>42804</v>
      </c>
      <c r="B461" s="10" t="s">
        <v>32</v>
      </c>
      <c r="C461" s="11" t="s">
        <v>1803</v>
      </c>
      <c r="F461" s="9">
        <v>100000</v>
      </c>
      <c r="G461" s="6">
        <f t="shared" si="11"/>
        <v>-100000</v>
      </c>
      <c r="H461" s="1192"/>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0" t="s">
        <v>2412</v>
      </c>
    </row>
    <row r="542" spans="1:8" x14ac:dyDescent="0.25">
      <c r="A542" s="17">
        <v>42875</v>
      </c>
      <c r="B542" s="10" t="s">
        <v>1397</v>
      </c>
      <c r="C542" s="11" t="s">
        <v>161</v>
      </c>
      <c r="F542" s="9">
        <v>99093</v>
      </c>
      <c r="G542" s="6">
        <f t="shared" si="16"/>
        <v>-99093</v>
      </c>
      <c r="H542" s="1192"/>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0" t="s">
        <v>2420</v>
      </c>
    </row>
    <row r="560" spans="1:8" x14ac:dyDescent="0.25">
      <c r="A560" s="17">
        <v>42880</v>
      </c>
      <c r="B560" s="149" t="s">
        <v>32</v>
      </c>
      <c r="C560" s="150" t="s">
        <v>1803</v>
      </c>
      <c r="D560" s="772"/>
      <c r="E560" s="151"/>
      <c r="F560" s="152">
        <v>100000</v>
      </c>
      <c r="G560" s="153">
        <f t="shared" si="16"/>
        <v>-100000</v>
      </c>
      <c r="H560" s="1192"/>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193" t="s">
        <v>2981</v>
      </c>
    </row>
    <row r="751" spans="1:8" x14ac:dyDescent="0.25">
      <c r="A751" s="17">
        <v>43081</v>
      </c>
      <c r="B751" s="10" t="s">
        <v>2787</v>
      </c>
      <c r="C751" s="11" t="s">
        <v>166</v>
      </c>
      <c r="F751" s="9">
        <v>183600</v>
      </c>
      <c r="G751" s="6">
        <f t="shared" si="20"/>
        <v>-183600</v>
      </c>
      <c r="H751" s="1194"/>
    </row>
    <row r="752" spans="1:8" x14ac:dyDescent="0.25">
      <c r="A752" s="17">
        <v>43081</v>
      </c>
      <c r="B752" s="10" t="s">
        <v>40</v>
      </c>
      <c r="C752" s="11" t="s">
        <v>166</v>
      </c>
      <c r="F752" s="9">
        <v>69900</v>
      </c>
      <c r="G752" s="6">
        <f t="shared" si="20"/>
        <v>-69900</v>
      </c>
      <c r="H752" s="1194"/>
    </row>
    <row r="753" spans="1:8" x14ac:dyDescent="0.25">
      <c r="A753" s="17">
        <v>43081</v>
      </c>
      <c r="B753" s="10" t="s">
        <v>1400</v>
      </c>
      <c r="C753" s="11" t="s">
        <v>166</v>
      </c>
      <c r="F753" s="9">
        <v>84000</v>
      </c>
      <c r="G753" s="6">
        <f t="shared" si="20"/>
        <v>-84000</v>
      </c>
      <c r="H753" s="1194"/>
    </row>
    <row r="754" spans="1:8" x14ac:dyDescent="0.25">
      <c r="A754" s="17">
        <v>43081</v>
      </c>
      <c r="B754" s="10" t="s">
        <v>2227</v>
      </c>
      <c r="C754" s="11" t="s">
        <v>166</v>
      </c>
      <c r="F754" s="9">
        <v>35709</v>
      </c>
      <c r="G754" s="6">
        <f t="shared" si="20"/>
        <v>-35709</v>
      </c>
      <c r="H754" s="1194"/>
    </row>
    <row r="755" spans="1:8" x14ac:dyDescent="0.25">
      <c r="A755" s="17">
        <v>43081</v>
      </c>
      <c r="B755" s="10" t="s">
        <v>1397</v>
      </c>
      <c r="C755" s="11" t="s">
        <v>166</v>
      </c>
      <c r="F755" s="9">
        <v>3823</v>
      </c>
      <c r="G755" s="6">
        <f t="shared" si="20"/>
        <v>-3823</v>
      </c>
      <c r="H755" s="1195"/>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196" t="s">
        <v>3052</v>
      </c>
    </row>
    <row r="768" spans="1:8" x14ac:dyDescent="0.25">
      <c r="A768" s="17">
        <v>43122</v>
      </c>
      <c r="B768" s="10" t="s">
        <v>2787</v>
      </c>
      <c r="C768" s="11" t="s">
        <v>166</v>
      </c>
      <c r="F768" s="9">
        <f>500000-F767</f>
        <v>443523</v>
      </c>
      <c r="G768" s="6">
        <f t="shared" si="20"/>
        <v>-443523</v>
      </c>
      <c r="H768" s="1197"/>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78" t="s">
        <v>6678</v>
      </c>
    </row>
    <row r="1801" spans="1:8" x14ac:dyDescent="0.25">
      <c r="A1801" s="113">
        <v>44261</v>
      </c>
      <c r="B1801" s="10" t="s">
        <v>1400</v>
      </c>
      <c r="C1801" s="11" t="s">
        <v>166</v>
      </c>
      <c r="F1801" s="9">
        <v>50000</v>
      </c>
      <c r="G1801" s="6">
        <f t="shared" ref="G1801" si="32">E1801-F1801</f>
        <v>-50000</v>
      </c>
      <c r="H1801" s="1178"/>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79" t="s">
        <v>6973</v>
      </c>
    </row>
    <row r="1878" spans="1:8" ht="24" customHeight="1" x14ac:dyDescent="0.25">
      <c r="A1878" s="113">
        <v>44288</v>
      </c>
      <c r="B1878" s="10" t="s">
        <v>6408</v>
      </c>
      <c r="C1878" s="11" t="s">
        <v>438</v>
      </c>
      <c r="F1878" s="9">
        <v>7970</v>
      </c>
      <c r="G1878" s="6">
        <f t="shared" si="34"/>
        <v>-7970</v>
      </c>
      <c r="H1878" s="1179"/>
    </row>
    <row r="1879" spans="1:8" ht="24" customHeight="1" x14ac:dyDescent="0.25">
      <c r="A1879" s="113">
        <v>44288</v>
      </c>
      <c r="B1879" s="10" t="s">
        <v>1400</v>
      </c>
      <c r="C1879" s="11" t="s">
        <v>438</v>
      </c>
      <c r="F1879" s="9">
        <v>21500</v>
      </c>
      <c r="G1879" s="6">
        <f t="shared" si="34"/>
        <v>-21500</v>
      </c>
      <c r="H1879" s="1179"/>
    </row>
    <row r="1880" spans="1:8" ht="24" customHeight="1" x14ac:dyDescent="0.25">
      <c r="A1880" s="113">
        <v>44288</v>
      </c>
      <c r="B1880" s="10" t="s">
        <v>6408</v>
      </c>
      <c r="C1880" s="11" t="s">
        <v>438</v>
      </c>
      <c r="F1880" s="9">
        <v>2900</v>
      </c>
      <c r="G1880" s="6">
        <f t="shared" si="34"/>
        <v>-2900</v>
      </c>
      <c r="H1880" s="1179"/>
    </row>
    <row r="1881" spans="1:8" ht="24" customHeight="1" x14ac:dyDescent="0.25">
      <c r="A1881" s="113">
        <v>44280</v>
      </c>
      <c r="B1881" s="10" t="s">
        <v>1400</v>
      </c>
      <c r="C1881" s="11" t="s">
        <v>438</v>
      </c>
      <c r="F1881" s="9">
        <v>24225</v>
      </c>
      <c r="G1881" s="6">
        <f t="shared" si="34"/>
        <v>-24225</v>
      </c>
      <c r="H1881" s="1179"/>
    </row>
    <row r="1882" spans="1:8" ht="24" customHeight="1" x14ac:dyDescent="0.25">
      <c r="A1882" s="113">
        <v>44331</v>
      </c>
      <c r="B1882" s="10" t="s">
        <v>6408</v>
      </c>
      <c r="C1882" s="11" t="s">
        <v>438</v>
      </c>
      <c r="F1882" s="9">
        <v>54720</v>
      </c>
      <c r="G1882" s="6">
        <f t="shared" si="34"/>
        <v>-54720</v>
      </c>
      <c r="H1882" s="1179"/>
    </row>
    <row r="1883" spans="1:8" ht="24" customHeight="1" x14ac:dyDescent="0.25">
      <c r="A1883" s="113">
        <v>44341</v>
      </c>
      <c r="B1883" s="10" t="s">
        <v>6511</v>
      </c>
      <c r="C1883" s="11" t="s">
        <v>438</v>
      </c>
      <c r="F1883" s="9">
        <v>22415</v>
      </c>
      <c r="G1883" s="6">
        <f t="shared" si="34"/>
        <v>-22415</v>
      </c>
      <c r="H1883" s="1179"/>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59" t="s">
        <v>6910</v>
      </c>
    </row>
    <row r="1887" spans="1:8" x14ac:dyDescent="0.25">
      <c r="A1887" s="113">
        <v>44291</v>
      </c>
      <c r="B1887" s="10" t="s">
        <v>6518</v>
      </c>
      <c r="C1887" s="11" t="s">
        <v>1803</v>
      </c>
      <c r="E1887" s="109"/>
      <c r="F1887" s="111">
        <v>82220</v>
      </c>
      <c r="G1887" s="6">
        <f t="shared" si="34"/>
        <v>-82220</v>
      </c>
      <c r="H1887" s="1160"/>
    </row>
    <row r="1888" spans="1:8" x14ac:dyDescent="0.25">
      <c r="A1888" s="113">
        <v>44291</v>
      </c>
      <c r="B1888" s="10" t="s">
        <v>6511</v>
      </c>
      <c r="C1888" s="11" t="s">
        <v>1803</v>
      </c>
      <c r="E1888" s="109"/>
      <c r="F1888" s="111">
        <f>16101+25620</f>
        <v>41721</v>
      </c>
      <c r="G1888" s="6">
        <f t="shared" si="34"/>
        <v>-41721</v>
      </c>
      <c r="H1888" s="1160"/>
    </row>
    <row r="1889" spans="1:8" x14ac:dyDescent="0.25">
      <c r="A1889" s="113">
        <v>44291</v>
      </c>
      <c r="B1889" s="10" t="s">
        <v>6720</v>
      </c>
      <c r="C1889" s="11" t="s">
        <v>1803</v>
      </c>
      <c r="E1889" s="109"/>
      <c r="F1889" s="112">
        <v>200000</v>
      </c>
      <c r="G1889" s="6">
        <f t="shared" si="34"/>
        <v>-200000</v>
      </c>
      <c r="H1889" s="1161"/>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75" t="s">
        <v>7139</v>
      </c>
    </row>
    <row r="1997" spans="1:8" x14ac:dyDescent="0.25">
      <c r="A1997" s="659">
        <v>44392</v>
      </c>
      <c r="B1997" s="660" t="s">
        <v>6955</v>
      </c>
      <c r="C1997" s="661" t="s">
        <v>166</v>
      </c>
      <c r="E1997" s="662"/>
      <c r="F1997" s="665">
        <v>34800</v>
      </c>
      <c r="G1997" s="664">
        <f t="shared" si="36"/>
        <v>-34800</v>
      </c>
      <c r="H1997" s="1176"/>
    </row>
    <row r="1998" spans="1:8" ht="16.5" thickBot="1" x14ac:dyDescent="0.3">
      <c r="A1998" s="659">
        <v>44392</v>
      </c>
      <c r="B1998" s="660" t="s">
        <v>1400</v>
      </c>
      <c r="C1998" s="661" t="s">
        <v>166</v>
      </c>
      <c r="E1998" s="662"/>
      <c r="F1998" s="666">
        <v>23022</v>
      </c>
      <c r="G1998" s="664">
        <f t="shared" si="36"/>
        <v>-23022</v>
      </c>
      <c r="H1998" s="1177"/>
    </row>
    <row r="1999" spans="1:8" x14ac:dyDescent="0.25">
      <c r="A1999" s="652">
        <v>44392</v>
      </c>
      <c r="B1999" s="653" t="s">
        <v>6511</v>
      </c>
      <c r="C1999" s="654" t="s">
        <v>438</v>
      </c>
      <c r="E1999" s="655"/>
      <c r="F1999" s="656">
        <f>480791-39410</f>
        <v>441381</v>
      </c>
      <c r="G1999" s="657">
        <f t="shared" si="36"/>
        <v>-441381</v>
      </c>
      <c r="H1999" s="1180" t="s">
        <v>7141</v>
      </c>
    </row>
    <row r="2000" spans="1:8" x14ac:dyDescent="0.25">
      <c r="A2000" s="652">
        <v>44392</v>
      </c>
      <c r="B2000" s="653" t="s">
        <v>6955</v>
      </c>
      <c r="C2000" s="654" t="s">
        <v>438</v>
      </c>
      <c r="E2000" s="655"/>
      <c r="F2000" s="673">
        <v>39410</v>
      </c>
      <c r="G2000" s="657">
        <f t="shared" si="36"/>
        <v>-39410</v>
      </c>
      <c r="H2000" s="1181"/>
    </row>
    <row r="2001" spans="1:8" ht="16.5" thickBot="1" x14ac:dyDescent="0.3">
      <c r="A2001" s="652">
        <v>44392</v>
      </c>
      <c r="B2001" s="653" t="s">
        <v>6408</v>
      </c>
      <c r="C2001" s="654" t="s">
        <v>438</v>
      </c>
      <c r="E2001" s="655"/>
      <c r="F2001" s="658">
        <v>40445</v>
      </c>
      <c r="G2001" s="657">
        <f t="shared" si="36"/>
        <v>-40445</v>
      </c>
      <c r="H2001" s="1182"/>
    </row>
    <row r="2002" spans="1:8" x14ac:dyDescent="0.25">
      <c r="A2002" s="659">
        <v>44392</v>
      </c>
      <c r="B2002" s="660" t="s">
        <v>6955</v>
      </c>
      <c r="C2002" s="661" t="s">
        <v>438</v>
      </c>
      <c r="E2002" s="662"/>
      <c r="F2002" s="663">
        <v>134360</v>
      </c>
      <c r="G2002" s="664">
        <f t="shared" si="36"/>
        <v>-134360</v>
      </c>
      <c r="H2002" s="1173" t="s">
        <v>7142</v>
      </c>
    </row>
    <row r="2003" spans="1:8" x14ac:dyDescent="0.25">
      <c r="A2003" s="659">
        <v>44392</v>
      </c>
      <c r="B2003" s="660" t="s">
        <v>1400</v>
      </c>
      <c r="C2003" s="661" t="s">
        <v>438</v>
      </c>
      <c r="E2003" s="662"/>
      <c r="F2003" s="665">
        <v>79000</v>
      </c>
      <c r="G2003" s="664">
        <f t="shared" si="36"/>
        <v>-79000</v>
      </c>
      <c r="H2003" s="1174"/>
    </row>
    <row r="2004" spans="1:8" x14ac:dyDescent="0.25">
      <c r="A2004" s="659">
        <v>44392</v>
      </c>
      <c r="B2004" s="660" t="s">
        <v>6408</v>
      </c>
      <c r="C2004" s="661" t="s">
        <v>438</v>
      </c>
      <c r="E2004" s="662"/>
      <c r="F2004" s="665">
        <v>35561</v>
      </c>
      <c r="G2004" s="664">
        <f t="shared" si="36"/>
        <v>-35561</v>
      </c>
      <c r="H2004" s="1174"/>
    </row>
    <row r="2005" spans="1:8" x14ac:dyDescent="0.25">
      <c r="A2005" s="659">
        <v>44392</v>
      </c>
      <c r="B2005" s="660" t="s">
        <v>3946</v>
      </c>
      <c r="C2005" s="661" t="s">
        <v>438</v>
      </c>
      <c r="E2005" s="662"/>
      <c r="F2005" s="665">
        <v>252800</v>
      </c>
      <c r="G2005" s="664">
        <f t="shared" si="36"/>
        <v>-252800</v>
      </c>
      <c r="H2005" s="1174"/>
    </row>
    <row r="2006" spans="1:8" ht="16.5" thickBot="1" x14ac:dyDescent="0.3">
      <c r="A2006" s="659">
        <v>44392</v>
      </c>
      <c r="B2006" s="660" t="s">
        <v>7067</v>
      </c>
      <c r="C2006" s="661" t="s">
        <v>438</v>
      </c>
      <c r="E2006" s="662"/>
      <c r="F2006" s="666">
        <v>209</v>
      </c>
      <c r="G2006" s="664">
        <f t="shared" si="36"/>
        <v>-209</v>
      </c>
      <c r="H2006" s="1174"/>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88" t="s">
        <v>7253</v>
      </c>
    </row>
    <row r="2036" spans="1:8" x14ac:dyDescent="0.25">
      <c r="A2036" s="113">
        <v>44431</v>
      </c>
      <c r="B2036" s="10" t="s">
        <v>7112</v>
      </c>
      <c r="C2036" s="11" t="s">
        <v>7242</v>
      </c>
      <c r="F2036" s="9">
        <v>50000</v>
      </c>
      <c r="G2036" s="6">
        <f t="shared" si="37"/>
        <v>-50000</v>
      </c>
      <c r="H2036" s="1188"/>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84" t="s">
        <v>7300</v>
      </c>
    </row>
    <row r="2061" spans="1:8" x14ac:dyDescent="0.25">
      <c r="A2061" s="113">
        <v>44456</v>
      </c>
      <c r="B2061" s="10" t="s">
        <v>6511</v>
      </c>
      <c r="C2061" s="11" t="s">
        <v>438</v>
      </c>
      <c r="F2061" s="9">
        <v>137800</v>
      </c>
      <c r="G2061" s="6">
        <f t="shared" si="38"/>
        <v>-137800</v>
      </c>
      <c r="H2061" s="1185"/>
    </row>
    <row r="2062" spans="1:8" x14ac:dyDescent="0.25">
      <c r="A2062" s="113">
        <v>44456</v>
      </c>
      <c r="B2062" s="10" t="s">
        <v>7067</v>
      </c>
      <c r="C2062" s="11" t="s">
        <v>438</v>
      </c>
      <c r="F2062" s="9">
        <v>29791</v>
      </c>
      <c r="G2062" s="6">
        <f t="shared" si="38"/>
        <v>-29791</v>
      </c>
      <c r="H2062" s="1185"/>
    </row>
    <row r="2063" spans="1:8" x14ac:dyDescent="0.25">
      <c r="A2063" s="113">
        <v>44456</v>
      </c>
      <c r="B2063" s="10" t="s">
        <v>6408</v>
      </c>
      <c r="C2063" s="11" t="s">
        <v>438</v>
      </c>
      <c r="F2063" s="9">
        <v>87105</v>
      </c>
      <c r="G2063" s="6">
        <f t="shared" si="38"/>
        <v>-87105</v>
      </c>
      <c r="H2063" s="1185"/>
    </row>
    <row r="2064" spans="1:8" x14ac:dyDescent="0.25">
      <c r="A2064" s="113">
        <v>44456</v>
      </c>
      <c r="B2064" s="10" t="s">
        <v>1400</v>
      </c>
      <c r="C2064" s="11" t="s">
        <v>438</v>
      </c>
      <c r="F2064" s="9">
        <v>3014</v>
      </c>
      <c r="G2064" s="6">
        <f t="shared" si="38"/>
        <v>-3014</v>
      </c>
      <c r="H2064" s="1186"/>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89" t="s">
        <v>7314</v>
      </c>
    </row>
    <row r="2078" spans="1:8" x14ac:dyDescent="0.25">
      <c r="A2078" s="113">
        <v>44460</v>
      </c>
      <c r="B2078" s="10" t="s">
        <v>6955</v>
      </c>
      <c r="C2078" s="11" t="s">
        <v>166</v>
      </c>
      <c r="F2078" s="9">
        <v>123680</v>
      </c>
      <c r="G2078" s="6">
        <f t="shared" si="38"/>
        <v>-123680</v>
      </c>
      <c r="H2078" s="1189"/>
    </row>
    <row r="2079" spans="1:8" x14ac:dyDescent="0.25">
      <c r="A2079" s="113">
        <v>44460</v>
      </c>
      <c r="B2079" s="10" t="s">
        <v>6408</v>
      </c>
      <c r="C2079" s="11" t="s">
        <v>166</v>
      </c>
      <c r="F2079" s="9">
        <v>13600</v>
      </c>
      <c r="G2079" s="6">
        <f t="shared" si="38"/>
        <v>-13600</v>
      </c>
      <c r="H2079" s="1189"/>
    </row>
    <row r="2080" spans="1:8" x14ac:dyDescent="0.25">
      <c r="A2080" s="113">
        <v>44460</v>
      </c>
      <c r="B2080" s="10" t="s">
        <v>6511</v>
      </c>
      <c r="C2080" s="11" t="s">
        <v>166</v>
      </c>
      <c r="F2080" s="9">
        <v>6755</v>
      </c>
      <c r="G2080" s="6">
        <f t="shared" si="38"/>
        <v>-6755</v>
      </c>
      <c r="H2080" s="1189"/>
    </row>
    <row r="2081" spans="1:8" x14ac:dyDescent="0.25">
      <c r="A2081" s="113">
        <v>44460</v>
      </c>
      <c r="B2081" s="10" t="s">
        <v>1400</v>
      </c>
      <c r="C2081" s="11" t="s">
        <v>166</v>
      </c>
      <c r="F2081" s="9">
        <v>9165</v>
      </c>
      <c r="G2081" s="6">
        <f t="shared" si="38"/>
        <v>-9165</v>
      </c>
      <c r="H2081" s="1189"/>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88" t="s">
        <v>7363</v>
      </c>
    </row>
    <row r="2086" spans="1:8" x14ac:dyDescent="0.25">
      <c r="A2086" s="113">
        <v>44476</v>
      </c>
      <c r="B2086" s="10" t="s">
        <v>6408</v>
      </c>
      <c r="C2086" s="661" t="s">
        <v>7242</v>
      </c>
      <c r="E2086" s="662"/>
      <c r="F2086" s="665">
        <v>2404</v>
      </c>
      <c r="G2086" s="664">
        <f t="shared" si="38"/>
        <v>-2404</v>
      </c>
      <c r="H2086" s="1188"/>
    </row>
    <row r="2087" spans="1:8" x14ac:dyDescent="0.25">
      <c r="A2087" s="113">
        <v>44476</v>
      </c>
      <c r="B2087" s="10" t="s">
        <v>6955</v>
      </c>
      <c r="C2087" s="661" t="s">
        <v>7242</v>
      </c>
      <c r="E2087" s="662"/>
      <c r="F2087" s="665">
        <v>14457</v>
      </c>
      <c r="G2087" s="664">
        <f t="shared" si="38"/>
        <v>-14457</v>
      </c>
      <c r="H2087" s="1188"/>
    </row>
    <row r="2088" spans="1:8" x14ac:dyDescent="0.25">
      <c r="A2088" s="113">
        <v>44476</v>
      </c>
      <c r="B2088" s="10" t="s">
        <v>7112</v>
      </c>
      <c r="C2088" s="661" t="s">
        <v>7242</v>
      </c>
      <c r="E2088" s="662"/>
      <c r="F2088" s="665">
        <v>3866</v>
      </c>
      <c r="G2088" s="664">
        <f t="shared" si="38"/>
        <v>-3866</v>
      </c>
      <c r="H2088" s="1188"/>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57" t="s">
        <v>7430</v>
      </c>
    </row>
    <row r="2106" spans="1:8" x14ac:dyDescent="0.25">
      <c r="A2106" s="113">
        <v>44495</v>
      </c>
      <c r="B2106" s="21" t="s">
        <v>5811</v>
      </c>
      <c r="C2106" s="746" t="s">
        <v>438</v>
      </c>
      <c r="D2106" s="766"/>
      <c r="E2106" s="747"/>
      <c r="F2106" s="748">
        <v>63000</v>
      </c>
      <c r="G2106" s="14">
        <f t="shared" si="39"/>
        <v>-63000</v>
      </c>
      <c r="H2106" s="1157"/>
    </row>
    <row r="2107" spans="1:8" x14ac:dyDescent="0.25">
      <c r="A2107" s="113">
        <v>44495</v>
      </c>
      <c r="B2107" s="21" t="s">
        <v>3946</v>
      </c>
      <c r="C2107" s="746" t="s">
        <v>438</v>
      </c>
      <c r="D2107" s="766"/>
      <c r="E2107" s="747"/>
      <c r="F2107" s="748">
        <v>161200</v>
      </c>
      <c r="G2107" s="14">
        <f t="shared" si="39"/>
        <v>-161200</v>
      </c>
      <c r="H2107" s="1157"/>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67" t="s">
        <v>7468</v>
      </c>
    </row>
    <row r="2125" spans="1:8" x14ac:dyDescent="0.25">
      <c r="A2125" s="113">
        <v>44510</v>
      </c>
      <c r="B2125" s="21" t="s">
        <v>7112</v>
      </c>
      <c r="C2125" s="13" t="s">
        <v>7467</v>
      </c>
      <c r="D2125" s="766"/>
      <c r="E2125" s="22"/>
      <c r="F2125" s="19">
        <v>30988</v>
      </c>
      <c r="G2125" s="14">
        <f t="shared" si="39"/>
        <v>-30988</v>
      </c>
      <c r="H2125" s="1167"/>
    </row>
    <row r="2126" spans="1:8" x14ac:dyDescent="0.25">
      <c r="A2126" s="113">
        <v>44510</v>
      </c>
      <c r="B2126" s="21" t="s">
        <v>6955</v>
      </c>
      <c r="C2126" s="13" t="s">
        <v>7467</v>
      </c>
      <c r="D2126" s="766"/>
      <c r="E2126" s="22"/>
      <c r="F2126" s="19">
        <v>21999</v>
      </c>
      <c r="G2126" s="14">
        <f t="shared" si="39"/>
        <v>-21999</v>
      </c>
      <c r="H2126" s="1167"/>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57" t="s">
        <v>7523</v>
      </c>
    </row>
    <row r="2141" spans="1:8" x14ac:dyDescent="0.25">
      <c r="A2141" s="113">
        <v>44529</v>
      </c>
      <c r="B2141" s="21" t="s">
        <v>6508</v>
      </c>
      <c r="C2141" s="13" t="s">
        <v>180</v>
      </c>
      <c r="D2141" s="766"/>
      <c r="E2141" s="22"/>
      <c r="F2141" s="19">
        <v>27915</v>
      </c>
      <c r="G2141" s="14">
        <f t="shared" si="39"/>
        <v>-27915</v>
      </c>
      <c r="H2141" s="1157"/>
    </row>
    <row r="2142" spans="1:8" x14ac:dyDescent="0.25">
      <c r="A2142" s="113">
        <v>44532</v>
      </c>
      <c r="B2142" s="21" t="s">
        <v>6408</v>
      </c>
      <c r="C2142" s="13" t="s">
        <v>1803</v>
      </c>
      <c r="D2142" s="766"/>
      <c r="E2142" s="22"/>
      <c r="F2142" s="19">
        <v>110233</v>
      </c>
      <c r="G2142" s="14">
        <f t="shared" si="39"/>
        <v>-110233</v>
      </c>
      <c r="H2142" s="1187" t="s">
        <v>7537</v>
      </c>
    </row>
    <row r="2143" spans="1:8" x14ac:dyDescent="0.25">
      <c r="A2143" s="113">
        <v>44532</v>
      </c>
      <c r="B2143" s="21" t="s">
        <v>6508</v>
      </c>
      <c r="C2143" s="13" t="s">
        <v>1803</v>
      </c>
      <c r="D2143" s="766"/>
      <c r="E2143" s="22"/>
      <c r="F2143" s="19">
        <v>230169</v>
      </c>
      <c r="G2143" s="14">
        <f t="shared" si="39"/>
        <v>-230169</v>
      </c>
      <c r="H2143" s="1187"/>
    </row>
    <row r="2144" spans="1:8" x14ac:dyDescent="0.25">
      <c r="A2144" s="113">
        <v>44532</v>
      </c>
      <c r="B2144" s="21" t="s">
        <v>6511</v>
      </c>
      <c r="C2144" s="13" t="s">
        <v>1803</v>
      </c>
      <c r="D2144" s="766"/>
      <c r="E2144" s="22"/>
      <c r="F2144" s="19">
        <v>136986</v>
      </c>
      <c r="G2144" s="14">
        <f t="shared" si="39"/>
        <v>-136986</v>
      </c>
      <c r="H2144" s="1187"/>
    </row>
    <row r="2145" spans="1:8" x14ac:dyDescent="0.25">
      <c r="A2145" s="113">
        <v>44532</v>
      </c>
      <c r="B2145" s="21" t="s">
        <v>6720</v>
      </c>
      <c r="C2145" s="13" t="s">
        <v>1803</v>
      </c>
      <c r="D2145" s="766"/>
      <c r="E2145" s="22"/>
      <c r="F2145" s="19">
        <v>10112</v>
      </c>
      <c r="G2145" s="14">
        <f t="shared" si="39"/>
        <v>-10112</v>
      </c>
      <c r="H2145" s="1187"/>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83" t="s">
        <v>7556</v>
      </c>
    </row>
    <row r="2149" spans="1:8" x14ac:dyDescent="0.25">
      <c r="A2149" s="113">
        <v>44538</v>
      </c>
      <c r="B2149" s="21" t="s">
        <v>2652</v>
      </c>
      <c r="C2149" s="13" t="s">
        <v>5681</v>
      </c>
      <c r="D2149" s="766"/>
      <c r="E2149" s="22"/>
      <c r="F2149" s="19">
        <v>72300</v>
      </c>
      <c r="G2149" s="14">
        <f t="shared" ref="G2149:G2191" si="40">E2149-F2149</f>
        <v>-72300</v>
      </c>
      <c r="H2149" s="1183"/>
    </row>
    <row r="2150" spans="1:8" x14ac:dyDescent="0.25">
      <c r="A2150" s="113">
        <v>44538</v>
      </c>
      <c r="B2150" s="21" t="s">
        <v>6408</v>
      </c>
      <c r="C2150" s="13" t="s">
        <v>5681</v>
      </c>
      <c r="D2150" s="766"/>
      <c r="E2150" s="22"/>
      <c r="F2150" s="19">
        <v>9500</v>
      </c>
      <c r="G2150" s="14">
        <f t="shared" si="40"/>
        <v>-9500</v>
      </c>
      <c r="H2150" s="1183"/>
    </row>
    <row r="2151" spans="1:8" x14ac:dyDescent="0.25">
      <c r="A2151" s="113">
        <v>44538</v>
      </c>
      <c r="B2151" s="21" t="s">
        <v>6511</v>
      </c>
      <c r="C2151" s="13" t="s">
        <v>5681</v>
      </c>
      <c r="D2151" s="766"/>
      <c r="E2151" s="22"/>
      <c r="F2151" s="19">
        <v>59100</v>
      </c>
      <c r="G2151" s="14">
        <f t="shared" si="40"/>
        <v>-59100</v>
      </c>
      <c r="H2151" s="1183"/>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53" t="s">
        <v>7676</v>
      </c>
    </row>
    <row r="2176" spans="1:8" x14ac:dyDescent="0.25">
      <c r="A2176" s="113">
        <v>44610</v>
      </c>
      <c r="B2176" s="21" t="s">
        <v>6955</v>
      </c>
      <c r="C2176" s="746" t="s">
        <v>7467</v>
      </c>
      <c r="D2176" s="766"/>
      <c r="E2176" s="747"/>
      <c r="F2176" s="748">
        <f>50900+252</f>
        <v>51152</v>
      </c>
      <c r="G2176" s="747">
        <f t="shared" si="40"/>
        <v>-51152</v>
      </c>
      <c r="H2176" s="1153"/>
    </row>
    <row r="2177" spans="1:8" x14ac:dyDescent="0.25">
      <c r="A2177" s="113">
        <v>44610</v>
      </c>
      <c r="B2177" s="21" t="s">
        <v>7067</v>
      </c>
      <c r="C2177" s="746" t="s">
        <v>7467</v>
      </c>
      <c r="D2177" s="766"/>
      <c r="E2177" s="747"/>
      <c r="F2177" s="748">
        <v>30105</v>
      </c>
      <c r="G2177" s="747">
        <f t="shared" si="40"/>
        <v>-30105</v>
      </c>
      <c r="H2177" s="1153"/>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67" t="s">
        <v>7896</v>
      </c>
    </row>
    <row r="2190" spans="1:8" x14ac:dyDescent="0.25">
      <c r="A2190" s="113">
        <v>44627</v>
      </c>
      <c r="B2190" s="21" t="s">
        <v>37</v>
      </c>
      <c r="C2190" s="13" t="s">
        <v>7242</v>
      </c>
      <c r="D2190" s="766"/>
      <c r="E2190" s="22"/>
      <c r="F2190" s="19">
        <v>66360</v>
      </c>
      <c r="G2190" s="14">
        <f t="shared" si="40"/>
        <v>-66360</v>
      </c>
      <c r="H2190" s="1167"/>
    </row>
    <row r="2191" spans="1:8" x14ac:dyDescent="0.25">
      <c r="A2191" s="113">
        <v>44627</v>
      </c>
      <c r="B2191" s="21" t="s">
        <v>1400</v>
      </c>
      <c r="C2191" s="746" t="s">
        <v>166</v>
      </c>
      <c r="D2191" s="766"/>
      <c r="E2191" s="747"/>
      <c r="F2191" s="747">
        <v>204468</v>
      </c>
      <c r="G2191" s="747">
        <f t="shared" si="40"/>
        <v>-204468</v>
      </c>
      <c r="H2191" s="1168" t="s">
        <v>7786</v>
      </c>
    </row>
    <row r="2192" spans="1:8" x14ac:dyDescent="0.25">
      <c r="A2192" s="113">
        <v>44627</v>
      </c>
      <c r="B2192" s="21" t="s">
        <v>7067</v>
      </c>
      <c r="C2192" s="746" t="s">
        <v>166</v>
      </c>
      <c r="D2192" s="766"/>
      <c r="E2192" s="747"/>
      <c r="F2192" s="747">
        <v>12627</v>
      </c>
      <c r="G2192" s="747">
        <f t="shared" ref="G2192:G2312" si="41">E2192-F2192</f>
        <v>-12627</v>
      </c>
      <c r="H2192" s="1168"/>
    </row>
    <row r="2193" spans="1:8" x14ac:dyDescent="0.25">
      <c r="A2193" s="113">
        <v>44627</v>
      </c>
      <c r="B2193" s="21" t="s">
        <v>7657</v>
      </c>
      <c r="C2193" s="746" t="s">
        <v>166</v>
      </c>
      <c r="D2193" s="766"/>
      <c r="E2193" s="747"/>
      <c r="F2193" s="747">
        <v>80000</v>
      </c>
      <c r="G2193" s="747">
        <f t="shared" si="41"/>
        <v>-80000</v>
      </c>
      <c r="H2193" s="1168"/>
    </row>
    <row r="2194" spans="1:8" x14ac:dyDescent="0.25">
      <c r="A2194" s="113">
        <v>44627</v>
      </c>
      <c r="B2194" s="21" t="s">
        <v>6955</v>
      </c>
      <c r="C2194" s="746" t="s">
        <v>166</v>
      </c>
      <c r="D2194" s="766"/>
      <c r="E2194" s="747"/>
      <c r="F2194" s="747">
        <v>2905</v>
      </c>
      <c r="G2194" s="747">
        <f t="shared" si="41"/>
        <v>-2905</v>
      </c>
      <c r="H2194" s="1168"/>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69" t="s">
        <v>7705</v>
      </c>
    </row>
    <row r="2202" spans="1:8" x14ac:dyDescent="0.25">
      <c r="A2202" s="113">
        <v>44627</v>
      </c>
      <c r="B2202" s="21" t="s">
        <v>7657</v>
      </c>
      <c r="C2202" s="13" t="s">
        <v>7242</v>
      </c>
      <c r="D2202" s="778" t="s">
        <v>7704</v>
      </c>
      <c r="E2202" s="22">
        <v>19800</v>
      </c>
      <c r="F2202" s="19"/>
      <c r="G2202" s="20">
        <f t="shared" si="41"/>
        <v>19800</v>
      </c>
      <c r="H2202" s="1169"/>
    </row>
    <row r="2203" spans="1:8" x14ac:dyDescent="0.25">
      <c r="A2203" s="113">
        <v>44637</v>
      </c>
      <c r="B2203" s="21" t="s">
        <v>7657</v>
      </c>
      <c r="C2203" s="13" t="s">
        <v>5681</v>
      </c>
      <c r="D2203" s="766">
        <v>35</v>
      </c>
      <c r="E2203" s="22">
        <f>11300+8400+7000+11700+2500</f>
        <v>40900</v>
      </c>
      <c r="F2203" s="19"/>
      <c r="G2203" s="20">
        <f t="shared" si="41"/>
        <v>40900</v>
      </c>
      <c r="H2203" s="1169" t="s">
        <v>7705</v>
      </c>
    </row>
    <row r="2204" spans="1:8" x14ac:dyDescent="0.25">
      <c r="A2204" s="113">
        <v>44637</v>
      </c>
      <c r="B2204" s="21" t="s">
        <v>7555</v>
      </c>
      <c r="C2204" s="13" t="s">
        <v>5681</v>
      </c>
      <c r="D2204" s="766">
        <v>35</v>
      </c>
      <c r="E2204" s="22">
        <f>7600+3500</f>
        <v>11100</v>
      </c>
      <c r="F2204" s="19"/>
      <c r="G2204" s="20">
        <f t="shared" si="41"/>
        <v>11100</v>
      </c>
      <c r="H2204" s="1169"/>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54" t="s">
        <v>7748</v>
      </c>
    </row>
    <row r="2220" spans="1:8" x14ac:dyDescent="0.25">
      <c r="A2220" s="113">
        <v>44645</v>
      </c>
      <c r="B2220" s="21" t="s">
        <v>6505</v>
      </c>
      <c r="C2220" s="13" t="s">
        <v>166</v>
      </c>
      <c r="D2220" s="766"/>
      <c r="E2220" s="22"/>
      <c r="F2220" s="19">
        <v>51585</v>
      </c>
      <c r="G2220" s="14">
        <f t="shared" si="41"/>
        <v>-51585</v>
      </c>
      <c r="H2220" s="1154"/>
    </row>
    <row r="2221" spans="1:8" x14ac:dyDescent="0.25">
      <c r="A2221" s="113">
        <v>44645</v>
      </c>
      <c r="B2221" s="21" t="s">
        <v>7657</v>
      </c>
      <c r="C2221" s="13" t="s">
        <v>166</v>
      </c>
      <c r="D2221" s="766"/>
      <c r="E2221" s="22"/>
      <c r="F2221" s="19">
        <v>122000</v>
      </c>
      <c r="G2221" s="14">
        <f t="shared" si="41"/>
        <v>-122000</v>
      </c>
      <c r="H2221" s="1154"/>
    </row>
    <row r="2222" spans="1:8" x14ac:dyDescent="0.25">
      <c r="A2222" s="113">
        <v>44645</v>
      </c>
      <c r="B2222" s="21" t="s">
        <v>37</v>
      </c>
      <c r="C2222" s="13" t="s">
        <v>166</v>
      </c>
      <c r="D2222" s="766"/>
      <c r="E2222" s="22"/>
      <c r="F2222" s="19">
        <v>8000</v>
      </c>
      <c r="G2222" s="14">
        <f t="shared" si="41"/>
        <v>-8000</v>
      </c>
      <c r="H2222" s="1154"/>
    </row>
    <row r="2223" spans="1:8" x14ac:dyDescent="0.25">
      <c r="A2223" s="113">
        <v>44645</v>
      </c>
      <c r="B2223" s="21" t="s">
        <v>7555</v>
      </c>
      <c r="C2223" s="13" t="s">
        <v>166</v>
      </c>
      <c r="D2223" s="766"/>
      <c r="E2223" s="22"/>
      <c r="F2223" s="19">
        <v>7857</v>
      </c>
      <c r="G2223" s="14">
        <f t="shared" si="41"/>
        <v>-7857</v>
      </c>
      <c r="H2223" s="1154"/>
    </row>
    <row r="2224" spans="1:8" x14ac:dyDescent="0.25">
      <c r="A2224" s="113">
        <v>44651</v>
      </c>
      <c r="B2224" s="21" t="s">
        <v>7067</v>
      </c>
      <c r="C2224" s="13" t="s">
        <v>164</v>
      </c>
      <c r="D2224" s="766"/>
      <c r="E2224" s="22"/>
      <c r="F2224" s="19">
        <v>100000</v>
      </c>
      <c r="G2224" s="14">
        <f t="shared" si="41"/>
        <v>-100000</v>
      </c>
      <c r="H2224" s="1168" t="s">
        <v>7750</v>
      </c>
    </row>
    <row r="2225" spans="1:8" x14ac:dyDescent="0.25">
      <c r="A2225" s="113">
        <v>44651</v>
      </c>
      <c r="B2225" s="21" t="s">
        <v>7112</v>
      </c>
      <c r="C2225" s="13" t="s">
        <v>164</v>
      </c>
      <c r="D2225" s="766"/>
      <c r="E2225" s="22"/>
      <c r="F2225" s="19">
        <v>100000</v>
      </c>
      <c r="G2225" s="14">
        <f t="shared" si="41"/>
        <v>-100000</v>
      </c>
      <c r="H2225" s="1168"/>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71" t="s">
        <v>7754</v>
      </c>
    </row>
    <row r="2232" spans="1:8" x14ac:dyDescent="0.25">
      <c r="A2232" s="113">
        <v>44651</v>
      </c>
      <c r="B2232" s="21" t="s">
        <v>7732</v>
      </c>
      <c r="C2232" s="13" t="s">
        <v>180</v>
      </c>
      <c r="D2232" s="766" t="s">
        <v>3918</v>
      </c>
      <c r="E2232" s="22"/>
      <c r="F2232" s="19">
        <v>710</v>
      </c>
      <c r="G2232" s="14">
        <f t="shared" si="41"/>
        <v>-710</v>
      </c>
      <c r="H2232" s="1171"/>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71" t="s">
        <v>7813</v>
      </c>
    </row>
    <row r="2243" spans="1:8" x14ac:dyDescent="0.25">
      <c r="A2243" s="113">
        <v>44669</v>
      </c>
      <c r="B2243" s="21" t="s">
        <v>7657</v>
      </c>
      <c r="C2243" s="13" t="s">
        <v>7242</v>
      </c>
      <c r="D2243" s="766"/>
      <c r="E2243" s="22"/>
      <c r="F2243" s="19">
        <v>14740</v>
      </c>
      <c r="G2243" s="14">
        <f t="shared" si="41"/>
        <v>-14740</v>
      </c>
      <c r="H2243" s="1171"/>
    </row>
    <row r="2244" spans="1:8" x14ac:dyDescent="0.25">
      <c r="A2244" s="113">
        <v>44669</v>
      </c>
      <c r="B2244" s="21" t="s">
        <v>7112</v>
      </c>
      <c r="C2244" s="13" t="s">
        <v>7242</v>
      </c>
      <c r="D2244" s="766"/>
      <c r="E2244" s="22"/>
      <c r="F2244" s="19">
        <v>12000</v>
      </c>
      <c r="G2244" s="14">
        <f t="shared" si="41"/>
        <v>-12000</v>
      </c>
      <c r="H2244" s="1171"/>
    </row>
    <row r="2245" spans="1:8" x14ac:dyDescent="0.25">
      <c r="A2245" s="113">
        <v>44669</v>
      </c>
      <c r="B2245" s="21" t="s">
        <v>7555</v>
      </c>
      <c r="C2245" s="13" t="s">
        <v>7242</v>
      </c>
      <c r="D2245" s="766"/>
      <c r="E2245" s="22"/>
      <c r="F2245" s="19">
        <v>14230</v>
      </c>
      <c r="G2245" s="14">
        <f t="shared" si="41"/>
        <v>-14230</v>
      </c>
      <c r="H2245" s="1171"/>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8" t="s">
        <v>7845</v>
      </c>
    </row>
    <row r="2251" spans="1:8" x14ac:dyDescent="0.25">
      <c r="A2251" s="716">
        <v>44676</v>
      </c>
      <c r="B2251" s="717" t="s">
        <v>3946</v>
      </c>
      <c r="C2251" s="718" t="s">
        <v>438</v>
      </c>
      <c r="D2251" s="766"/>
      <c r="E2251" s="719"/>
      <c r="F2251" s="720">
        <v>2600</v>
      </c>
      <c r="G2251" s="719">
        <f t="shared" si="41"/>
        <v>-2600</v>
      </c>
      <c r="H2251" s="1198"/>
    </row>
    <row r="2252" spans="1:8" x14ac:dyDescent="0.25">
      <c r="A2252" s="716">
        <v>44676</v>
      </c>
      <c r="B2252" s="717" t="s">
        <v>7112</v>
      </c>
      <c r="C2252" s="718" t="s">
        <v>438</v>
      </c>
      <c r="D2252" s="766"/>
      <c r="E2252" s="719"/>
      <c r="F2252" s="720">
        <v>24420</v>
      </c>
      <c r="G2252" s="719">
        <f t="shared" si="41"/>
        <v>-24420</v>
      </c>
      <c r="H2252" s="1198"/>
    </row>
    <row r="2253" spans="1:8" x14ac:dyDescent="0.25">
      <c r="A2253" s="716">
        <v>44676</v>
      </c>
      <c r="B2253" s="717" t="s">
        <v>1400</v>
      </c>
      <c r="C2253" s="718" t="s">
        <v>438</v>
      </c>
      <c r="D2253" s="766"/>
      <c r="E2253" s="719"/>
      <c r="F2253" s="720">
        <v>57690</v>
      </c>
      <c r="G2253" s="719">
        <f t="shared" si="41"/>
        <v>-57690</v>
      </c>
      <c r="H2253" s="1198"/>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58" t="s">
        <v>7992</v>
      </c>
    </row>
    <row r="2268" spans="1:8" x14ac:dyDescent="0.25">
      <c r="A2268" s="113">
        <v>44695</v>
      </c>
      <c r="B2268" s="21" t="s">
        <v>7112</v>
      </c>
      <c r="C2268" s="13" t="s">
        <v>166</v>
      </c>
      <c r="D2268" s="766"/>
      <c r="E2268" s="22"/>
      <c r="F2268" s="19">
        <v>3880</v>
      </c>
      <c r="G2268" s="14">
        <f t="shared" si="41"/>
        <v>-3880</v>
      </c>
      <c r="H2268" s="1158"/>
    </row>
    <row r="2269" spans="1:8" x14ac:dyDescent="0.25">
      <c r="A2269" s="113">
        <v>44695</v>
      </c>
      <c r="B2269" s="21" t="s">
        <v>7555</v>
      </c>
      <c r="C2269" s="13" t="s">
        <v>166</v>
      </c>
      <c r="D2269" s="766"/>
      <c r="E2269" s="22"/>
      <c r="F2269" s="19">
        <v>25143</v>
      </c>
      <c r="G2269" s="14">
        <f t="shared" si="41"/>
        <v>-25143</v>
      </c>
      <c r="H2269" s="1158"/>
    </row>
    <row r="2270" spans="1:8" x14ac:dyDescent="0.25">
      <c r="A2270" s="113">
        <v>44695</v>
      </c>
      <c r="B2270" s="21" t="s">
        <v>1400</v>
      </c>
      <c r="C2270" s="13" t="s">
        <v>166</v>
      </c>
      <c r="D2270" s="766"/>
      <c r="E2270" s="22"/>
      <c r="F2270" s="19">
        <v>116480</v>
      </c>
      <c r="G2270" s="14">
        <f t="shared" si="41"/>
        <v>-116480</v>
      </c>
      <c r="H2270" s="1158"/>
    </row>
    <row r="2271" spans="1:8" x14ac:dyDescent="0.25">
      <c r="A2271" s="113">
        <v>44695</v>
      </c>
      <c r="B2271" s="21" t="s">
        <v>7746</v>
      </c>
      <c r="C2271" s="13" t="s">
        <v>166</v>
      </c>
      <c r="D2271" s="766"/>
      <c r="E2271" s="22"/>
      <c r="F2271" s="19">
        <v>24000</v>
      </c>
      <c r="G2271" s="14">
        <f t="shared" si="41"/>
        <v>-24000</v>
      </c>
      <c r="H2271" s="1158"/>
    </row>
    <row r="2272" spans="1:8" x14ac:dyDescent="0.25">
      <c r="A2272" s="113">
        <v>44695</v>
      </c>
      <c r="B2272" s="21" t="s">
        <v>7817</v>
      </c>
      <c r="C2272" s="13" t="s">
        <v>166</v>
      </c>
      <c r="D2272" s="766"/>
      <c r="E2272" s="22"/>
      <c r="F2272" s="19">
        <v>15820</v>
      </c>
      <c r="G2272" s="14">
        <f t="shared" si="41"/>
        <v>-15820</v>
      </c>
      <c r="H2272" s="1158"/>
    </row>
    <row r="2273" spans="1:8" x14ac:dyDescent="0.25">
      <c r="A2273" s="113">
        <v>44695</v>
      </c>
      <c r="B2273" s="21" t="s">
        <v>3945</v>
      </c>
      <c r="C2273" s="13" t="s">
        <v>166</v>
      </c>
      <c r="D2273" s="766"/>
      <c r="E2273" s="22"/>
      <c r="F2273" s="19">
        <v>5200</v>
      </c>
      <c r="G2273" s="14">
        <f t="shared" si="41"/>
        <v>-5200</v>
      </c>
      <c r="H2273" s="1158"/>
    </row>
    <row r="2274" spans="1:8" x14ac:dyDescent="0.25">
      <c r="A2274" s="113">
        <v>44695</v>
      </c>
      <c r="B2274" s="21" t="s">
        <v>1400</v>
      </c>
      <c r="C2274" s="13" t="s">
        <v>166</v>
      </c>
      <c r="D2274" s="766"/>
      <c r="E2274" s="22"/>
      <c r="F2274" s="19">
        <v>84852</v>
      </c>
      <c r="G2274" s="14">
        <f t="shared" si="41"/>
        <v>-84852</v>
      </c>
      <c r="H2274" s="1158"/>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56" t="s">
        <v>7900</v>
      </c>
    </row>
    <row r="2279" spans="1:8" x14ac:dyDescent="0.25">
      <c r="A2279" s="113">
        <v>44709</v>
      </c>
      <c r="B2279" s="21" t="s">
        <v>7067</v>
      </c>
      <c r="C2279" s="13" t="s">
        <v>164</v>
      </c>
      <c r="D2279" s="766"/>
      <c r="E2279" s="22"/>
      <c r="F2279" s="19">
        <v>49174</v>
      </c>
      <c r="G2279" s="14">
        <f t="shared" si="41"/>
        <v>-49174</v>
      </c>
      <c r="H2279" s="1156"/>
    </row>
    <row r="2280" spans="1:8" x14ac:dyDescent="0.25">
      <c r="A2280" s="113">
        <v>44709</v>
      </c>
      <c r="B2280" s="21" t="s">
        <v>7112</v>
      </c>
      <c r="C2280" s="13" t="s">
        <v>164</v>
      </c>
      <c r="D2280" s="766"/>
      <c r="E2280" s="22"/>
      <c r="F2280" s="19">
        <v>36997</v>
      </c>
      <c r="G2280" s="14">
        <f t="shared" si="41"/>
        <v>-36997</v>
      </c>
      <c r="H2280" s="1156"/>
    </row>
    <row r="2281" spans="1:8" x14ac:dyDescent="0.25">
      <c r="A2281" s="113">
        <v>44709</v>
      </c>
      <c r="B2281" s="21" t="s">
        <v>7555</v>
      </c>
      <c r="C2281" s="13" t="s">
        <v>164</v>
      </c>
      <c r="D2281" s="766"/>
      <c r="E2281" s="22"/>
      <c r="F2281" s="19">
        <v>4174</v>
      </c>
      <c r="G2281" s="14">
        <f t="shared" si="41"/>
        <v>-4174</v>
      </c>
      <c r="H2281" s="1156"/>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56" t="s">
        <v>7901</v>
      </c>
    </row>
    <row r="2285" spans="1:8" x14ac:dyDescent="0.25">
      <c r="A2285" s="113">
        <v>44711</v>
      </c>
      <c r="B2285" s="21" t="s">
        <v>7555</v>
      </c>
      <c r="C2285" s="13" t="s">
        <v>5681</v>
      </c>
      <c r="D2285" s="766"/>
      <c r="E2285" s="22"/>
      <c r="F2285" s="19">
        <v>5700</v>
      </c>
      <c r="G2285" s="14">
        <f t="shared" si="41"/>
        <v>-5700</v>
      </c>
      <c r="H2285" s="1156"/>
    </row>
    <row r="2286" spans="1:8" x14ac:dyDescent="0.25">
      <c r="A2286" s="113">
        <v>44711</v>
      </c>
      <c r="B2286" s="21" t="s">
        <v>7746</v>
      </c>
      <c r="C2286" s="13" t="s">
        <v>5681</v>
      </c>
      <c r="D2286" s="766"/>
      <c r="E2286" s="22"/>
      <c r="F2286" s="19">
        <v>74800</v>
      </c>
      <c r="G2286" s="14">
        <f t="shared" si="41"/>
        <v>-74800</v>
      </c>
      <c r="H2286" s="1156"/>
    </row>
    <row r="2287" spans="1:8" x14ac:dyDescent="0.25">
      <c r="A2287" s="113">
        <v>44711</v>
      </c>
      <c r="B2287" s="21" t="s">
        <v>7555</v>
      </c>
      <c r="C2287" s="13" t="s">
        <v>7242</v>
      </c>
      <c r="D2287" s="766"/>
      <c r="E2287" s="22"/>
      <c r="F2287" s="19">
        <v>50320</v>
      </c>
      <c r="G2287" s="14">
        <f t="shared" si="41"/>
        <v>-50320</v>
      </c>
      <c r="H2287" s="1156" t="s">
        <v>7902</v>
      </c>
    </row>
    <row r="2288" spans="1:8" x14ac:dyDescent="0.25">
      <c r="A2288" s="113">
        <v>44711</v>
      </c>
      <c r="B2288" s="21" t="s">
        <v>7657</v>
      </c>
      <c r="C2288" s="13" t="s">
        <v>7242</v>
      </c>
      <c r="D2288" s="766"/>
      <c r="E2288" s="22"/>
      <c r="F2288" s="19">
        <v>8180</v>
      </c>
      <c r="G2288" s="14">
        <f t="shared" si="41"/>
        <v>-8180</v>
      </c>
      <c r="H2288" s="1156"/>
    </row>
    <row r="2289" spans="1:8" x14ac:dyDescent="0.25">
      <c r="A2289" s="113">
        <v>44711</v>
      </c>
      <c r="B2289" s="21" t="s">
        <v>7817</v>
      </c>
      <c r="C2289" s="13" t="s">
        <v>7242</v>
      </c>
      <c r="D2289" s="766"/>
      <c r="E2289" s="22"/>
      <c r="F2289" s="19">
        <v>17000</v>
      </c>
      <c r="G2289" s="14">
        <f t="shared" si="41"/>
        <v>-17000</v>
      </c>
      <c r="H2289" s="1156"/>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56" t="s">
        <v>1157</v>
      </c>
    </row>
    <row r="2293" spans="1:8" x14ac:dyDescent="0.25">
      <c r="A2293" s="113">
        <v>44712</v>
      </c>
      <c r="B2293" s="21" t="s">
        <v>6408</v>
      </c>
      <c r="C2293" s="13" t="s">
        <v>3011</v>
      </c>
      <c r="D2293" s="766"/>
      <c r="E2293" s="22"/>
      <c r="F2293" s="19">
        <v>28567</v>
      </c>
      <c r="G2293" s="14">
        <f t="shared" si="41"/>
        <v>-28567</v>
      </c>
      <c r="H2293" s="1156"/>
    </row>
    <row r="2294" spans="1:8" x14ac:dyDescent="0.25">
      <c r="A2294" s="113">
        <v>44712</v>
      </c>
      <c r="B2294" s="21" t="s">
        <v>6511</v>
      </c>
      <c r="C2294" s="13" t="s">
        <v>3011</v>
      </c>
      <c r="D2294" s="766"/>
      <c r="E2294" s="22"/>
      <c r="F2294" s="19">
        <v>3053</v>
      </c>
      <c r="G2294" s="14">
        <f t="shared" si="41"/>
        <v>-3053</v>
      </c>
      <c r="H2294" s="1156"/>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70" t="s">
        <v>7995</v>
      </c>
    </row>
    <row r="2305" spans="1:8" x14ac:dyDescent="0.25">
      <c r="A2305" s="113">
        <v>44726</v>
      </c>
      <c r="B2305" s="21" t="s">
        <v>7921</v>
      </c>
      <c r="C2305" s="13" t="s">
        <v>166</v>
      </c>
      <c r="D2305" s="766"/>
      <c r="E2305" s="22"/>
      <c r="F2305" s="19">
        <v>132000</v>
      </c>
      <c r="G2305" s="14">
        <f t="shared" si="41"/>
        <v>-132000</v>
      </c>
      <c r="H2305" s="1170"/>
    </row>
    <row r="2306" spans="1:8" x14ac:dyDescent="0.25">
      <c r="A2306" s="113">
        <v>44726</v>
      </c>
      <c r="B2306" s="21" t="s">
        <v>7921</v>
      </c>
      <c r="C2306" s="13" t="s">
        <v>166</v>
      </c>
      <c r="D2306" s="766"/>
      <c r="E2306" s="22"/>
      <c r="F2306" s="19">
        <v>151650</v>
      </c>
      <c r="G2306" s="14">
        <f t="shared" si="41"/>
        <v>-151650</v>
      </c>
      <c r="H2306" s="1170"/>
    </row>
    <row r="2307" spans="1:8" x14ac:dyDescent="0.25">
      <c r="A2307" s="113">
        <v>44726</v>
      </c>
      <c r="B2307" s="21" t="s">
        <v>7921</v>
      </c>
      <c r="C2307" s="13" t="s">
        <v>166</v>
      </c>
      <c r="D2307" s="766"/>
      <c r="E2307" s="22"/>
      <c r="F2307" s="19">
        <f>500000-F2306-F2305-F2304</f>
        <v>60560</v>
      </c>
      <c r="G2307" s="14">
        <f t="shared" si="41"/>
        <v>-60560</v>
      </c>
      <c r="H2307" s="1170"/>
    </row>
    <row r="2308" spans="1:8" ht="15.75" customHeight="1" x14ac:dyDescent="0.25">
      <c r="A2308" s="113">
        <v>44726</v>
      </c>
      <c r="B2308" s="21" t="s">
        <v>2933</v>
      </c>
      <c r="C2308" s="13" t="s">
        <v>161</v>
      </c>
      <c r="D2308" s="766"/>
      <c r="E2308" s="22"/>
      <c r="F2308" s="19">
        <v>21337</v>
      </c>
      <c r="G2308" s="14">
        <f t="shared" si="41"/>
        <v>-21337</v>
      </c>
      <c r="H2308" s="1172" t="s">
        <v>7964</v>
      </c>
    </row>
    <row r="2309" spans="1:8" ht="15.75" customHeight="1" x14ac:dyDescent="0.25">
      <c r="A2309" s="113">
        <v>44726</v>
      </c>
      <c r="B2309" s="21" t="s">
        <v>7732</v>
      </c>
      <c r="C2309" s="13" t="s">
        <v>161</v>
      </c>
      <c r="D2309" s="766"/>
      <c r="E2309" s="22"/>
      <c r="F2309" s="19">
        <v>44651</v>
      </c>
      <c r="G2309" s="14">
        <f t="shared" si="41"/>
        <v>-44651</v>
      </c>
      <c r="H2309" s="1172"/>
    </row>
    <row r="2310" spans="1:8" ht="15.75" customHeight="1" x14ac:dyDescent="0.25">
      <c r="A2310" s="113">
        <v>44726</v>
      </c>
      <c r="B2310" s="21" t="s">
        <v>7746</v>
      </c>
      <c r="C2310" s="13" t="s">
        <v>161</v>
      </c>
      <c r="D2310" s="766"/>
      <c r="E2310" s="22"/>
      <c r="F2310" s="19">
        <v>33179</v>
      </c>
      <c r="G2310" s="14">
        <f t="shared" si="41"/>
        <v>-33179</v>
      </c>
      <c r="H2310" s="1172"/>
    </row>
    <row r="2311" spans="1:8" ht="16.5" customHeight="1" x14ac:dyDescent="0.25">
      <c r="A2311" s="113">
        <v>44726</v>
      </c>
      <c r="B2311" s="21" t="s">
        <v>7817</v>
      </c>
      <c r="C2311" s="13" t="s">
        <v>161</v>
      </c>
      <c r="D2311" s="766"/>
      <c r="E2311" s="22"/>
      <c r="F2311" s="19">
        <v>58530</v>
      </c>
      <c r="G2311" s="14">
        <f t="shared" si="41"/>
        <v>-58530</v>
      </c>
      <c r="H2311" s="1172"/>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55" t="s">
        <v>8541</v>
      </c>
    </row>
    <row r="2439" spans="1:8" x14ac:dyDescent="0.25">
      <c r="A2439" s="113">
        <v>44859</v>
      </c>
      <c r="B2439" s="21" t="s">
        <v>8077</v>
      </c>
      <c r="C2439" s="13" t="s">
        <v>166</v>
      </c>
      <c r="D2439" s="766"/>
      <c r="E2439" s="22"/>
      <c r="F2439" s="19">
        <v>31200</v>
      </c>
      <c r="G2439" s="14">
        <f t="shared" si="47"/>
        <v>-31200</v>
      </c>
      <c r="H2439" s="1155"/>
    </row>
    <row r="2440" spans="1:8" x14ac:dyDescent="0.25">
      <c r="A2440" s="113">
        <v>44859</v>
      </c>
      <c r="B2440" s="21" t="s">
        <v>8559</v>
      </c>
      <c r="C2440" s="13" t="s">
        <v>166</v>
      </c>
      <c r="D2440" s="766"/>
      <c r="E2440" s="22"/>
      <c r="F2440" s="19">
        <v>109718</v>
      </c>
      <c r="G2440" s="14">
        <f t="shared" si="47"/>
        <v>-109718</v>
      </c>
      <c r="H2440" s="1155"/>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57" t="s">
        <v>8554</v>
      </c>
    </row>
    <row r="2445" spans="1:8" x14ac:dyDescent="0.25">
      <c r="A2445" s="113">
        <v>44860</v>
      </c>
      <c r="B2445" s="21" t="s">
        <v>6505</v>
      </c>
      <c r="C2445" s="13" t="s">
        <v>2196</v>
      </c>
      <c r="D2445" s="766"/>
      <c r="E2445" s="22"/>
      <c r="F2445" s="19">
        <v>23920</v>
      </c>
      <c r="G2445" s="14">
        <f t="shared" si="47"/>
        <v>-23920</v>
      </c>
      <c r="H2445" s="1157"/>
    </row>
    <row r="2446" spans="1:8" x14ac:dyDescent="0.25">
      <c r="A2446" s="113">
        <v>44860</v>
      </c>
      <c r="B2446" s="21" t="s">
        <v>8559</v>
      </c>
      <c r="C2446" s="13" t="s">
        <v>2196</v>
      </c>
      <c r="D2446" s="766"/>
      <c r="E2446" s="22"/>
      <c r="F2446" s="19">
        <v>11080</v>
      </c>
      <c r="G2446" s="14">
        <f t="shared" si="47"/>
        <v>-11080</v>
      </c>
      <c r="H2446" s="1157"/>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67" t="s">
        <v>8627</v>
      </c>
    </row>
    <row r="2469" spans="1:8" x14ac:dyDescent="0.25">
      <c r="A2469" s="113">
        <v>44872</v>
      </c>
      <c r="B2469" s="21" t="s">
        <v>7817</v>
      </c>
      <c r="C2469" s="13" t="s">
        <v>162</v>
      </c>
      <c r="D2469" s="766"/>
      <c r="E2469" s="22"/>
      <c r="F2469" s="19">
        <v>35000</v>
      </c>
      <c r="G2469" s="14">
        <f t="shared" si="47"/>
        <v>-35000</v>
      </c>
      <c r="H2469" s="1167"/>
    </row>
    <row r="2470" spans="1:8" x14ac:dyDescent="0.25">
      <c r="A2470" s="113">
        <v>44872</v>
      </c>
      <c r="B2470" s="21" t="s">
        <v>7921</v>
      </c>
      <c r="C2470" s="13" t="s">
        <v>162</v>
      </c>
      <c r="D2470" s="766"/>
      <c r="E2470" s="22"/>
      <c r="F2470" s="19">
        <v>26000</v>
      </c>
      <c r="G2470" s="14">
        <f t="shared" si="47"/>
        <v>-26000</v>
      </c>
      <c r="H2470" s="1167"/>
    </row>
    <row r="2471" spans="1:8" x14ac:dyDescent="0.25">
      <c r="A2471" s="113">
        <v>44872</v>
      </c>
      <c r="B2471" s="21" t="s">
        <v>8077</v>
      </c>
      <c r="C2471" s="13" t="s">
        <v>162</v>
      </c>
      <c r="D2471" s="766"/>
      <c r="E2471" s="22"/>
      <c r="F2471" s="19">
        <v>32000</v>
      </c>
      <c r="G2471" s="14">
        <f t="shared" si="47"/>
        <v>-32000</v>
      </c>
      <c r="H2471" s="1167"/>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67" t="s">
        <v>8676</v>
      </c>
    </row>
    <row r="2487" spans="1:8" x14ac:dyDescent="0.25">
      <c r="A2487" s="113">
        <v>44882</v>
      </c>
      <c r="B2487" s="21" t="s">
        <v>8043</v>
      </c>
      <c r="C2487" s="13" t="s">
        <v>161</v>
      </c>
      <c r="D2487" s="766"/>
      <c r="E2487" s="22"/>
      <c r="F2487" s="19">
        <v>60000</v>
      </c>
      <c r="G2487" s="14">
        <f t="shared" si="48"/>
        <v>-60000</v>
      </c>
      <c r="H2487" s="1167"/>
    </row>
    <row r="2488" spans="1:8" x14ac:dyDescent="0.25">
      <c r="A2488" s="113">
        <v>44882</v>
      </c>
      <c r="B2488" s="21" t="s">
        <v>7817</v>
      </c>
      <c r="C2488" s="13" t="s">
        <v>161</v>
      </c>
      <c r="D2488" s="766"/>
      <c r="E2488" s="22"/>
      <c r="F2488" s="19">
        <v>95</v>
      </c>
      <c r="G2488" s="14">
        <f t="shared" si="48"/>
        <v>-95</v>
      </c>
      <c r="H2488" s="1167" t="s">
        <v>4977</v>
      </c>
    </row>
    <row r="2489" spans="1:8" x14ac:dyDescent="0.25">
      <c r="A2489" s="113">
        <v>44882</v>
      </c>
      <c r="B2489" s="21" t="s">
        <v>8043</v>
      </c>
      <c r="C2489" s="13" t="s">
        <v>161</v>
      </c>
      <c r="D2489" s="766"/>
      <c r="E2489" s="22"/>
      <c r="F2489" s="19">
        <v>383</v>
      </c>
      <c r="G2489" s="14">
        <f t="shared" si="48"/>
        <v>-383</v>
      </c>
      <c r="H2489" s="1167"/>
    </row>
    <row r="2490" spans="1:8" x14ac:dyDescent="0.25">
      <c r="A2490" s="113">
        <v>44882</v>
      </c>
      <c r="B2490" s="21" t="s">
        <v>7921</v>
      </c>
      <c r="C2490" s="13" t="s">
        <v>8394</v>
      </c>
      <c r="D2490" s="766"/>
      <c r="E2490" s="22"/>
      <c r="F2490" s="19">
        <v>100000</v>
      </c>
      <c r="G2490" s="14">
        <f t="shared" si="48"/>
        <v>-100000</v>
      </c>
      <c r="H2490" s="1215" t="s">
        <v>8635</v>
      </c>
    </row>
    <row r="2491" spans="1:8" x14ac:dyDescent="0.25">
      <c r="A2491" s="113">
        <v>44882</v>
      </c>
      <c r="B2491" s="21" t="s">
        <v>8043</v>
      </c>
      <c r="C2491" s="13" t="s">
        <v>8394</v>
      </c>
      <c r="D2491" s="766"/>
      <c r="E2491" s="22"/>
      <c r="F2491" s="19">
        <v>100000</v>
      </c>
      <c r="G2491" s="14">
        <f t="shared" si="48"/>
        <v>-100000</v>
      </c>
      <c r="H2491" s="1215"/>
    </row>
    <row r="2492" spans="1:8" x14ac:dyDescent="0.25">
      <c r="A2492" s="113">
        <v>44882</v>
      </c>
      <c r="B2492" s="21" t="s">
        <v>8559</v>
      </c>
      <c r="C2492" s="13" t="s">
        <v>8394</v>
      </c>
      <c r="D2492" s="766"/>
      <c r="E2492" s="22"/>
      <c r="F2492" s="19">
        <v>200000</v>
      </c>
      <c r="G2492" s="14">
        <f t="shared" si="48"/>
        <v>-200000</v>
      </c>
      <c r="H2492" s="1215"/>
    </row>
    <row r="2493" spans="1:8" x14ac:dyDescent="0.25">
      <c r="A2493" s="113">
        <v>44882</v>
      </c>
      <c r="B2493" s="21" t="s">
        <v>8532</v>
      </c>
      <c r="C2493" s="13" t="s">
        <v>8394</v>
      </c>
      <c r="D2493" s="766"/>
      <c r="E2493" s="22"/>
      <c r="F2493" s="19">
        <v>100000</v>
      </c>
      <c r="G2493" s="14">
        <f t="shared" si="48"/>
        <v>-100000</v>
      </c>
      <c r="H2493" s="1215"/>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56" t="s">
        <v>8721</v>
      </c>
    </row>
    <row r="2509" spans="1:8" x14ac:dyDescent="0.25">
      <c r="A2509" s="113">
        <v>44888</v>
      </c>
      <c r="B2509" s="21" t="s">
        <v>7953</v>
      </c>
      <c r="C2509" s="13" t="s">
        <v>180</v>
      </c>
      <c r="D2509" s="766"/>
      <c r="E2509" s="22"/>
      <c r="F2509" s="19">
        <v>28000</v>
      </c>
      <c r="G2509" s="14">
        <f t="shared" si="48"/>
        <v>-28000</v>
      </c>
      <c r="H2509" s="1156"/>
    </row>
    <row r="2510" spans="1:8" x14ac:dyDescent="0.25">
      <c r="A2510" s="113">
        <v>44888</v>
      </c>
      <c r="B2510" s="21" t="s">
        <v>8043</v>
      </c>
      <c r="C2510" s="13" t="s">
        <v>180</v>
      </c>
      <c r="D2510" s="766"/>
      <c r="E2510" s="22"/>
      <c r="F2510" s="19">
        <v>100000</v>
      </c>
      <c r="G2510" s="14">
        <f t="shared" si="48"/>
        <v>-100000</v>
      </c>
      <c r="H2510" s="1156"/>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54" t="s">
        <v>8635</v>
      </c>
    </row>
    <row r="2524" spans="1:8" x14ac:dyDescent="0.25">
      <c r="A2524" s="113">
        <v>44889</v>
      </c>
      <c r="B2524" s="21" t="s">
        <v>8043</v>
      </c>
      <c r="C2524" s="13" t="s">
        <v>8394</v>
      </c>
      <c r="D2524" s="766"/>
      <c r="E2524" s="22"/>
      <c r="F2524" s="19">
        <v>50117</v>
      </c>
      <c r="G2524" s="14">
        <f t="shared" si="48"/>
        <v>-50117</v>
      </c>
      <c r="H2524" s="1154"/>
    </row>
    <row r="2525" spans="1:8" x14ac:dyDescent="0.25">
      <c r="A2525" s="113">
        <v>44889</v>
      </c>
      <c r="B2525" s="21" t="s">
        <v>8077</v>
      </c>
      <c r="C2525" s="13" t="s">
        <v>8394</v>
      </c>
      <c r="D2525" s="766"/>
      <c r="E2525" s="22"/>
      <c r="F2525" s="19">
        <v>13496</v>
      </c>
      <c r="G2525" s="14">
        <f t="shared" si="48"/>
        <v>-13496</v>
      </c>
      <c r="H2525" s="1154"/>
    </row>
    <row r="2526" spans="1:8" x14ac:dyDescent="0.25">
      <c r="A2526" s="113">
        <v>44889</v>
      </c>
      <c r="B2526" s="21" t="s">
        <v>8559</v>
      </c>
      <c r="C2526" s="13" t="s">
        <v>8394</v>
      </c>
      <c r="D2526" s="766"/>
      <c r="E2526" s="22"/>
      <c r="F2526" s="19">
        <v>115599</v>
      </c>
      <c r="G2526" s="14">
        <f t="shared" si="48"/>
        <v>-115599</v>
      </c>
      <c r="H2526" s="1154"/>
    </row>
    <row r="2527" spans="1:8" x14ac:dyDescent="0.25">
      <c r="A2527" s="113">
        <v>44889</v>
      </c>
      <c r="B2527" s="21" t="s">
        <v>8532</v>
      </c>
      <c r="C2527" s="13" t="s">
        <v>8394</v>
      </c>
      <c r="D2527" s="766"/>
      <c r="E2527" s="22"/>
      <c r="F2527" s="19">
        <v>72562</v>
      </c>
      <c r="G2527" s="14">
        <f t="shared" si="48"/>
        <v>-72562</v>
      </c>
      <c r="H2527" s="1154"/>
    </row>
    <row r="2528" spans="1:8" x14ac:dyDescent="0.25">
      <c r="A2528" s="113">
        <v>44889</v>
      </c>
      <c r="B2528" s="21" t="s">
        <v>8657</v>
      </c>
      <c r="C2528" s="13" t="s">
        <v>8394</v>
      </c>
      <c r="D2528" s="766"/>
      <c r="E2528" s="22"/>
      <c r="F2528" s="19">
        <f>500000-F2527-F2526-F2525-F2524-F2523</f>
        <v>197007</v>
      </c>
      <c r="G2528" s="14">
        <f t="shared" si="48"/>
        <v>-197007</v>
      </c>
      <c r="H2528" s="1154"/>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66" t="s">
        <v>8824</v>
      </c>
    </row>
    <row r="2555" spans="1:8" x14ac:dyDescent="0.25">
      <c r="A2555" s="113">
        <v>44902</v>
      </c>
      <c r="B2555" s="10" t="s">
        <v>8339</v>
      </c>
      <c r="C2555" s="11" t="s">
        <v>2196</v>
      </c>
      <c r="F2555" s="9">
        <v>39210</v>
      </c>
      <c r="G2555" s="6">
        <f t="shared" si="48"/>
        <v>-39210</v>
      </c>
      <c r="H2555" s="1166"/>
    </row>
    <row r="2556" spans="1:8" x14ac:dyDescent="0.25">
      <c r="A2556" s="113">
        <v>44902</v>
      </c>
      <c r="B2556" s="10" t="s">
        <v>8559</v>
      </c>
      <c r="C2556" s="11" t="s">
        <v>2196</v>
      </c>
      <c r="F2556" s="9">
        <v>18450</v>
      </c>
      <c r="G2556" s="6">
        <f t="shared" si="48"/>
        <v>-18450</v>
      </c>
      <c r="H2556" s="1166"/>
    </row>
    <row r="2557" spans="1:8" x14ac:dyDescent="0.25">
      <c r="A2557" s="113">
        <v>44902</v>
      </c>
      <c r="B2557" s="10" t="s">
        <v>8657</v>
      </c>
      <c r="C2557" s="11" t="s">
        <v>2196</v>
      </c>
      <c r="F2557" s="9">
        <v>80000</v>
      </c>
      <c r="G2557" s="6">
        <f t="shared" si="48"/>
        <v>-80000</v>
      </c>
      <c r="H2557" s="1166"/>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58" t="s">
        <v>8851</v>
      </c>
    </row>
    <row r="2565" spans="1:8" x14ac:dyDescent="0.25">
      <c r="A2565" s="113">
        <v>44907</v>
      </c>
      <c r="B2565" s="743" t="s">
        <v>3946</v>
      </c>
      <c r="C2565" s="750" t="s">
        <v>438</v>
      </c>
      <c r="D2565" s="779"/>
      <c r="E2565" s="751"/>
      <c r="F2565" s="752">
        <v>68000</v>
      </c>
      <c r="G2565" s="753">
        <f t="shared" si="48"/>
        <v>-68000</v>
      </c>
      <c r="H2565" s="1158"/>
    </row>
    <row r="2566" spans="1:8" x14ac:dyDescent="0.25">
      <c r="A2566" s="113">
        <v>44907</v>
      </c>
      <c r="B2566" s="743" t="s">
        <v>1400</v>
      </c>
      <c r="C2566" s="750" t="s">
        <v>438</v>
      </c>
      <c r="D2566" s="779"/>
      <c r="E2566" s="751"/>
      <c r="F2566" s="752">
        <v>7600</v>
      </c>
      <c r="G2566" s="753">
        <f t="shared" si="48"/>
        <v>-7600</v>
      </c>
      <c r="H2566" s="1158"/>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63" t="s">
        <v>8869</v>
      </c>
    </row>
    <row r="2575" spans="1:8" x14ac:dyDescent="0.25">
      <c r="A2575" s="113">
        <v>44910</v>
      </c>
      <c r="B2575" s="743" t="s">
        <v>6505</v>
      </c>
      <c r="C2575" s="750" t="s">
        <v>164</v>
      </c>
      <c r="D2575" s="779"/>
      <c r="E2575" s="751"/>
      <c r="F2575" s="752">
        <v>9328</v>
      </c>
      <c r="G2575" s="753">
        <f t="shared" si="48"/>
        <v>-9328</v>
      </c>
      <c r="H2575" s="1163"/>
    </row>
    <row r="2576" spans="1:8" x14ac:dyDescent="0.25">
      <c r="A2576" s="113">
        <v>44910</v>
      </c>
      <c r="B2576" s="743" t="s">
        <v>7067</v>
      </c>
      <c r="C2576" s="750" t="s">
        <v>164</v>
      </c>
      <c r="D2576" s="779"/>
      <c r="E2576" s="751"/>
      <c r="F2576" s="752">
        <v>247</v>
      </c>
      <c r="G2576" s="753">
        <f t="shared" si="48"/>
        <v>-247</v>
      </c>
      <c r="H2576" s="1163"/>
    </row>
    <row r="2577" spans="1:8" x14ac:dyDescent="0.25">
      <c r="A2577" s="113">
        <v>44910</v>
      </c>
      <c r="B2577" s="743" t="s">
        <v>1400</v>
      </c>
      <c r="C2577" s="750" t="s">
        <v>164</v>
      </c>
      <c r="D2577" s="779"/>
      <c r="E2577" s="751"/>
      <c r="F2577" s="752">
        <v>23076</v>
      </c>
      <c r="G2577" s="753">
        <f t="shared" si="48"/>
        <v>-23076</v>
      </c>
      <c r="H2577" s="1163"/>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62" t="s">
        <v>8896</v>
      </c>
    </row>
    <row r="2583" spans="1:8" x14ac:dyDescent="0.25">
      <c r="A2583" s="113">
        <v>44914</v>
      </c>
      <c r="B2583" s="743" t="s">
        <v>6511</v>
      </c>
      <c r="C2583" s="750" t="s">
        <v>3011</v>
      </c>
      <c r="D2583" s="779"/>
      <c r="E2583" s="751"/>
      <c r="F2583" s="752">
        <v>11000</v>
      </c>
      <c r="G2583" s="753">
        <f t="shared" si="48"/>
        <v>-11000</v>
      </c>
      <c r="H2583" s="1162"/>
    </row>
    <row r="2584" spans="1:8" x14ac:dyDescent="0.25">
      <c r="A2584" s="113">
        <v>44914</v>
      </c>
      <c r="B2584" s="743" t="s">
        <v>8043</v>
      </c>
      <c r="C2584" s="750" t="s">
        <v>3011</v>
      </c>
      <c r="D2584" s="779"/>
      <c r="E2584" s="751"/>
      <c r="F2584" s="752">
        <v>25000</v>
      </c>
      <c r="G2584" s="753">
        <f t="shared" si="48"/>
        <v>-25000</v>
      </c>
      <c r="H2584" s="1162"/>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4" t="s">
        <v>8989</v>
      </c>
    </row>
    <row r="2616" spans="1:8" x14ac:dyDescent="0.25">
      <c r="A2616" s="113">
        <v>44933</v>
      </c>
      <c r="B2616" s="21" t="s">
        <v>7921</v>
      </c>
      <c r="C2616" s="13" t="s">
        <v>8456</v>
      </c>
      <c r="D2616" s="766"/>
      <c r="E2616" s="22"/>
      <c r="F2616" s="19">
        <v>42000</v>
      </c>
      <c r="G2616" s="14">
        <f t="shared" si="48"/>
        <v>-42000</v>
      </c>
      <c r="H2616" s="1165"/>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59" t="s">
        <v>9034</v>
      </c>
    </row>
    <row r="2626" spans="1:8" x14ac:dyDescent="0.25">
      <c r="A2626" s="113">
        <v>44942</v>
      </c>
      <c r="B2626" s="21" t="s">
        <v>7921</v>
      </c>
      <c r="C2626" s="13" t="s">
        <v>166</v>
      </c>
      <c r="D2626" s="766"/>
      <c r="E2626" s="783"/>
      <c r="F2626" s="142">
        <v>25000</v>
      </c>
      <c r="G2626" s="784">
        <f t="shared" si="48"/>
        <v>-25000</v>
      </c>
      <c r="H2626" s="1160"/>
    </row>
    <row r="2627" spans="1:8" x14ac:dyDescent="0.25">
      <c r="A2627" s="113">
        <v>44942</v>
      </c>
      <c r="B2627" s="21" t="s">
        <v>8339</v>
      </c>
      <c r="C2627" s="13" t="s">
        <v>166</v>
      </c>
      <c r="D2627" s="766"/>
      <c r="E2627" s="783"/>
      <c r="F2627" s="142">
        <v>69000</v>
      </c>
      <c r="G2627" s="784">
        <f t="shared" si="48"/>
        <v>-69000</v>
      </c>
      <c r="H2627" s="1160"/>
    </row>
    <row r="2628" spans="1:8" x14ac:dyDescent="0.25">
      <c r="A2628" s="113">
        <v>44942</v>
      </c>
      <c r="B2628" s="21" t="s">
        <v>8559</v>
      </c>
      <c r="C2628" s="13" t="s">
        <v>166</v>
      </c>
      <c r="D2628" s="766"/>
      <c r="E2628" s="783"/>
      <c r="F2628" s="142">
        <v>15282</v>
      </c>
      <c r="G2628" s="784">
        <f t="shared" si="48"/>
        <v>-15282</v>
      </c>
      <c r="H2628" s="1160"/>
    </row>
    <row r="2629" spans="1:8" ht="16.5" thickBot="1" x14ac:dyDescent="0.3">
      <c r="A2629" s="113">
        <v>44942</v>
      </c>
      <c r="B2629" s="21" t="s">
        <v>8532</v>
      </c>
      <c r="C2629" s="13" t="s">
        <v>166</v>
      </c>
      <c r="D2629" s="766"/>
      <c r="E2629" s="783"/>
      <c r="F2629" s="786">
        <v>47891</v>
      </c>
      <c r="G2629" s="784">
        <f t="shared" si="48"/>
        <v>-47891</v>
      </c>
      <c r="H2629" s="1161"/>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4" t="s">
        <v>9075</v>
      </c>
    </row>
    <row r="2636" spans="1:8" x14ac:dyDescent="0.25">
      <c r="A2636" s="113">
        <v>44949</v>
      </c>
      <c r="B2636" s="21" t="s">
        <v>8339</v>
      </c>
      <c r="C2636" s="13" t="s">
        <v>169</v>
      </c>
      <c r="D2636" s="766"/>
      <c r="E2636" s="22"/>
      <c r="F2636" s="19">
        <v>65227</v>
      </c>
      <c r="G2636" s="784">
        <f t="shared" si="48"/>
        <v>-65227</v>
      </c>
      <c r="H2636" s="1165"/>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59" t="s">
        <v>10316</v>
      </c>
    </row>
    <row r="2651" spans="1:8" x14ac:dyDescent="0.25">
      <c r="A2651" s="113">
        <v>44957</v>
      </c>
      <c r="B2651" s="21" t="s">
        <v>8657</v>
      </c>
      <c r="C2651" s="13" t="s">
        <v>7242</v>
      </c>
      <c r="D2651" s="766"/>
      <c r="E2651" s="22"/>
      <c r="F2651" s="19">
        <v>443603</v>
      </c>
      <c r="G2651" s="14">
        <f t="shared" ref="G2651" si="49">E2651-F2651</f>
        <v>-443603</v>
      </c>
      <c r="H2651" s="1161"/>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204" t="s">
        <v>9307</v>
      </c>
      <c r="E2657" s="22">
        <v>56000</v>
      </c>
      <c r="F2657" s="19"/>
      <c r="G2657" s="14">
        <f t="shared" si="48"/>
        <v>56000</v>
      </c>
      <c r="H2657" s="922" t="s">
        <v>9308</v>
      </c>
    </row>
    <row r="2658" spans="1:8" x14ac:dyDescent="0.25">
      <c r="A2658" s="113">
        <v>44965</v>
      </c>
      <c r="B2658" s="21" t="s">
        <v>8043</v>
      </c>
      <c r="C2658" s="13" t="s">
        <v>169</v>
      </c>
      <c r="D2658" s="1205"/>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212" t="s">
        <v>9309</v>
      </c>
    </row>
    <row r="2660" spans="1:8" x14ac:dyDescent="0.25">
      <c r="A2660" s="113">
        <v>44965</v>
      </c>
      <c r="B2660" s="21" t="s">
        <v>8339</v>
      </c>
      <c r="C2660" s="13" t="s">
        <v>169</v>
      </c>
      <c r="D2660" s="766"/>
      <c r="E2660" s="22"/>
      <c r="F2660" s="19">
        <v>10173</v>
      </c>
      <c r="G2660" s="14">
        <f t="shared" si="48"/>
        <v>-10173</v>
      </c>
      <c r="H2660" s="1213"/>
    </row>
    <row r="2661" spans="1:8" x14ac:dyDescent="0.25">
      <c r="A2661" s="113">
        <v>44965</v>
      </c>
      <c r="B2661" s="21" t="s">
        <v>8876</v>
      </c>
      <c r="C2661" s="13" t="s">
        <v>169</v>
      </c>
      <c r="D2661" s="766"/>
      <c r="E2661" s="22"/>
      <c r="F2661" s="19">
        <v>23827</v>
      </c>
      <c r="G2661" s="14">
        <f t="shared" si="48"/>
        <v>-23827</v>
      </c>
      <c r="H2661" s="1214"/>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204" t="s">
        <v>9325</v>
      </c>
      <c r="E2663" s="22">
        <f>6336+15840+24960+43680</f>
        <v>90816</v>
      </c>
      <c r="F2663" s="19"/>
      <c r="G2663" s="14">
        <f t="shared" si="48"/>
        <v>90816</v>
      </c>
      <c r="H2663" s="1206" t="s">
        <v>9326</v>
      </c>
    </row>
    <row r="2664" spans="1:8" x14ac:dyDescent="0.25">
      <c r="A2664" s="113">
        <v>44967</v>
      </c>
      <c r="B2664" s="21" t="s">
        <v>8043</v>
      </c>
      <c r="C2664" s="13" t="s">
        <v>5187</v>
      </c>
      <c r="D2664" s="1205"/>
      <c r="E2664" s="22">
        <f>5032+5596</f>
        <v>10628</v>
      </c>
      <c r="F2664" s="19"/>
      <c r="G2664" s="14">
        <f t="shared" si="48"/>
        <v>10628</v>
      </c>
      <c r="H2664" s="1207"/>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204" t="s">
        <v>9350</v>
      </c>
      <c r="E2666" s="22">
        <f>15552+18000</f>
        <v>33552</v>
      </c>
      <c r="F2666" s="19"/>
      <c r="G2666" s="14">
        <f t="shared" si="48"/>
        <v>33552</v>
      </c>
      <c r="H2666" s="1206" t="s">
        <v>9326</v>
      </c>
    </row>
    <row r="2667" spans="1:8" x14ac:dyDescent="0.25">
      <c r="A2667" s="113">
        <v>44967</v>
      </c>
      <c r="B2667" s="21" t="s">
        <v>8339</v>
      </c>
      <c r="C2667" s="13" t="s">
        <v>5187</v>
      </c>
      <c r="D2667" s="1205"/>
      <c r="E2667" s="22">
        <v>28080</v>
      </c>
      <c r="F2667" s="19"/>
      <c r="G2667" s="14">
        <f t="shared" si="48"/>
        <v>28080</v>
      </c>
      <c r="H2667" s="1207"/>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84" t="s">
        <v>9351</v>
      </c>
    </row>
    <row r="2685" spans="1:8" x14ac:dyDescent="0.25">
      <c r="A2685" s="113">
        <v>44973</v>
      </c>
      <c r="B2685" s="21" t="s">
        <v>8077</v>
      </c>
      <c r="C2685" s="13" t="s">
        <v>5187</v>
      </c>
      <c r="D2685" s="766"/>
      <c r="E2685" s="22"/>
      <c r="F2685" s="19">
        <v>63132</v>
      </c>
      <c r="G2685" s="14">
        <f t="shared" si="48"/>
        <v>-63132</v>
      </c>
      <c r="H2685" s="1185"/>
    </row>
    <row r="2686" spans="1:8" x14ac:dyDescent="0.25">
      <c r="A2686" s="113">
        <v>44973</v>
      </c>
      <c r="B2686" s="21" t="s">
        <v>8339</v>
      </c>
      <c r="C2686" s="13" t="s">
        <v>5187</v>
      </c>
      <c r="D2686" s="766"/>
      <c r="E2686" s="22"/>
      <c r="F2686" s="19">
        <v>98924</v>
      </c>
      <c r="G2686" s="14">
        <f t="shared" si="48"/>
        <v>-98924</v>
      </c>
      <c r="H2686" s="1186"/>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33" t="s">
        <v>9458</v>
      </c>
    </row>
    <row r="2702" spans="1:8" x14ac:dyDescent="0.25">
      <c r="A2702" s="113">
        <v>45001</v>
      </c>
      <c r="B2702" s="21" t="s">
        <v>8532</v>
      </c>
      <c r="C2702" s="13" t="s">
        <v>166</v>
      </c>
      <c r="D2702" s="766"/>
      <c r="E2702" s="22"/>
      <c r="F2702" s="19">
        <v>15069</v>
      </c>
      <c r="G2702" s="14">
        <f t="shared" si="48"/>
        <v>-15069</v>
      </c>
      <c r="H2702" s="1234"/>
    </row>
    <row r="2703" spans="1:8" x14ac:dyDescent="0.25">
      <c r="A2703" s="113">
        <v>45001</v>
      </c>
      <c r="B2703" s="21" t="s">
        <v>8657</v>
      </c>
      <c r="C2703" s="13" t="s">
        <v>166</v>
      </c>
      <c r="D2703" s="766"/>
      <c r="E2703" s="22"/>
      <c r="F2703" s="19">
        <v>848690</v>
      </c>
      <c r="G2703" s="14">
        <f t="shared" si="48"/>
        <v>-848690</v>
      </c>
      <c r="H2703" s="1234"/>
    </row>
    <row r="2704" spans="1:8" x14ac:dyDescent="0.25">
      <c r="A2704" s="113">
        <v>45001</v>
      </c>
      <c r="B2704" s="21" t="s">
        <v>8868</v>
      </c>
      <c r="C2704" s="13" t="s">
        <v>166</v>
      </c>
      <c r="D2704" s="766"/>
      <c r="E2704" s="22"/>
      <c r="F2704" s="19">
        <v>78000</v>
      </c>
      <c r="G2704" s="14">
        <f t="shared" si="48"/>
        <v>-78000</v>
      </c>
      <c r="H2704" s="1234"/>
    </row>
    <row r="2705" spans="1:8" x14ac:dyDescent="0.25">
      <c r="A2705" s="113">
        <v>45001</v>
      </c>
      <c r="B2705" s="21" t="s">
        <v>8876</v>
      </c>
      <c r="C2705" s="13" t="s">
        <v>166</v>
      </c>
      <c r="D2705" s="766"/>
      <c r="E2705" s="22"/>
      <c r="F2705" s="19">
        <v>115000</v>
      </c>
      <c r="G2705" s="14">
        <f t="shared" si="48"/>
        <v>-115000</v>
      </c>
      <c r="H2705" s="1235"/>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08" t="s">
        <v>9479</v>
      </c>
    </row>
    <row r="2709" spans="1:8" x14ac:dyDescent="0.25">
      <c r="A2709" s="113">
        <v>45002</v>
      </c>
      <c r="B2709" s="21" t="s">
        <v>8868</v>
      </c>
      <c r="C2709" s="13" t="s">
        <v>180</v>
      </c>
      <c r="D2709" s="766"/>
      <c r="E2709" s="22"/>
      <c r="F2709" s="19">
        <v>164160</v>
      </c>
      <c r="G2709" s="14">
        <f t="shared" si="48"/>
        <v>-164160</v>
      </c>
      <c r="H2709" s="1209"/>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08" t="s">
        <v>9007</v>
      </c>
    </row>
    <row r="2714" spans="1:8" x14ac:dyDescent="0.25">
      <c r="A2714" s="113">
        <v>45005</v>
      </c>
      <c r="B2714" s="21" t="s">
        <v>8657</v>
      </c>
      <c r="C2714" s="13" t="s">
        <v>8394</v>
      </c>
      <c r="D2714" s="766"/>
      <c r="E2714" s="22"/>
      <c r="F2714" s="19">
        <v>371446</v>
      </c>
      <c r="G2714" s="14">
        <f t="shared" si="53"/>
        <v>-371446</v>
      </c>
      <c r="H2714" s="1209"/>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10" t="s">
        <v>9283</v>
      </c>
      <c r="E2726" s="22">
        <v>28496</v>
      </c>
      <c r="F2726" s="19"/>
      <c r="G2726" s="14">
        <f t="shared" si="53"/>
        <v>28496</v>
      </c>
      <c r="H2726" s="1206" t="s">
        <v>9326</v>
      </c>
    </row>
    <row r="2727" spans="1:8" x14ac:dyDescent="0.25">
      <c r="A2727" s="113">
        <v>45019</v>
      </c>
      <c r="B2727" s="21" t="s">
        <v>3946</v>
      </c>
      <c r="C2727" s="13" t="s">
        <v>8394</v>
      </c>
      <c r="D2727" s="1211"/>
      <c r="E2727" s="22">
        <v>8745</v>
      </c>
      <c r="F2727" s="19"/>
      <c r="G2727" s="14">
        <f t="shared" si="53"/>
        <v>8745</v>
      </c>
      <c r="H2727" s="1207"/>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204" t="s">
        <v>9602</v>
      </c>
      <c r="E2731" s="22">
        <v>20000</v>
      </c>
      <c r="F2731" s="19"/>
      <c r="G2731" s="14">
        <f t="shared" si="53"/>
        <v>20000</v>
      </c>
      <c r="H2731" s="1206" t="s">
        <v>9326</v>
      </c>
    </row>
    <row r="2732" spans="1:8" x14ac:dyDescent="0.25">
      <c r="A2732" s="113">
        <v>45024</v>
      </c>
      <c r="B2732" s="21" t="s">
        <v>8043</v>
      </c>
      <c r="C2732" s="13" t="s">
        <v>5187</v>
      </c>
      <c r="D2732" s="1205"/>
      <c r="E2732" s="22">
        <v>15000</v>
      </c>
      <c r="F2732" s="19"/>
      <c r="G2732" s="14">
        <f t="shared" si="53"/>
        <v>15000</v>
      </c>
      <c r="H2732" s="1207"/>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36" t="s">
        <v>12277</v>
      </c>
    </row>
    <row r="2736" spans="1:8" x14ac:dyDescent="0.25">
      <c r="A2736" s="113">
        <v>45026</v>
      </c>
      <c r="B2736" s="21" t="s">
        <v>8339</v>
      </c>
      <c r="C2736" s="13" t="s">
        <v>5187</v>
      </c>
      <c r="D2736" s="766"/>
      <c r="E2736" s="22"/>
      <c r="F2736" s="19">
        <v>20624</v>
      </c>
      <c r="G2736" s="14">
        <f t="shared" si="53"/>
        <v>-20624</v>
      </c>
      <c r="H2736" s="1237"/>
    </row>
    <row r="2737" spans="1:8" x14ac:dyDescent="0.25">
      <c r="A2737" s="113">
        <v>45026</v>
      </c>
      <c r="B2737" s="21" t="s">
        <v>8876</v>
      </c>
      <c r="C2737" s="13" t="s">
        <v>5187</v>
      </c>
      <c r="D2737" s="766"/>
      <c r="E2737" s="22"/>
      <c r="F2737" s="19">
        <v>34826</v>
      </c>
      <c r="G2737" s="14">
        <f t="shared" si="53"/>
        <v>-34826</v>
      </c>
      <c r="H2737" s="1238"/>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27" t="s">
        <v>9656</v>
      </c>
    </row>
    <row r="2742" spans="1:8" ht="15.75" customHeight="1" x14ac:dyDescent="0.25">
      <c r="A2742" s="113">
        <v>45029</v>
      </c>
      <c r="B2742" s="21" t="s">
        <v>7657</v>
      </c>
      <c r="C2742" s="13" t="s">
        <v>5681</v>
      </c>
      <c r="D2742" s="766"/>
      <c r="E2742" s="783"/>
      <c r="F2742" s="142">
        <v>40900</v>
      </c>
      <c r="G2742" s="784">
        <f t="shared" si="53"/>
        <v>-40900</v>
      </c>
      <c r="H2742" s="1228"/>
    </row>
    <row r="2743" spans="1:8" ht="15.75" customHeight="1" x14ac:dyDescent="0.25">
      <c r="A2743" s="113">
        <v>45029</v>
      </c>
      <c r="B2743" s="21" t="s">
        <v>7555</v>
      </c>
      <c r="C2743" s="13" t="s">
        <v>5681</v>
      </c>
      <c r="D2743" s="766"/>
      <c r="E2743" s="783"/>
      <c r="F2743" s="142">
        <v>5400</v>
      </c>
      <c r="G2743" s="784">
        <f t="shared" si="53"/>
        <v>-5400</v>
      </c>
      <c r="H2743" s="1228"/>
    </row>
    <row r="2744" spans="1:8" ht="16.5" thickBot="1" x14ac:dyDescent="0.3">
      <c r="A2744" s="113">
        <v>45029</v>
      </c>
      <c r="B2744" s="21" t="s">
        <v>8657</v>
      </c>
      <c r="C2744" s="13" t="s">
        <v>5681</v>
      </c>
      <c r="D2744" s="766"/>
      <c r="E2744" s="783"/>
      <c r="F2744" s="786">
        <v>40520</v>
      </c>
      <c r="G2744" s="784">
        <f t="shared" si="53"/>
        <v>-40520</v>
      </c>
      <c r="H2744" s="1229"/>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27" t="s">
        <v>9656</v>
      </c>
    </row>
    <row r="2747" spans="1:8" x14ac:dyDescent="0.25">
      <c r="A2747" s="113">
        <v>45031</v>
      </c>
      <c r="B2747" s="21" t="s">
        <v>8876</v>
      </c>
      <c r="C2747" s="13" t="s">
        <v>169</v>
      </c>
      <c r="D2747" s="766"/>
      <c r="E2747" s="783"/>
      <c r="F2747" s="142">
        <v>18365</v>
      </c>
      <c r="G2747" s="784">
        <f t="shared" si="53"/>
        <v>-18365</v>
      </c>
      <c r="H2747" s="1228"/>
    </row>
    <row r="2748" spans="1:8" x14ac:dyDescent="0.25">
      <c r="A2748" s="113">
        <v>45031</v>
      </c>
      <c r="B2748" s="21" t="s">
        <v>9409</v>
      </c>
      <c r="C2748" s="13" t="s">
        <v>169</v>
      </c>
      <c r="D2748" s="766"/>
      <c r="E2748" s="783"/>
      <c r="F2748" s="142">
        <v>20500</v>
      </c>
      <c r="G2748" s="784">
        <f t="shared" si="53"/>
        <v>-20500</v>
      </c>
      <c r="H2748" s="1228"/>
    </row>
    <row r="2749" spans="1:8" ht="16.5" thickBot="1" x14ac:dyDescent="0.3">
      <c r="A2749" s="113">
        <v>45031</v>
      </c>
      <c r="B2749" s="21" t="s">
        <v>9409</v>
      </c>
      <c r="C2749" s="13" t="s">
        <v>169</v>
      </c>
      <c r="D2749" s="766"/>
      <c r="E2749" s="783"/>
      <c r="F2749" s="786">
        <v>4135</v>
      </c>
      <c r="G2749" s="784">
        <f t="shared" si="53"/>
        <v>-4135</v>
      </c>
      <c r="H2749" s="1229"/>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44" t="s">
        <v>9726</v>
      </c>
    </row>
    <row r="2754" spans="1:8" x14ac:dyDescent="0.25">
      <c r="A2754" s="113">
        <v>45035</v>
      </c>
      <c r="B2754" s="21" t="s">
        <v>8657</v>
      </c>
      <c r="C2754" s="13" t="s">
        <v>8394</v>
      </c>
      <c r="D2754" s="766"/>
      <c r="E2754" s="783"/>
      <c r="F2754" s="142">
        <v>51861</v>
      </c>
      <c r="G2754" s="14">
        <f t="shared" si="54"/>
        <v>-51861</v>
      </c>
      <c r="H2754" s="1245"/>
    </row>
    <row r="2755" spans="1:8" x14ac:dyDescent="0.25">
      <c r="A2755" s="113">
        <v>45035</v>
      </c>
      <c r="B2755" s="21" t="s">
        <v>8876</v>
      </c>
      <c r="C2755" s="13" t="s">
        <v>8394</v>
      </c>
      <c r="D2755" s="766"/>
      <c r="E2755" s="783"/>
      <c r="F2755" s="142">
        <v>17015</v>
      </c>
      <c r="G2755" s="14">
        <f t="shared" si="54"/>
        <v>-17015</v>
      </c>
      <c r="H2755" s="1245"/>
    </row>
    <row r="2756" spans="1:8" x14ac:dyDescent="0.25">
      <c r="A2756" s="113">
        <v>45035</v>
      </c>
      <c r="B2756" s="21" t="s">
        <v>9507</v>
      </c>
      <c r="C2756" s="13" t="s">
        <v>8394</v>
      </c>
      <c r="D2756" s="766"/>
      <c r="E2756" s="783"/>
      <c r="F2756" s="142">
        <v>28496</v>
      </c>
      <c r="G2756" s="14">
        <f t="shared" si="54"/>
        <v>-28496</v>
      </c>
      <c r="H2756" s="1245"/>
    </row>
    <row r="2757" spans="1:8" x14ac:dyDescent="0.25">
      <c r="A2757" s="113">
        <v>45035</v>
      </c>
      <c r="B2757" s="21" t="s">
        <v>9356</v>
      </c>
      <c r="C2757" s="13" t="s">
        <v>8394</v>
      </c>
      <c r="D2757" s="766"/>
      <c r="E2757" s="955"/>
      <c r="F2757" s="147">
        <v>93883</v>
      </c>
      <c r="G2757" s="14">
        <f t="shared" si="54"/>
        <v>-93883</v>
      </c>
      <c r="H2757" s="1246"/>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42" t="s">
        <v>9738</v>
      </c>
    </row>
    <row r="2762" spans="1:8" x14ac:dyDescent="0.25">
      <c r="A2762" s="113">
        <v>45043</v>
      </c>
      <c r="B2762" s="21" t="s">
        <v>8657</v>
      </c>
      <c r="C2762" s="13" t="s">
        <v>8394</v>
      </c>
      <c r="D2762" s="766"/>
      <c r="E2762" s="22"/>
      <c r="F2762" s="19">
        <v>447612</v>
      </c>
      <c r="G2762" s="14">
        <f t="shared" si="54"/>
        <v>-447612</v>
      </c>
      <c r="H2762" s="1243"/>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4" t="s">
        <v>9800</v>
      </c>
    </row>
    <row r="2769" spans="1:8" x14ac:dyDescent="0.25">
      <c r="A2769" s="113">
        <v>45049</v>
      </c>
      <c r="B2769" s="21" t="s">
        <v>9661</v>
      </c>
      <c r="C2769" s="13" t="s">
        <v>8394</v>
      </c>
      <c r="D2769" s="766"/>
      <c r="E2769" s="22"/>
      <c r="F2769" s="19">
        <f>730000-F2768</f>
        <v>235093</v>
      </c>
      <c r="G2769" s="14">
        <f t="shared" si="54"/>
        <v>-235093</v>
      </c>
      <c r="H2769" s="1216"/>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4" t="s">
        <v>9848</v>
      </c>
    </row>
    <row r="2779" spans="1:8" ht="16.5" thickBot="1" x14ac:dyDescent="0.3">
      <c r="A2779" s="113">
        <v>45056</v>
      </c>
      <c r="B2779" s="21" t="s">
        <v>9356</v>
      </c>
      <c r="C2779" s="13" t="s">
        <v>169</v>
      </c>
      <c r="D2779" s="766"/>
      <c r="E2779" s="783"/>
      <c r="F2779" s="786">
        <v>124699</v>
      </c>
      <c r="G2779" s="784">
        <f t="shared" si="54"/>
        <v>-124699</v>
      </c>
      <c r="H2779" s="1165"/>
    </row>
    <row r="2780" spans="1:8" x14ac:dyDescent="0.25">
      <c r="A2780" s="113">
        <v>45056</v>
      </c>
      <c r="B2780" s="21" t="s">
        <v>8876</v>
      </c>
      <c r="C2780" s="13" t="s">
        <v>180</v>
      </c>
      <c r="D2780" s="766"/>
      <c r="E2780" s="783"/>
      <c r="F2780" s="785">
        <v>380920</v>
      </c>
      <c r="G2780" s="784">
        <f t="shared" si="54"/>
        <v>-380920</v>
      </c>
      <c r="H2780" s="1164" t="s">
        <v>9849</v>
      </c>
    </row>
    <row r="2781" spans="1:8" ht="16.5" thickBot="1" x14ac:dyDescent="0.3">
      <c r="A2781" s="113">
        <v>45056</v>
      </c>
      <c r="B2781" s="21" t="s">
        <v>9409</v>
      </c>
      <c r="C2781" s="13" t="s">
        <v>180</v>
      </c>
      <c r="D2781" s="766"/>
      <c r="E2781" s="783"/>
      <c r="F2781" s="786">
        <v>192080</v>
      </c>
      <c r="G2781" s="784">
        <f t="shared" si="54"/>
        <v>-192080</v>
      </c>
      <c r="H2781" s="1165"/>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4" t="s">
        <v>12276</v>
      </c>
    </row>
    <row r="2784" spans="1:8" x14ac:dyDescent="0.25">
      <c r="A2784" s="113">
        <v>45056</v>
      </c>
      <c r="B2784" s="21" t="s">
        <v>8876</v>
      </c>
      <c r="C2784" s="13" t="s">
        <v>5187</v>
      </c>
      <c r="D2784" s="766"/>
      <c r="E2784" s="22"/>
      <c r="F2784" s="112">
        <v>150000</v>
      </c>
      <c r="G2784" s="14">
        <f t="shared" si="54"/>
        <v>-150000</v>
      </c>
      <c r="H2784" s="1216"/>
    </row>
    <row r="2785" spans="1:8" x14ac:dyDescent="0.25">
      <c r="A2785" s="113">
        <v>45056</v>
      </c>
      <c r="B2785" s="21" t="s">
        <v>8876</v>
      </c>
      <c r="C2785" s="13" t="s">
        <v>5187</v>
      </c>
      <c r="D2785" s="766"/>
      <c r="E2785" s="22"/>
      <c r="F2785" s="112">
        <v>35000</v>
      </c>
      <c r="G2785" s="14">
        <f t="shared" si="54"/>
        <v>-35000</v>
      </c>
      <c r="H2785" s="1216"/>
    </row>
    <row r="2786" spans="1:8" x14ac:dyDescent="0.25">
      <c r="A2786" s="113">
        <v>45056</v>
      </c>
      <c r="B2786" s="21" t="s">
        <v>8876</v>
      </c>
      <c r="C2786" s="13" t="s">
        <v>5187</v>
      </c>
      <c r="D2786" s="766"/>
      <c r="E2786" s="22"/>
      <c r="F2786" s="112">
        <v>5000</v>
      </c>
      <c r="G2786" s="14">
        <f t="shared" si="54"/>
        <v>-5000</v>
      </c>
      <c r="H2786" s="1165"/>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33" t="s">
        <v>10317</v>
      </c>
    </row>
    <row r="2826" spans="1:8" x14ac:dyDescent="0.25">
      <c r="A2826" s="113">
        <v>45076</v>
      </c>
      <c r="B2826" s="21" t="s">
        <v>8043</v>
      </c>
      <c r="C2826" s="13" t="s">
        <v>7242</v>
      </c>
      <c r="D2826" s="766"/>
      <c r="E2826" s="22"/>
      <c r="F2826" s="19">
        <v>141655</v>
      </c>
      <c r="G2826" s="14">
        <f t="shared" si="54"/>
        <v>-141655</v>
      </c>
      <c r="H2826" s="1234"/>
    </row>
    <row r="2827" spans="1:8" x14ac:dyDescent="0.25">
      <c r="A2827" s="113">
        <v>45076</v>
      </c>
      <c r="B2827" s="21" t="s">
        <v>8339</v>
      </c>
      <c r="C2827" s="13" t="s">
        <v>7242</v>
      </c>
      <c r="D2827" s="766"/>
      <c r="E2827" s="22"/>
      <c r="F2827" s="19">
        <v>27798</v>
      </c>
      <c r="G2827" s="14">
        <f t="shared" si="54"/>
        <v>-27798</v>
      </c>
      <c r="H2827" s="1234"/>
    </row>
    <row r="2828" spans="1:8" x14ac:dyDescent="0.25">
      <c r="A2828" s="113">
        <v>45076</v>
      </c>
      <c r="B2828" s="21" t="s">
        <v>8559</v>
      </c>
      <c r="C2828" s="13" t="s">
        <v>7242</v>
      </c>
      <c r="D2828" s="766"/>
      <c r="E2828" s="22"/>
      <c r="F2828" s="19">
        <v>65342</v>
      </c>
      <c r="G2828" s="14">
        <f t="shared" si="54"/>
        <v>-65342</v>
      </c>
      <c r="H2828" s="1234"/>
    </row>
    <row r="2829" spans="1:8" x14ac:dyDescent="0.25">
      <c r="A2829" s="113">
        <v>45076</v>
      </c>
      <c r="B2829" s="21" t="s">
        <v>8657</v>
      </c>
      <c r="C2829" s="13" t="s">
        <v>7242</v>
      </c>
      <c r="D2829" s="766"/>
      <c r="E2829" s="22"/>
      <c r="F2829" s="19">
        <v>188071</v>
      </c>
      <c r="G2829" s="14">
        <f t="shared" si="54"/>
        <v>-188071</v>
      </c>
      <c r="H2829" s="1234"/>
    </row>
    <row r="2830" spans="1:8" x14ac:dyDescent="0.25">
      <c r="A2830" s="113">
        <v>45076</v>
      </c>
      <c r="B2830" s="21" t="s">
        <v>8868</v>
      </c>
      <c r="C2830" s="13" t="s">
        <v>7242</v>
      </c>
      <c r="D2830" s="766"/>
      <c r="E2830" s="22"/>
      <c r="F2830" s="19">
        <v>3983</v>
      </c>
      <c r="G2830" s="14">
        <f t="shared" si="54"/>
        <v>-3983</v>
      </c>
      <c r="H2830" s="1234"/>
    </row>
    <row r="2831" spans="1:8" x14ac:dyDescent="0.25">
      <c r="A2831" s="113">
        <v>45076</v>
      </c>
      <c r="B2831" s="21" t="s">
        <v>8876</v>
      </c>
      <c r="C2831" s="13" t="s">
        <v>7242</v>
      </c>
      <c r="D2831" s="766"/>
      <c r="E2831" s="22"/>
      <c r="F2831" s="19">
        <v>48076</v>
      </c>
      <c r="G2831" s="14">
        <f t="shared" si="54"/>
        <v>-48076</v>
      </c>
      <c r="H2831" s="1234"/>
    </row>
    <row r="2832" spans="1:8" x14ac:dyDescent="0.25">
      <c r="A2832" s="113">
        <v>45076</v>
      </c>
      <c r="B2832" s="21" t="s">
        <v>9409</v>
      </c>
      <c r="C2832" s="13" t="s">
        <v>7242</v>
      </c>
      <c r="D2832" s="766"/>
      <c r="E2832" s="22"/>
      <c r="F2832" s="19">
        <v>48076</v>
      </c>
      <c r="G2832" s="14">
        <f t="shared" si="54"/>
        <v>-48076</v>
      </c>
      <c r="H2832" s="1235"/>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39" t="s">
        <v>10127</v>
      </c>
    </row>
    <row r="2876" spans="1:8" x14ac:dyDescent="0.25">
      <c r="A2876" s="113">
        <v>45086</v>
      </c>
      <c r="B2876" s="21" t="s">
        <v>8043</v>
      </c>
      <c r="C2876" s="13" t="s">
        <v>7467</v>
      </c>
      <c r="D2876" s="766"/>
      <c r="E2876" s="783"/>
      <c r="F2876" s="142">
        <v>176124</v>
      </c>
      <c r="G2876" s="784">
        <f t="shared" ref="G2876:G2943" si="57">E2876-F2876</f>
        <v>-176124</v>
      </c>
      <c r="H2876" s="1241"/>
    </row>
    <row r="2877" spans="1:8" x14ac:dyDescent="0.25">
      <c r="A2877" s="113">
        <v>45086</v>
      </c>
      <c r="B2877" s="21" t="s">
        <v>8339</v>
      </c>
      <c r="C2877" s="13" t="s">
        <v>7467</v>
      </c>
      <c r="D2877" s="766"/>
      <c r="E2877" s="783"/>
      <c r="F2877" s="142">
        <v>265939</v>
      </c>
      <c r="G2877" s="784">
        <f t="shared" si="57"/>
        <v>-265939</v>
      </c>
      <c r="H2877" s="1241"/>
    </row>
    <row r="2878" spans="1:8" x14ac:dyDescent="0.25">
      <c r="A2878" s="113">
        <v>45086</v>
      </c>
      <c r="B2878" s="21" t="s">
        <v>8559</v>
      </c>
      <c r="C2878" s="13" t="s">
        <v>7467</v>
      </c>
      <c r="D2878" s="766"/>
      <c r="E2878" s="783"/>
      <c r="F2878" s="142">
        <v>245863</v>
      </c>
      <c r="G2878" s="784">
        <f t="shared" si="57"/>
        <v>-245863</v>
      </c>
      <c r="H2878" s="1241"/>
    </row>
    <row r="2879" spans="1:8" ht="16.5" thickBot="1" x14ac:dyDescent="0.3">
      <c r="A2879" s="113">
        <v>45086</v>
      </c>
      <c r="B2879" s="21" t="s">
        <v>8876</v>
      </c>
      <c r="C2879" s="13" t="s">
        <v>7467</v>
      </c>
      <c r="D2879" s="766"/>
      <c r="E2879" s="783"/>
      <c r="F2879" s="786">
        <v>201031</v>
      </c>
      <c r="G2879" s="784">
        <f t="shared" si="57"/>
        <v>-201031</v>
      </c>
      <c r="H2879" s="1240"/>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24" t="s">
        <v>10127</v>
      </c>
    </row>
    <row r="2883" spans="1:8" x14ac:dyDescent="0.25">
      <c r="A2883" s="113">
        <v>45089</v>
      </c>
      <c r="B2883" s="21" t="s">
        <v>9661</v>
      </c>
      <c r="C2883" s="13" t="s">
        <v>8394</v>
      </c>
      <c r="D2883" s="766"/>
      <c r="E2883" s="22"/>
      <c r="F2883" s="19">
        <v>100000</v>
      </c>
      <c r="G2883" s="14">
        <f t="shared" si="57"/>
        <v>-100000</v>
      </c>
      <c r="H2883" s="1225"/>
    </row>
    <row r="2884" spans="1:8" x14ac:dyDescent="0.25">
      <c r="A2884" s="113">
        <v>45089</v>
      </c>
      <c r="B2884" s="21" t="s">
        <v>8657</v>
      </c>
      <c r="C2884" s="13" t="s">
        <v>8394</v>
      </c>
      <c r="D2884" s="766"/>
      <c r="E2884" s="22"/>
      <c r="F2884" s="19">
        <v>350000</v>
      </c>
      <c r="G2884" s="14">
        <f t="shared" si="57"/>
        <v>-350000</v>
      </c>
      <c r="H2884" s="1226"/>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212" t="s">
        <v>10233</v>
      </c>
    </row>
    <row r="2895" spans="1:8" x14ac:dyDescent="0.25">
      <c r="A2895" s="113">
        <v>45094</v>
      </c>
      <c r="B2895" s="21" t="s">
        <v>9769</v>
      </c>
      <c r="C2895" s="13" t="s">
        <v>180</v>
      </c>
      <c r="D2895" s="766"/>
      <c r="E2895" s="783"/>
      <c r="F2895" s="142">
        <v>49080</v>
      </c>
      <c r="G2895" s="784">
        <f t="shared" si="57"/>
        <v>-49080</v>
      </c>
      <c r="H2895" s="1213"/>
    </row>
    <row r="2896" spans="1:8" x14ac:dyDescent="0.25">
      <c r="A2896" s="113">
        <v>45094</v>
      </c>
      <c r="B2896" s="21" t="s">
        <v>10296</v>
      </c>
      <c r="C2896" s="13" t="s">
        <v>180</v>
      </c>
      <c r="D2896" s="766"/>
      <c r="E2896" s="783"/>
      <c r="F2896" s="147">
        <v>151960</v>
      </c>
      <c r="G2896" s="784">
        <f t="shared" si="57"/>
        <v>-151960</v>
      </c>
      <c r="H2896" s="1213"/>
    </row>
    <row r="2897" spans="1:8" ht="16.5" thickBot="1" x14ac:dyDescent="0.3">
      <c r="A2897" s="113">
        <v>45094</v>
      </c>
      <c r="B2897" s="21" t="s">
        <v>10232</v>
      </c>
      <c r="C2897" s="13" t="s">
        <v>180</v>
      </c>
      <c r="D2897" s="766"/>
      <c r="E2897" s="783"/>
      <c r="F2897" s="786">
        <f>875000-F2896-F2895-F2894</f>
        <v>3960</v>
      </c>
      <c r="G2897" s="784">
        <f t="shared" si="57"/>
        <v>-3960</v>
      </c>
      <c r="H2897" s="1214"/>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212" t="s">
        <v>10256</v>
      </c>
    </row>
    <row r="2910" spans="1:8" x14ac:dyDescent="0.25">
      <c r="A2910" s="113">
        <v>45096</v>
      </c>
      <c r="B2910" s="21" t="s">
        <v>9967</v>
      </c>
      <c r="C2910" s="13" t="s">
        <v>169</v>
      </c>
      <c r="D2910" s="766"/>
      <c r="E2910" s="783"/>
      <c r="F2910" s="152">
        <v>23382</v>
      </c>
      <c r="G2910" s="784">
        <f t="shared" si="57"/>
        <v>-23382</v>
      </c>
      <c r="H2910" s="1213"/>
    </row>
    <row r="2911" spans="1:8" ht="16.5" thickBot="1" x14ac:dyDescent="0.3">
      <c r="A2911" s="113">
        <v>45096</v>
      </c>
      <c r="B2911" s="21" t="s">
        <v>9986</v>
      </c>
      <c r="C2911" s="13" t="s">
        <v>169</v>
      </c>
      <c r="D2911" s="766"/>
      <c r="E2911" s="783"/>
      <c r="F2911" s="296">
        <v>102854</v>
      </c>
      <c r="G2911" s="784">
        <f t="shared" si="57"/>
        <v>-102854</v>
      </c>
      <c r="H2911" s="1214"/>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4" t="s">
        <v>10235</v>
      </c>
    </row>
    <row r="2915" spans="1:8" x14ac:dyDescent="0.25">
      <c r="A2915" s="113">
        <v>45096</v>
      </c>
      <c r="B2915" s="21" t="s">
        <v>6505</v>
      </c>
      <c r="C2915" s="13" t="s">
        <v>164</v>
      </c>
      <c r="D2915" s="766"/>
      <c r="E2915" s="22"/>
      <c r="F2915" s="19">
        <v>1320</v>
      </c>
      <c r="G2915" s="14">
        <f t="shared" si="57"/>
        <v>-1320</v>
      </c>
      <c r="H2915" s="1216"/>
    </row>
    <row r="2916" spans="1:8" x14ac:dyDescent="0.25">
      <c r="A2916" s="113">
        <v>45096</v>
      </c>
      <c r="B2916" s="21" t="s">
        <v>8868</v>
      </c>
      <c r="C2916" s="13" t="s">
        <v>164</v>
      </c>
      <c r="D2916" s="766"/>
      <c r="E2916" s="22"/>
      <c r="F2916" s="19">
        <v>2773</v>
      </c>
      <c r="G2916" s="14">
        <f t="shared" si="57"/>
        <v>-2773</v>
      </c>
      <c r="H2916" s="1216"/>
    </row>
    <row r="2917" spans="1:8" x14ac:dyDescent="0.25">
      <c r="A2917" s="113">
        <v>45096</v>
      </c>
      <c r="B2917" s="21" t="s">
        <v>9356</v>
      </c>
      <c r="C2917" s="13" t="s">
        <v>164</v>
      </c>
      <c r="D2917" s="766"/>
      <c r="E2917" s="22"/>
      <c r="F2917" s="19">
        <v>12911</v>
      </c>
      <c r="G2917" s="14">
        <f t="shared" si="57"/>
        <v>-12911</v>
      </c>
      <c r="H2917" s="1216"/>
    </row>
    <row r="2918" spans="1:8" x14ac:dyDescent="0.25">
      <c r="A2918" s="113">
        <v>45096</v>
      </c>
      <c r="B2918" s="21" t="s">
        <v>9507</v>
      </c>
      <c r="C2918" s="13" t="s">
        <v>164</v>
      </c>
      <c r="D2918" s="766"/>
      <c r="E2918" s="22"/>
      <c r="F2918" s="19">
        <v>3303</v>
      </c>
      <c r="G2918" s="14">
        <f t="shared" si="57"/>
        <v>-3303</v>
      </c>
      <c r="H2918" s="1216"/>
    </row>
    <row r="2919" spans="1:8" x14ac:dyDescent="0.25">
      <c r="A2919" s="113">
        <v>45096</v>
      </c>
      <c r="B2919" s="21" t="s">
        <v>10911</v>
      </c>
      <c r="C2919" s="13" t="s">
        <v>164</v>
      </c>
      <c r="D2919" s="766"/>
      <c r="E2919" s="22"/>
      <c r="F2919" s="19">
        <v>64935</v>
      </c>
      <c r="G2919" s="14">
        <f t="shared" si="57"/>
        <v>-64935</v>
      </c>
      <c r="H2919" s="1216"/>
    </row>
    <row r="2920" spans="1:8" x14ac:dyDescent="0.25">
      <c r="A2920" s="113">
        <v>45096</v>
      </c>
      <c r="B2920" s="21" t="s">
        <v>9967</v>
      </c>
      <c r="C2920" s="13" t="s">
        <v>164</v>
      </c>
      <c r="D2920" s="766"/>
      <c r="E2920" s="22"/>
      <c r="F2920" s="19">
        <v>5073</v>
      </c>
      <c r="G2920" s="14">
        <f t="shared" si="57"/>
        <v>-5073</v>
      </c>
      <c r="H2920" s="1216"/>
    </row>
    <row r="2921" spans="1:8" x14ac:dyDescent="0.25">
      <c r="A2921" s="113">
        <v>45096</v>
      </c>
      <c r="B2921" s="21" t="s">
        <v>9986</v>
      </c>
      <c r="C2921" s="13" t="s">
        <v>164</v>
      </c>
      <c r="D2921" s="766"/>
      <c r="E2921" s="22"/>
      <c r="F2921" s="110">
        <f>100000-F2920-F2919-3485-F2917-F2916-F2915-F2914</f>
        <v>2239</v>
      </c>
      <c r="G2921" s="14">
        <f t="shared" si="57"/>
        <v>-2239</v>
      </c>
      <c r="H2921" s="1165"/>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17" t="s">
        <v>10127</v>
      </c>
    </row>
    <row r="2926" spans="1:8" x14ac:dyDescent="0.25">
      <c r="A2926" s="113">
        <v>45099</v>
      </c>
      <c r="B2926" s="21" t="s">
        <v>9769</v>
      </c>
      <c r="C2926" s="13" t="s">
        <v>8394</v>
      </c>
      <c r="D2926" s="766"/>
      <c r="E2926" s="783"/>
      <c r="F2926" s="214">
        <v>500000</v>
      </c>
      <c r="G2926" s="784">
        <f t="shared" si="57"/>
        <v>-500000</v>
      </c>
      <c r="H2926" s="1218"/>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33" t="s">
        <v>10398</v>
      </c>
    </row>
    <row r="2932" spans="1:8" ht="15.75" customHeight="1" x14ac:dyDescent="0.25">
      <c r="A2932" s="113">
        <v>45104</v>
      </c>
      <c r="B2932" s="21" t="s">
        <v>9409</v>
      </c>
      <c r="C2932" s="13" t="s">
        <v>7242</v>
      </c>
      <c r="D2932" s="766"/>
      <c r="E2932" s="22"/>
      <c r="F2932" s="19">
        <v>116894</v>
      </c>
      <c r="G2932" s="14">
        <f t="shared" si="57"/>
        <v>-116894</v>
      </c>
      <c r="H2932" s="1234"/>
    </row>
    <row r="2933" spans="1:8" x14ac:dyDescent="0.25">
      <c r="A2933" s="113">
        <v>45104</v>
      </c>
      <c r="B2933" s="21"/>
      <c r="C2933" s="13" t="s">
        <v>7242</v>
      </c>
      <c r="D2933" s="766"/>
      <c r="E2933" s="22"/>
      <c r="F2933" s="19">
        <v>13918</v>
      </c>
      <c r="G2933" s="14">
        <f t="shared" si="57"/>
        <v>-13918</v>
      </c>
      <c r="H2933" s="1235"/>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47" t="s">
        <v>10325</v>
      </c>
    </row>
    <row r="2940" spans="1:8" x14ac:dyDescent="0.25">
      <c r="A2940" s="113">
        <v>45112</v>
      </c>
      <c r="B2940" s="21" t="s">
        <v>8868</v>
      </c>
      <c r="C2940" s="13" t="s">
        <v>8394</v>
      </c>
      <c r="D2940" s="766"/>
      <c r="E2940" s="22"/>
      <c r="F2940" s="19">
        <v>200000</v>
      </c>
      <c r="G2940" s="14">
        <f t="shared" si="57"/>
        <v>-200000</v>
      </c>
      <c r="H2940" s="1248"/>
    </row>
    <row r="2941" spans="1:8" x14ac:dyDescent="0.25">
      <c r="A2941" s="113">
        <v>45112</v>
      </c>
      <c r="B2941" s="21" t="s">
        <v>9356</v>
      </c>
      <c r="C2941" s="13" t="s">
        <v>8394</v>
      </c>
      <c r="D2941" s="766"/>
      <c r="E2941" s="22"/>
      <c r="F2941" s="19">
        <v>270000</v>
      </c>
      <c r="G2941" s="14">
        <f t="shared" si="57"/>
        <v>-270000</v>
      </c>
      <c r="H2941" s="1248"/>
    </row>
    <row r="2942" spans="1:8" x14ac:dyDescent="0.25">
      <c r="A2942" s="113">
        <v>45112</v>
      </c>
      <c r="B2942" s="21" t="s">
        <v>9661</v>
      </c>
      <c r="C2942" s="13" t="s">
        <v>8394</v>
      </c>
      <c r="D2942" s="766"/>
      <c r="E2942" s="22"/>
      <c r="F2942" s="19">
        <v>430000</v>
      </c>
      <c r="G2942" s="14">
        <f t="shared" si="57"/>
        <v>-430000</v>
      </c>
      <c r="H2942" s="1248"/>
    </row>
    <row r="2943" spans="1:8" x14ac:dyDescent="0.25">
      <c r="A2943" s="113">
        <v>45112</v>
      </c>
      <c r="B2943" s="21" t="s">
        <v>10151</v>
      </c>
      <c r="C2943" s="13" t="s">
        <v>8394</v>
      </c>
      <c r="D2943" s="766"/>
      <c r="E2943" s="22"/>
      <c r="F2943" s="19">
        <v>50000</v>
      </c>
      <c r="G2943" s="14">
        <f t="shared" si="57"/>
        <v>-50000</v>
      </c>
      <c r="H2943" s="1249"/>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99" t="s">
        <v>10473</v>
      </c>
      <c r="E2950" s="783">
        <v>130000</v>
      </c>
      <c r="F2950" s="19"/>
      <c r="G2950" s="14">
        <f t="shared" si="60"/>
        <v>130000</v>
      </c>
      <c r="H2950" s="343" t="s">
        <v>9279</v>
      </c>
    </row>
    <row r="2951" spans="1:8" x14ac:dyDescent="0.25">
      <c r="A2951" s="113">
        <v>45118</v>
      </c>
      <c r="B2951" s="21" t="s">
        <v>8868</v>
      </c>
      <c r="C2951" s="13" t="s">
        <v>166</v>
      </c>
      <c r="D2951" s="1200"/>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25" t="s">
        <v>10480</v>
      </c>
      <c r="J2961" s="128"/>
    </row>
    <row r="2962" spans="1:10" x14ac:dyDescent="0.25">
      <c r="A2962" s="113">
        <v>45124</v>
      </c>
      <c r="B2962" s="21" t="s">
        <v>9769</v>
      </c>
      <c r="C2962" s="13" t="s">
        <v>166</v>
      </c>
      <c r="D2962" s="766"/>
      <c r="E2962" s="22"/>
      <c r="F2962" s="19">
        <v>66000</v>
      </c>
      <c r="G2962" s="14">
        <f t="shared" si="60"/>
        <v>-66000</v>
      </c>
      <c r="H2962" s="1225"/>
    </row>
    <row r="2963" spans="1:10" x14ac:dyDescent="0.25">
      <c r="A2963" s="113">
        <v>45124</v>
      </c>
      <c r="B2963" s="21" t="s">
        <v>9967</v>
      </c>
      <c r="C2963" s="13" t="s">
        <v>166</v>
      </c>
      <c r="D2963" s="766"/>
      <c r="E2963" s="22"/>
      <c r="F2963" s="19">
        <v>15800</v>
      </c>
      <c r="G2963" s="14">
        <f t="shared" si="60"/>
        <v>-15800</v>
      </c>
      <c r="H2963" s="1225"/>
    </row>
    <row r="2964" spans="1:10" x14ac:dyDescent="0.25">
      <c r="A2964" s="113">
        <v>45124</v>
      </c>
      <c r="B2964" s="21" t="s">
        <v>10471</v>
      </c>
      <c r="C2964" s="13" t="s">
        <v>166</v>
      </c>
      <c r="D2964" s="766"/>
      <c r="E2964" s="22"/>
      <c r="F2964" s="19">
        <v>13260</v>
      </c>
      <c r="G2964" s="14">
        <f t="shared" si="60"/>
        <v>-13260</v>
      </c>
      <c r="H2964" s="1225"/>
    </row>
    <row r="2965" spans="1:10" x14ac:dyDescent="0.25">
      <c r="A2965" s="113">
        <v>45124</v>
      </c>
      <c r="B2965" s="21" t="s">
        <v>8657</v>
      </c>
      <c r="C2965" s="13" t="s">
        <v>166</v>
      </c>
      <c r="D2965" s="766"/>
      <c r="E2965" s="22"/>
      <c r="F2965" s="19">
        <v>290840</v>
      </c>
      <c r="G2965" s="14">
        <f t="shared" si="60"/>
        <v>-290840</v>
      </c>
      <c r="H2965" s="1226"/>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64" t="s">
        <v>10510</v>
      </c>
    </row>
    <row r="2975" spans="1:10" ht="16.5" thickBot="1" x14ac:dyDescent="0.3">
      <c r="A2975" s="113">
        <v>45125</v>
      </c>
      <c r="B2975" s="21" t="s">
        <v>10471</v>
      </c>
      <c r="C2975" s="13" t="s">
        <v>166</v>
      </c>
      <c r="D2975" s="766"/>
      <c r="E2975" s="783"/>
      <c r="F2975" s="786">
        <v>130000</v>
      </c>
      <c r="G2975" s="784">
        <f t="shared" si="60"/>
        <v>-130000</v>
      </c>
      <c r="H2975" s="1165"/>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1" t="s">
        <v>10551</v>
      </c>
    </row>
    <row r="2982" spans="1:8" x14ac:dyDescent="0.25">
      <c r="A2982" s="113">
        <v>45127</v>
      </c>
      <c r="B2982" s="21" t="s">
        <v>8868</v>
      </c>
      <c r="C2982" s="13" t="s">
        <v>8394</v>
      </c>
      <c r="D2982" s="766"/>
      <c r="E2982" s="783"/>
      <c r="F2982" s="142">
        <v>182717</v>
      </c>
      <c r="G2982" s="784">
        <f t="shared" si="60"/>
        <v>-182717</v>
      </c>
      <c r="H2982" s="1202"/>
    </row>
    <row r="2983" spans="1:8" x14ac:dyDescent="0.25">
      <c r="A2983" s="113">
        <v>45127</v>
      </c>
      <c r="B2983" s="21" t="s">
        <v>9356</v>
      </c>
      <c r="C2983" s="13" t="s">
        <v>8394</v>
      </c>
      <c r="D2983" s="766"/>
      <c r="E2983" s="783"/>
      <c r="F2983" s="142">
        <v>190000</v>
      </c>
      <c r="G2983" s="784">
        <f t="shared" si="60"/>
        <v>-190000</v>
      </c>
      <c r="H2983" s="1202"/>
    </row>
    <row r="2984" spans="1:8" x14ac:dyDescent="0.25">
      <c r="A2984" s="113">
        <v>45127</v>
      </c>
      <c r="B2984" s="21" t="s">
        <v>9661</v>
      </c>
      <c r="C2984" s="13" t="s">
        <v>8394</v>
      </c>
      <c r="D2984" s="766"/>
      <c r="E2984" s="783"/>
      <c r="F2984" s="142">
        <v>45196</v>
      </c>
      <c r="G2984" s="784">
        <f t="shared" si="60"/>
        <v>-45196</v>
      </c>
      <c r="H2984" s="1202"/>
    </row>
    <row r="2985" spans="1:8" x14ac:dyDescent="0.25">
      <c r="A2985" s="113">
        <v>45127</v>
      </c>
      <c r="B2985" s="21" t="s">
        <v>9769</v>
      </c>
      <c r="C2985" s="13" t="s">
        <v>8394</v>
      </c>
      <c r="D2985" s="766"/>
      <c r="E2985" s="783"/>
      <c r="F2985" s="142">
        <v>190000</v>
      </c>
      <c r="G2985" s="784">
        <f t="shared" si="60"/>
        <v>-190000</v>
      </c>
      <c r="H2985" s="1202"/>
    </row>
    <row r="2986" spans="1:8" x14ac:dyDescent="0.25">
      <c r="A2986" s="113">
        <v>45127</v>
      </c>
      <c r="B2986" s="21" t="s">
        <v>10151</v>
      </c>
      <c r="C2986" s="13" t="s">
        <v>8394</v>
      </c>
      <c r="D2986" s="766"/>
      <c r="E2986" s="783"/>
      <c r="F2986" s="142">
        <v>190000</v>
      </c>
      <c r="G2986" s="784">
        <f t="shared" si="60"/>
        <v>-190000</v>
      </c>
      <c r="H2986" s="1202"/>
    </row>
    <row r="2987" spans="1:8" ht="16.5" thickBot="1" x14ac:dyDescent="0.3">
      <c r="A2987" s="113">
        <v>45127</v>
      </c>
      <c r="B2987" s="21" t="s">
        <v>10296</v>
      </c>
      <c r="C2987" s="13" t="s">
        <v>8394</v>
      </c>
      <c r="D2987" s="766"/>
      <c r="E2987" s="783"/>
      <c r="F2987" s="786">
        <v>190000</v>
      </c>
      <c r="G2987" s="784">
        <f t="shared" si="60"/>
        <v>-190000</v>
      </c>
      <c r="H2987" s="1203"/>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39" t="s">
        <v>10752</v>
      </c>
    </row>
    <row r="3030" spans="1:8" x14ac:dyDescent="0.25">
      <c r="A3030" s="113">
        <v>45153</v>
      </c>
      <c r="B3030" s="21" t="s">
        <v>8876</v>
      </c>
      <c r="C3030" s="13" t="s">
        <v>7467</v>
      </c>
      <c r="D3030" s="766"/>
      <c r="E3030" s="22"/>
      <c r="F3030" s="19">
        <v>201658</v>
      </c>
      <c r="G3030" s="14">
        <f t="shared" si="60"/>
        <v>-201658</v>
      </c>
      <c r="H3030" s="1241"/>
    </row>
    <row r="3031" spans="1:8" x14ac:dyDescent="0.25">
      <c r="A3031" s="113">
        <v>45153</v>
      </c>
      <c r="B3031" s="21" t="s">
        <v>9661</v>
      </c>
      <c r="C3031" s="13" t="s">
        <v>7467</v>
      </c>
      <c r="D3031" s="766"/>
      <c r="E3031" s="22"/>
      <c r="F3031" s="19">
        <v>482460</v>
      </c>
      <c r="G3031" s="14">
        <f t="shared" si="60"/>
        <v>-482460</v>
      </c>
      <c r="H3031" s="1240"/>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230" t="s">
        <v>10848</v>
      </c>
    </row>
    <row r="3034" spans="1:8" x14ac:dyDescent="0.25">
      <c r="A3034" s="113">
        <v>45154</v>
      </c>
      <c r="B3034" s="21" t="s">
        <v>9356</v>
      </c>
      <c r="C3034" s="13" t="s">
        <v>8394</v>
      </c>
      <c r="D3034" s="766"/>
      <c r="E3034" s="783"/>
      <c r="F3034" s="142">
        <v>150000</v>
      </c>
      <c r="G3034" s="784">
        <f t="shared" ref="G3034:G3171" si="62">E3034-F3034</f>
        <v>-150000</v>
      </c>
      <c r="H3034" s="1231"/>
    </row>
    <row r="3035" spans="1:8" x14ac:dyDescent="0.25">
      <c r="A3035" s="113">
        <v>45154</v>
      </c>
      <c r="B3035" s="21" t="s">
        <v>9769</v>
      </c>
      <c r="C3035" s="13" t="s">
        <v>8394</v>
      </c>
      <c r="D3035" s="766"/>
      <c r="E3035" s="783"/>
      <c r="F3035" s="142">
        <v>372320</v>
      </c>
      <c r="G3035" s="784">
        <f t="shared" si="62"/>
        <v>-372320</v>
      </c>
      <c r="H3035" s="1231"/>
    </row>
    <row r="3036" spans="1:8" x14ac:dyDescent="0.25">
      <c r="A3036" s="113">
        <v>45154</v>
      </c>
      <c r="B3036" s="21" t="s">
        <v>10151</v>
      </c>
      <c r="C3036" s="13" t="s">
        <v>8394</v>
      </c>
      <c r="D3036" s="766"/>
      <c r="E3036" s="783"/>
      <c r="F3036" s="142">
        <v>300000</v>
      </c>
      <c r="G3036" s="784">
        <f t="shared" si="62"/>
        <v>-300000</v>
      </c>
      <c r="H3036" s="1231"/>
    </row>
    <row r="3037" spans="1:8" x14ac:dyDescent="0.25">
      <c r="A3037" s="113">
        <v>45154</v>
      </c>
      <c r="B3037" s="983" t="s">
        <v>10379</v>
      </c>
      <c r="C3037" s="13" t="s">
        <v>8394</v>
      </c>
      <c r="D3037" s="766"/>
      <c r="E3037" s="783"/>
      <c r="F3037" s="142">
        <v>100000</v>
      </c>
      <c r="G3037" s="784">
        <f t="shared" si="62"/>
        <v>-100000</v>
      </c>
      <c r="H3037" s="1231"/>
    </row>
    <row r="3038" spans="1:8" x14ac:dyDescent="0.25">
      <c r="A3038" s="266">
        <v>45154</v>
      </c>
      <c r="B3038" s="978" t="s">
        <v>10232</v>
      </c>
      <c r="C3038" s="54" t="s">
        <v>8394</v>
      </c>
      <c r="D3038" s="777"/>
      <c r="E3038" s="955"/>
      <c r="F3038" s="147">
        <v>5602</v>
      </c>
      <c r="G3038" s="979">
        <f t="shared" si="62"/>
        <v>-5602</v>
      </c>
      <c r="H3038" s="1232"/>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20" t="s">
        <v>10806</v>
      </c>
      <c r="E3044" s="22">
        <v>20300</v>
      </c>
      <c r="F3044" s="19"/>
      <c r="G3044" s="14">
        <f t="shared" si="62"/>
        <v>20300</v>
      </c>
      <c r="H3044" s="1217" t="s">
        <v>9326</v>
      </c>
    </row>
    <row r="3045" spans="1:8" ht="15.75" customHeight="1" x14ac:dyDescent="0.25">
      <c r="A3045" s="113">
        <v>45156</v>
      </c>
      <c r="B3045" s="983" t="s">
        <v>10379</v>
      </c>
      <c r="C3045" s="13" t="s">
        <v>166</v>
      </c>
      <c r="D3045" s="1220"/>
      <c r="E3045" s="22">
        <v>45000</v>
      </c>
      <c r="F3045" s="19"/>
      <c r="G3045" s="14">
        <f t="shared" si="62"/>
        <v>45000</v>
      </c>
      <c r="H3045" s="1218"/>
    </row>
    <row r="3046" spans="1:8" x14ac:dyDescent="0.25">
      <c r="A3046" s="113">
        <v>45156</v>
      </c>
      <c r="B3046" s="21" t="s">
        <v>8657</v>
      </c>
      <c r="C3046" s="13" t="s">
        <v>166</v>
      </c>
      <c r="D3046" s="766"/>
      <c r="E3046" s="22"/>
      <c r="F3046" s="19">
        <v>64845</v>
      </c>
      <c r="G3046" s="14">
        <f t="shared" si="62"/>
        <v>-64845</v>
      </c>
      <c r="H3046" s="1224" t="s">
        <v>10843</v>
      </c>
    </row>
    <row r="3047" spans="1:8" x14ac:dyDescent="0.25">
      <c r="A3047" s="113">
        <v>45156</v>
      </c>
      <c r="B3047" s="21" t="s">
        <v>8868</v>
      </c>
      <c r="C3047" s="13" t="s">
        <v>166</v>
      </c>
      <c r="D3047" s="766"/>
      <c r="E3047" s="22"/>
      <c r="F3047" s="19">
        <v>22500</v>
      </c>
      <c r="G3047" s="14">
        <f t="shared" si="62"/>
        <v>-22500</v>
      </c>
      <c r="H3047" s="1225"/>
    </row>
    <row r="3048" spans="1:8" x14ac:dyDescent="0.25">
      <c r="A3048" s="113">
        <v>45156</v>
      </c>
      <c r="B3048" s="21" t="s">
        <v>10151</v>
      </c>
      <c r="C3048" s="13" t="s">
        <v>166</v>
      </c>
      <c r="D3048" s="766"/>
      <c r="E3048" s="22"/>
      <c r="F3048" s="19">
        <v>19260</v>
      </c>
      <c r="G3048" s="14">
        <f t="shared" si="62"/>
        <v>-19260</v>
      </c>
      <c r="H3048" s="1225"/>
    </row>
    <row r="3049" spans="1:8" x14ac:dyDescent="0.25">
      <c r="A3049" s="113">
        <v>45156</v>
      </c>
      <c r="B3049" s="21" t="s">
        <v>10471</v>
      </c>
      <c r="C3049" s="13" t="s">
        <v>166</v>
      </c>
      <c r="D3049" s="766"/>
      <c r="E3049" s="22"/>
      <c r="F3049" s="19">
        <v>34640</v>
      </c>
      <c r="G3049" s="14">
        <f t="shared" si="62"/>
        <v>-34640</v>
      </c>
      <c r="H3049" s="1225"/>
    </row>
    <row r="3050" spans="1:8" x14ac:dyDescent="0.25">
      <c r="A3050" s="113">
        <v>45156</v>
      </c>
      <c r="B3050" s="983" t="s">
        <v>10379</v>
      </c>
      <c r="C3050" s="13" t="s">
        <v>166</v>
      </c>
      <c r="D3050" s="766"/>
      <c r="E3050" s="22"/>
      <c r="F3050" s="19">
        <v>58755</v>
      </c>
      <c r="G3050" s="14">
        <f t="shared" si="62"/>
        <v>-58755</v>
      </c>
      <c r="H3050" s="1226"/>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30" t="s">
        <v>10848</v>
      </c>
    </row>
    <row r="3066" spans="1:8" x14ac:dyDescent="0.25">
      <c r="A3066" s="113">
        <v>45161</v>
      </c>
      <c r="B3066" s="983" t="s">
        <v>10296</v>
      </c>
      <c r="C3066" s="140" t="s">
        <v>8394</v>
      </c>
      <c r="D3066" s="984"/>
      <c r="E3066" s="783"/>
      <c r="F3066" s="142">
        <v>112135</v>
      </c>
      <c r="G3066" s="784">
        <f t="shared" si="62"/>
        <v>-112135</v>
      </c>
      <c r="H3066" s="1231"/>
    </row>
    <row r="3067" spans="1:8" x14ac:dyDescent="0.25">
      <c r="A3067" s="113">
        <v>45161</v>
      </c>
      <c r="B3067" s="21" t="s">
        <v>9356</v>
      </c>
      <c r="C3067" s="140" t="s">
        <v>8394</v>
      </c>
      <c r="D3067" s="984"/>
      <c r="E3067" s="783"/>
      <c r="F3067" s="142">
        <v>22065</v>
      </c>
      <c r="G3067" s="784">
        <f t="shared" si="62"/>
        <v>-22065</v>
      </c>
      <c r="H3067" s="1231"/>
    </row>
    <row r="3068" spans="1:8" x14ac:dyDescent="0.25">
      <c r="A3068" s="113">
        <v>45161</v>
      </c>
      <c r="B3068" s="983" t="s">
        <v>10151</v>
      </c>
      <c r="C3068" s="140" t="s">
        <v>8394</v>
      </c>
      <c r="D3068" s="984"/>
      <c r="E3068" s="783"/>
      <c r="F3068" s="142">
        <v>300000</v>
      </c>
      <c r="G3068" s="784">
        <f t="shared" si="62"/>
        <v>-300000</v>
      </c>
      <c r="H3068" s="1231"/>
    </row>
    <row r="3069" spans="1:8" x14ac:dyDescent="0.25">
      <c r="A3069" s="113">
        <v>45161</v>
      </c>
      <c r="B3069" s="983" t="s">
        <v>10379</v>
      </c>
      <c r="C3069" s="140" t="s">
        <v>8394</v>
      </c>
      <c r="D3069" s="984"/>
      <c r="E3069" s="783"/>
      <c r="F3069" s="142">
        <v>200000</v>
      </c>
      <c r="G3069" s="784">
        <f t="shared" si="62"/>
        <v>-200000</v>
      </c>
      <c r="H3069" s="1231"/>
    </row>
    <row r="3070" spans="1:8" ht="16.5" thickBot="1" x14ac:dyDescent="0.3">
      <c r="A3070" s="113">
        <v>45161</v>
      </c>
      <c r="B3070" s="983" t="s">
        <v>10232</v>
      </c>
      <c r="C3070" s="986" t="s">
        <v>8394</v>
      </c>
      <c r="D3070" s="984"/>
      <c r="E3070" s="783"/>
      <c r="F3070" s="786">
        <v>337781</v>
      </c>
      <c r="G3070" s="784">
        <f t="shared" si="62"/>
        <v>-337781</v>
      </c>
      <c r="H3070" s="1232"/>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21" t="s">
        <v>10856</v>
      </c>
    </row>
    <row r="3080" spans="1:8" x14ac:dyDescent="0.25">
      <c r="A3080" s="113">
        <v>45164</v>
      </c>
      <c r="B3080" s="21" t="s">
        <v>9967</v>
      </c>
      <c r="C3080" s="13" t="s">
        <v>169</v>
      </c>
      <c r="D3080" s="766"/>
      <c r="E3080" s="783"/>
      <c r="F3080" s="142">
        <v>23382</v>
      </c>
      <c r="G3080" s="784">
        <f t="shared" si="62"/>
        <v>-23382</v>
      </c>
      <c r="H3080" s="1222"/>
    </row>
    <row r="3081" spans="1:8" x14ac:dyDescent="0.25">
      <c r="A3081" s="113">
        <v>45164</v>
      </c>
      <c r="B3081" s="21" t="s">
        <v>9986</v>
      </c>
      <c r="C3081" s="13" t="s">
        <v>169</v>
      </c>
      <c r="D3081" s="766"/>
      <c r="E3081" s="783"/>
      <c r="F3081" s="142">
        <v>37222</v>
      </c>
      <c r="G3081" s="784">
        <f t="shared" si="62"/>
        <v>-37222</v>
      </c>
      <c r="H3081" s="1222"/>
    </row>
    <row r="3082" spans="1:8" x14ac:dyDescent="0.25">
      <c r="A3082" s="113">
        <v>45164</v>
      </c>
      <c r="B3082" s="21" t="s">
        <v>10296</v>
      </c>
      <c r="C3082" s="13" t="s">
        <v>169</v>
      </c>
      <c r="D3082" s="766"/>
      <c r="E3082" s="783"/>
      <c r="F3082" s="142">
        <v>129892</v>
      </c>
      <c r="G3082" s="784">
        <f t="shared" si="62"/>
        <v>-129892</v>
      </c>
      <c r="H3082" s="1222"/>
    </row>
    <row r="3083" spans="1:8" ht="16.5" thickBot="1" x14ac:dyDescent="0.3">
      <c r="A3083" s="113">
        <v>45164</v>
      </c>
      <c r="B3083" s="21" t="s">
        <v>10571</v>
      </c>
      <c r="C3083" s="13" t="s">
        <v>169</v>
      </c>
      <c r="D3083" s="766"/>
      <c r="E3083" s="783"/>
      <c r="F3083" s="786">
        <v>7300</v>
      </c>
      <c r="G3083" s="784">
        <f t="shared" si="62"/>
        <v>-7300</v>
      </c>
      <c r="H3083" s="1223"/>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27" t="s">
        <v>10876</v>
      </c>
    </row>
    <row r="3086" spans="1:8" x14ac:dyDescent="0.25">
      <c r="A3086" s="113">
        <v>45164</v>
      </c>
      <c r="B3086" s="21" t="s">
        <v>10296</v>
      </c>
      <c r="C3086" s="13" t="s">
        <v>1803</v>
      </c>
      <c r="D3086" s="766"/>
      <c r="E3086" s="783"/>
      <c r="F3086" s="142">
        <v>4870</v>
      </c>
      <c r="G3086" s="784">
        <f t="shared" si="62"/>
        <v>-4870</v>
      </c>
      <c r="H3086" s="1228"/>
    </row>
    <row r="3087" spans="1:8" ht="16.5" thickBot="1" x14ac:dyDescent="0.3">
      <c r="A3087" s="113">
        <v>45164</v>
      </c>
      <c r="B3087" s="21" t="s">
        <v>10909</v>
      </c>
      <c r="C3087" s="13" t="s">
        <v>1803</v>
      </c>
      <c r="D3087" s="766"/>
      <c r="E3087" s="955"/>
      <c r="F3087" s="786">
        <v>75050</v>
      </c>
      <c r="G3087" s="979">
        <f t="shared" si="62"/>
        <v>-75050</v>
      </c>
      <c r="H3087" s="1229"/>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64" t="s">
        <v>11006</v>
      </c>
    </row>
    <row r="3112" spans="1:8" x14ac:dyDescent="0.25">
      <c r="A3112" s="113">
        <v>45174</v>
      </c>
      <c r="B3112" s="21" t="s">
        <v>10571</v>
      </c>
      <c r="C3112" s="13" t="s">
        <v>180</v>
      </c>
      <c r="D3112" s="766"/>
      <c r="E3112" s="22"/>
      <c r="F3112" s="19">
        <v>120960</v>
      </c>
      <c r="G3112" s="14">
        <f t="shared" si="62"/>
        <v>-120960</v>
      </c>
      <c r="H3112" s="1216"/>
    </row>
    <row r="3113" spans="1:8" x14ac:dyDescent="0.25">
      <c r="A3113" s="113">
        <v>45174</v>
      </c>
      <c r="B3113" s="21" t="s">
        <v>10379</v>
      </c>
      <c r="C3113" s="13" t="s">
        <v>180</v>
      </c>
      <c r="D3113" s="766"/>
      <c r="E3113" s="22"/>
      <c r="F3113" s="19">
        <v>4960</v>
      </c>
      <c r="G3113" s="14">
        <f t="shared" si="62"/>
        <v>-4960</v>
      </c>
      <c r="H3113" s="1165"/>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204" t="s">
        <v>11163</v>
      </c>
      <c r="E3153" s="22">
        <v>35941</v>
      </c>
      <c r="F3153" s="19"/>
      <c r="G3153" s="14">
        <f t="shared" si="62"/>
        <v>35941</v>
      </c>
      <c r="H3153" s="13"/>
    </row>
    <row r="3154" spans="1:8" x14ac:dyDescent="0.25">
      <c r="A3154" s="113">
        <v>45190</v>
      </c>
      <c r="B3154" s="21" t="s">
        <v>11075</v>
      </c>
      <c r="C3154" s="13" t="s">
        <v>8394</v>
      </c>
      <c r="D3154" s="1205"/>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204" t="s">
        <v>11165</v>
      </c>
      <c r="E3156" s="22">
        <v>3870</v>
      </c>
      <c r="F3156" s="19"/>
      <c r="G3156" s="14">
        <f t="shared" si="62"/>
        <v>3870</v>
      </c>
      <c r="H3156" s="13"/>
    </row>
    <row r="3157" spans="1:8" x14ac:dyDescent="0.25">
      <c r="A3157" s="113">
        <v>45190</v>
      </c>
      <c r="B3157" s="21" t="s">
        <v>11075</v>
      </c>
      <c r="C3157" s="13" t="s">
        <v>8394</v>
      </c>
      <c r="D3157" s="1205"/>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250" t="s">
        <v>11173</v>
      </c>
    </row>
    <row r="3172" spans="1:8" x14ac:dyDescent="0.25">
      <c r="A3172" s="113">
        <v>45188</v>
      </c>
      <c r="B3172" s="21" t="s">
        <v>9967</v>
      </c>
      <c r="C3172" s="13" t="s">
        <v>164</v>
      </c>
      <c r="D3172" s="766"/>
      <c r="E3172" s="783"/>
      <c r="F3172" s="142">
        <v>1260</v>
      </c>
      <c r="G3172" s="784">
        <f t="shared" ref="G3172:G3273" si="64">E3172-F3172</f>
        <v>-1260</v>
      </c>
      <c r="H3172" s="1251"/>
    </row>
    <row r="3173" spans="1:8" x14ac:dyDescent="0.25">
      <c r="A3173" s="113">
        <v>45188</v>
      </c>
      <c r="B3173" s="21" t="s">
        <v>9986</v>
      </c>
      <c r="C3173" s="13" t="s">
        <v>164</v>
      </c>
      <c r="D3173" s="766"/>
      <c r="E3173" s="783"/>
      <c r="F3173" s="142">
        <v>9626</v>
      </c>
      <c r="G3173" s="784">
        <f t="shared" si="64"/>
        <v>-9626</v>
      </c>
      <c r="H3173" s="1251"/>
    </row>
    <row r="3174" spans="1:8" x14ac:dyDescent="0.25">
      <c r="A3174" s="113">
        <v>45188</v>
      </c>
      <c r="B3174" s="21" t="s">
        <v>10151</v>
      </c>
      <c r="C3174" s="13" t="s">
        <v>164</v>
      </c>
      <c r="D3174" s="766"/>
      <c r="E3174" s="783"/>
      <c r="F3174" s="142">
        <v>6023</v>
      </c>
      <c r="G3174" s="784">
        <f t="shared" si="64"/>
        <v>-6023</v>
      </c>
      <c r="H3174" s="1251"/>
    </row>
    <row r="3175" spans="1:8" x14ac:dyDescent="0.25">
      <c r="A3175" s="113">
        <v>45188</v>
      </c>
      <c r="B3175" s="21" t="s">
        <v>10296</v>
      </c>
      <c r="C3175" s="13" t="s">
        <v>164</v>
      </c>
      <c r="D3175" s="766"/>
      <c r="E3175" s="783"/>
      <c r="F3175" s="142">
        <v>6055</v>
      </c>
      <c r="G3175" s="784">
        <f t="shared" si="64"/>
        <v>-6055</v>
      </c>
      <c r="H3175" s="1251"/>
    </row>
    <row r="3176" spans="1:8" x14ac:dyDescent="0.25">
      <c r="A3176" s="113">
        <v>45188</v>
      </c>
      <c r="B3176" s="21" t="s">
        <v>10471</v>
      </c>
      <c r="C3176" s="13" t="s">
        <v>164</v>
      </c>
      <c r="D3176" s="766"/>
      <c r="E3176" s="783"/>
      <c r="F3176" s="142">
        <v>60002</v>
      </c>
      <c r="G3176" s="784">
        <f t="shared" si="64"/>
        <v>-60002</v>
      </c>
      <c r="H3176" s="1251"/>
    </row>
    <row r="3177" spans="1:8" x14ac:dyDescent="0.25">
      <c r="A3177" s="113">
        <v>45188</v>
      </c>
      <c r="B3177" s="21" t="s">
        <v>10232</v>
      </c>
      <c r="C3177" s="13" t="s">
        <v>164</v>
      </c>
      <c r="D3177" s="766"/>
      <c r="E3177" s="783"/>
      <c r="F3177" s="142">
        <v>9551</v>
      </c>
      <c r="G3177" s="784">
        <f t="shared" si="64"/>
        <v>-9551</v>
      </c>
      <c r="H3177" s="1251"/>
    </row>
    <row r="3178" spans="1:8" x14ac:dyDescent="0.25">
      <c r="A3178" s="113">
        <v>45188</v>
      </c>
      <c r="B3178" s="21" t="s">
        <v>9356</v>
      </c>
      <c r="C3178" s="13" t="s">
        <v>164</v>
      </c>
      <c r="D3178" s="766"/>
      <c r="E3178" s="783"/>
      <c r="F3178" s="142">
        <v>20807</v>
      </c>
      <c r="G3178" s="784">
        <f t="shared" si="64"/>
        <v>-20807</v>
      </c>
      <c r="H3178" s="1251"/>
    </row>
    <row r="3179" spans="1:8" ht="16.5" thickBot="1" x14ac:dyDescent="0.3">
      <c r="A3179" s="113">
        <v>45188</v>
      </c>
      <c r="B3179" s="21" t="s">
        <v>10379</v>
      </c>
      <c r="C3179" s="13" t="s">
        <v>164</v>
      </c>
      <c r="D3179" s="766"/>
      <c r="E3179" s="783"/>
      <c r="F3179" s="786">
        <v>14924</v>
      </c>
      <c r="G3179" s="784">
        <f t="shared" si="64"/>
        <v>-14924</v>
      </c>
      <c r="H3179" s="1252"/>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64" t="s">
        <v>11172</v>
      </c>
    </row>
    <row r="3183" spans="1:8" x14ac:dyDescent="0.25">
      <c r="A3183" s="113">
        <v>45190</v>
      </c>
      <c r="B3183" s="21" t="s">
        <v>10571</v>
      </c>
      <c r="C3183" s="13" t="s">
        <v>169</v>
      </c>
      <c r="D3183" s="766"/>
      <c r="E3183" s="783"/>
      <c r="F3183" s="142">
        <v>100000</v>
      </c>
      <c r="G3183" s="784">
        <f t="shared" si="64"/>
        <v>-100000</v>
      </c>
      <c r="H3183" s="1216"/>
    </row>
    <row r="3184" spans="1:8" ht="16.5" thickBot="1" x14ac:dyDescent="0.3">
      <c r="A3184" s="113">
        <v>45190</v>
      </c>
      <c r="B3184" s="21" t="s">
        <v>9356</v>
      </c>
      <c r="C3184" s="13" t="s">
        <v>169</v>
      </c>
      <c r="D3184" s="766"/>
      <c r="E3184" s="783"/>
      <c r="F3184" s="786">
        <v>300000</v>
      </c>
      <c r="G3184" s="784">
        <f t="shared" si="64"/>
        <v>-300000</v>
      </c>
      <c r="H3184" s="1165"/>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64" t="s">
        <v>11224</v>
      </c>
    </row>
    <row r="3192" spans="1:8" x14ac:dyDescent="0.25">
      <c r="A3192" s="113">
        <v>45195</v>
      </c>
      <c r="B3192" s="21" t="s">
        <v>10571</v>
      </c>
      <c r="C3192" s="13" t="s">
        <v>8394</v>
      </c>
      <c r="D3192" s="766"/>
      <c r="E3192" s="783"/>
      <c r="F3192" s="152">
        <v>11574</v>
      </c>
      <c r="G3192" s="784">
        <f t="shared" si="64"/>
        <v>-11574</v>
      </c>
      <c r="H3192" s="1216"/>
    </row>
    <row r="3193" spans="1:8" x14ac:dyDescent="0.25">
      <c r="A3193" s="113">
        <v>45195</v>
      </c>
      <c r="B3193" s="21" t="s">
        <v>9356</v>
      </c>
      <c r="C3193" s="13" t="s">
        <v>8394</v>
      </c>
      <c r="D3193" s="766"/>
      <c r="E3193" s="783"/>
      <c r="F3193" s="152">
        <v>120076</v>
      </c>
      <c r="G3193" s="784">
        <f t="shared" si="64"/>
        <v>-120076</v>
      </c>
      <c r="H3193" s="1216"/>
    </row>
    <row r="3194" spans="1:8" x14ac:dyDescent="0.25">
      <c r="A3194" s="113">
        <v>45195</v>
      </c>
      <c r="B3194" s="21" t="s">
        <v>10379</v>
      </c>
      <c r="C3194" s="13" t="s">
        <v>8394</v>
      </c>
      <c r="D3194" s="766"/>
      <c r="E3194" s="783"/>
      <c r="F3194" s="152">
        <v>209438</v>
      </c>
      <c r="G3194" s="784">
        <f t="shared" si="64"/>
        <v>-209438</v>
      </c>
      <c r="H3194" s="1216"/>
    </row>
    <row r="3195" spans="1:8" x14ac:dyDescent="0.25">
      <c r="A3195" s="113">
        <v>45195</v>
      </c>
      <c r="B3195" s="21" t="s">
        <v>11075</v>
      </c>
      <c r="C3195" s="13" t="s">
        <v>8394</v>
      </c>
      <c r="D3195" s="766"/>
      <c r="E3195" s="783"/>
      <c r="F3195" s="152">
        <v>203556</v>
      </c>
      <c r="G3195" s="784">
        <f t="shared" si="64"/>
        <v>-203556</v>
      </c>
      <c r="H3195" s="1216"/>
    </row>
    <row r="3196" spans="1:8" ht="16.5" customHeight="1" thickBot="1" x14ac:dyDescent="0.3">
      <c r="A3196" s="113">
        <v>45195</v>
      </c>
      <c r="B3196" s="21" t="s">
        <v>10576</v>
      </c>
      <c r="C3196" s="13" t="s">
        <v>8394</v>
      </c>
      <c r="D3196" s="766"/>
      <c r="E3196" s="783"/>
      <c r="F3196" s="296">
        <v>296860</v>
      </c>
      <c r="G3196" s="784">
        <f t="shared" si="64"/>
        <v>-296860</v>
      </c>
      <c r="H3196" s="1165"/>
    </row>
    <row r="3197" spans="1:8" x14ac:dyDescent="0.25">
      <c r="A3197" s="113">
        <v>45195</v>
      </c>
      <c r="B3197" s="21" t="s">
        <v>10571</v>
      </c>
      <c r="C3197" s="13" t="s">
        <v>7467</v>
      </c>
      <c r="D3197" s="766"/>
      <c r="E3197" s="783"/>
      <c r="F3197" s="785">
        <v>586928</v>
      </c>
      <c r="G3197" s="784">
        <f t="shared" si="64"/>
        <v>-586928</v>
      </c>
      <c r="H3197" s="1212" t="s">
        <v>11213</v>
      </c>
    </row>
    <row r="3198" spans="1:8" x14ac:dyDescent="0.25">
      <c r="A3198" s="113">
        <v>45195</v>
      </c>
      <c r="B3198" s="21" t="s">
        <v>9661</v>
      </c>
      <c r="C3198" s="13" t="s">
        <v>7467</v>
      </c>
      <c r="D3198" s="766"/>
      <c r="E3198" s="783"/>
      <c r="F3198" s="142">
        <v>130436</v>
      </c>
      <c r="G3198" s="784">
        <f t="shared" si="64"/>
        <v>-130436</v>
      </c>
      <c r="H3198" s="1213"/>
    </row>
    <row r="3199" spans="1:8" ht="16.5" thickBot="1" x14ac:dyDescent="0.3">
      <c r="A3199" s="113">
        <v>45195</v>
      </c>
      <c r="B3199" s="21" t="s">
        <v>10296</v>
      </c>
      <c r="C3199" s="13" t="s">
        <v>7467</v>
      </c>
      <c r="D3199" s="766"/>
      <c r="E3199" s="783"/>
      <c r="F3199" s="786">
        <v>82636</v>
      </c>
      <c r="G3199" s="784">
        <f t="shared" si="64"/>
        <v>-82636</v>
      </c>
      <c r="H3199" s="1214"/>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64" t="s">
        <v>11172</v>
      </c>
    </row>
    <row r="3203" spans="1:8" x14ac:dyDescent="0.25">
      <c r="A3203" s="113">
        <v>45195</v>
      </c>
      <c r="B3203" s="21" t="s">
        <v>10151</v>
      </c>
      <c r="C3203" s="13" t="s">
        <v>7467</v>
      </c>
      <c r="D3203" s="766"/>
      <c r="E3203" s="783"/>
      <c r="F3203" s="152">
        <v>228360</v>
      </c>
      <c r="G3203" s="784">
        <f t="shared" si="64"/>
        <v>-228360</v>
      </c>
      <c r="H3203" s="1216"/>
    </row>
    <row r="3204" spans="1:8" x14ac:dyDescent="0.25">
      <c r="A3204" s="113">
        <v>45195</v>
      </c>
      <c r="B3204" s="21" t="s">
        <v>9986</v>
      </c>
      <c r="C3204" s="13" t="s">
        <v>7467</v>
      </c>
      <c r="D3204" s="766"/>
      <c r="E3204" s="783"/>
      <c r="F3204" s="152">
        <v>35755</v>
      </c>
      <c r="G3204" s="784">
        <f t="shared" si="64"/>
        <v>-35755</v>
      </c>
      <c r="H3204" s="1216"/>
    </row>
    <row r="3205" spans="1:8" ht="16.5" thickBot="1" x14ac:dyDescent="0.3">
      <c r="A3205" s="113">
        <v>45195</v>
      </c>
      <c r="B3205" s="21" t="s">
        <v>11075</v>
      </c>
      <c r="C3205" s="13" t="s">
        <v>7467</v>
      </c>
      <c r="D3205" s="766"/>
      <c r="E3205" s="783"/>
      <c r="F3205" s="296">
        <f>500000-F3204-F3203-F3202</f>
        <v>203425</v>
      </c>
      <c r="G3205" s="784">
        <f t="shared" si="64"/>
        <v>-203425</v>
      </c>
      <c r="H3205" s="1165"/>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64" t="s">
        <v>11172</v>
      </c>
    </row>
    <row r="3219" spans="1:8" x14ac:dyDescent="0.25">
      <c r="A3219" s="113">
        <v>45202</v>
      </c>
      <c r="B3219" s="21" t="s">
        <v>8868</v>
      </c>
      <c r="C3219" s="13" t="s">
        <v>168</v>
      </c>
      <c r="D3219" s="766"/>
      <c r="E3219" s="783"/>
      <c r="F3219" s="152">
        <v>227720</v>
      </c>
      <c r="G3219" s="784">
        <f t="shared" si="64"/>
        <v>-227720</v>
      </c>
      <c r="H3219" s="1216"/>
    </row>
    <row r="3220" spans="1:8" x14ac:dyDescent="0.25">
      <c r="A3220" s="113">
        <v>45202</v>
      </c>
      <c r="B3220" s="21" t="s">
        <v>9507</v>
      </c>
      <c r="C3220" s="13" t="s">
        <v>168</v>
      </c>
      <c r="D3220" s="766"/>
      <c r="E3220" s="783"/>
      <c r="F3220" s="152">
        <v>9820</v>
      </c>
      <c r="G3220" s="784">
        <f t="shared" si="64"/>
        <v>-9820</v>
      </c>
      <c r="H3220" s="1216"/>
    </row>
    <row r="3221" spans="1:8" ht="16.5" thickBot="1" x14ac:dyDescent="0.3">
      <c r="A3221" s="113">
        <v>45202</v>
      </c>
      <c r="B3221" s="21" t="s">
        <v>10296</v>
      </c>
      <c r="C3221" s="13" t="s">
        <v>168</v>
      </c>
      <c r="D3221" s="766"/>
      <c r="E3221" s="783"/>
      <c r="F3221" s="296">
        <v>179260</v>
      </c>
      <c r="G3221" s="784">
        <f t="shared" si="64"/>
        <v>-179260</v>
      </c>
      <c r="H3221" s="1165"/>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64" t="s">
        <v>11395</v>
      </c>
    </row>
    <row r="3274" spans="1:8" x14ac:dyDescent="0.25">
      <c r="A3274" s="113">
        <v>45216</v>
      </c>
      <c r="B3274" s="21" t="s">
        <v>9356</v>
      </c>
      <c r="C3274" s="13" t="s">
        <v>8394</v>
      </c>
      <c r="D3274" s="766"/>
      <c r="E3274" s="22"/>
      <c r="F3274" s="19">
        <v>3763</v>
      </c>
      <c r="G3274" s="14">
        <f t="shared" ref="G3274:G3370" si="65">E3274-F3274</f>
        <v>-3763</v>
      </c>
      <c r="H3274" s="1216"/>
    </row>
    <row r="3275" spans="1:8" x14ac:dyDescent="0.25">
      <c r="A3275" s="113">
        <v>45216</v>
      </c>
      <c r="B3275" s="21" t="s">
        <v>10379</v>
      </c>
      <c r="C3275" s="13" t="s">
        <v>8394</v>
      </c>
      <c r="D3275" s="766"/>
      <c r="E3275" s="22"/>
      <c r="F3275" s="19">
        <v>17368</v>
      </c>
      <c r="G3275" s="14">
        <f t="shared" si="65"/>
        <v>-17368</v>
      </c>
      <c r="H3275" s="1216"/>
    </row>
    <row r="3276" spans="1:8" x14ac:dyDescent="0.25">
      <c r="A3276" s="113">
        <v>45216</v>
      </c>
      <c r="B3276" s="21" t="s">
        <v>11075</v>
      </c>
      <c r="C3276" s="13" t="s">
        <v>8394</v>
      </c>
      <c r="D3276" s="766"/>
      <c r="E3276" s="22"/>
      <c r="F3276" s="19">
        <v>194858</v>
      </c>
      <c r="G3276" s="14">
        <f t="shared" si="65"/>
        <v>-194858</v>
      </c>
      <c r="H3276" s="1216"/>
    </row>
    <row r="3277" spans="1:8" x14ac:dyDescent="0.25">
      <c r="A3277" s="113">
        <v>45216</v>
      </c>
      <c r="B3277" s="21" t="s">
        <v>10232</v>
      </c>
      <c r="C3277" s="13" t="s">
        <v>8394</v>
      </c>
      <c r="D3277" s="766"/>
      <c r="E3277" s="22"/>
      <c r="F3277" s="19">
        <v>650000</v>
      </c>
      <c r="G3277" s="14">
        <f t="shared" si="65"/>
        <v>-650000</v>
      </c>
      <c r="H3277" s="1216"/>
    </row>
    <row r="3278" spans="1:8" x14ac:dyDescent="0.25">
      <c r="A3278" s="113">
        <v>45216</v>
      </c>
      <c r="B3278" s="21" t="s">
        <v>10909</v>
      </c>
      <c r="C3278" s="13" t="s">
        <v>8394</v>
      </c>
      <c r="D3278" s="766"/>
      <c r="E3278" s="22"/>
      <c r="F3278" s="19">
        <v>308871</v>
      </c>
      <c r="G3278" s="14">
        <f t="shared" si="65"/>
        <v>-308871</v>
      </c>
      <c r="H3278" s="1216"/>
    </row>
    <row r="3279" spans="1:8" x14ac:dyDescent="0.25">
      <c r="A3279" s="113">
        <v>45216</v>
      </c>
      <c r="B3279" s="21" t="s">
        <v>10576</v>
      </c>
      <c r="C3279" s="13" t="s">
        <v>8394</v>
      </c>
      <c r="D3279" s="766"/>
      <c r="E3279" s="22"/>
      <c r="F3279" s="19">
        <v>250000</v>
      </c>
      <c r="G3279" s="14">
        <f t="shared" si="65"/>
        <v>-250000</v>
      </c>
      <c r="H3279" s="1165"/>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12719</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219" t="s">
        <v>11447</v>
      </c>
      <c r="E3291" s="22">
        <v>20103</v>
      </c>
      <c r="F3291" s="19"/>
      <c r="G3291" s="14">
        <f t="shared" si="65"/>
        <v>20103</v>
      </c>
      <c r="H3291" s="13"/>
    </row>
    <row r="3292" spans="1:8" x14ac:dyDescent="0.25">
      <c r="A3292" s="113">
        <v>45220</v>
      </c>
      <c r="B3292" s="21" t="s">
        <v>11199</v>
      </c>
      <c r="C3292" s="13" t="s">
        <v>8394</v>
      </c>
      <c r="D3292" s="1219"/>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212" t="s">
        <v>11578</v>
      </c>
    </row>
    <row r="3329" spans="1:8" ht="16.5" thickBot="1" x14ac:dyDescent="0.3">
      <c r="A3329" s="113">
        <v>45233</v>
      </c>
      <c r="B3329" s="21" t="s">
        <v>11075</v>
      </c>
      <c r="C3329" s="13" t="s">
        <v>7467</v>
      </c>
      <c r="D3329" s="766"/>
      <c r="E3329" s="783"/>
      <c r="F3329" s="786">
        <v>173681</v>
      </c>
      <c r="G3329" s="784">
        <f t="shared" si="65"/>
        <v>-173681</v>
      </c>
      <c r="H3329" s="1214"/>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8"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212" t="s">
        <v>12284</v>
      </c>
    </row>
    <row r="3394" spans="1:8" x14ac:dyDescent="0.25">
      <c r="A3394" s="113">
        <v>45248</v>
      </c>
      <c r="B3394" s="21" t="s">
        <v>11617</v>
      </c>
      <c r="C3394" s="13" t="s">
        <v>168</v>
      </c>
      <c r="D3394" s="766"/>
      <c r="E3394" s="22"/>
      <c r="F3394" s="110">
        <v>250000</v>
      </c>
      <c r="G3394" s="14">
        <f t="shared" si="67"/>
        <v>-250000</v>
      </c>
      <c r="H3394" s="1214"/>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45273</v>
      </c>
      <c r="B3452" s="21" t="s">
        <v>11897</v>
      </c>
      <c r="C3452" s="13" t="s">
        <v>4410</v>
      </c>
      <c r="D3452" s="766"/>
      <c r="E3452" s="22">
        <v>3200000</v>
      </c>
      <c r="F3452" s="19"/>
      <c r="G3452" s="14">
        <f t="shared" si="66"/>
        <v>3200000</v>
      </c>
      <c r="H3452" s="13"/>
    </row>
    <row r="3453" spans="1:8" x14ac:dyDescent="0.25">
      <c r="A3453" s="113">
        <v>45273</v>
      </c>
      <c r="B3453" s="21" t="s">
        <v>11897</v>
      </c>
      <c r="C3453" s="13" t="s">
        <v>4410</v>
      </c>
      <c r="D3453" s="766"/>
      <c r="E3453" s="22"/>
      <c r="F3453" s="19">
        <v>1500000</v>
      </c>
      <c r="G3453" s="14">
        <f t="shared" si="66"/>
        <v>-1500000</v>
      </c>
      <c r="H3453" s="13" t="s">
        <v>11899</v>
      </c>
    </row>
    <row r="3454" spans="1:8" x14ac:dyDescent="0.25">
      <c r="A3454" s="113">
        <v>45274</v>
      </c>
      <c r="B3454" s="21" t="s">
        <v>11446</v>
      </c>
      <c r="C3454" s="13" t="s">
        <v>166</v>
      </c>
      <c r="D3454" s="766" t="s">
        <v>12063</v>
      </c>
      <c r="E3454" s="22">
        <v>4380</v>
      </c>
      <c r="F3454" s="19"/>
      <c r="G3454" s="14">
        <f t="shared" si="66"/>
        <v>4380</v>
      </c>
      <c r="H3454" s="13"/>
    </row>
    <row r="3455" spans="1:8" x14ac:dyDescent="0.25">
      <c r="A3455" s="113">
        <v>45275</v>
      </c>
      <c r="B3455" s="21" t="s">
        <v>11617</v>
      </c>
      <c r="C3455" s="13" t="s">
        <v>164</v>
      </c>
      <c r="D3455" s="766" t="s">
        <v>11921</v>
      </c>
      <c r="E3455" s="22">
        <v>5396</v>
      </c>
      <c r="F3455" s="19"/>
      <c r="G3455" s="14">
        <f t="shared" si="66"/>
        <v>5396</v>
      </c>
      <c r="H3455" s="13"/>
    </row>
    <row r="3456" spans="1:8" x14ac:dyDescent="0.25">
      <c r="A3456" s="113">
        <v>45275</v>
      </c>
      <c r="B3456" s="21" t="s">
        <v>11617</v>
      </c>
      <c r="C3456" s="13" t="s">
        <v>166</v>
      </c>
      <c r="D3456" s="766" t="s">
        <v>12064</v>
      </c>
      <c r="E3456" s="22">
        <v>9125</v>
      </c>
      <c r="F3456" s="19"/>
      <c r="G3456" s="14">
        <f t="shared" si="66"/>
        <v>9125</v>
      </c>
      <c r="H3456" s="13"/>
    </row>
    <row r="3457" spans="1:8" x14ac:dyDescent="0.25">
      <c r="A3457" s="113">
        <v>45275</v>
      </c>
      <c r="B3457" s="21" t="s">
        <v>11897</v>
      </c>
      <c r="C3457" s="13" t="s">
        <v>180</v>
      </c>
      <c r="D3457" s="766"/>
      <c r="E3457" s="22"/>
      <c r="F3457" s="19">
        <v>1500000</v>
      </c>
      <c r="G3457" s="14">
        <f t="shared" si="66"/>
        <v>-1500000</v>
      </c>
      <c r="H3457" s="13" t="s">
        <v>11933</v>
      </c>
    </row>
    <row r="3458" spans="1:8" x14ac:dyDescent="0.25">
      <c r="A3458" s="113">
        <v>45275</v>
      </c>
      <c r="B3458" s="21" t="s">
        <v>10232</v>
      </c>
      <c r="C3458" s="13" t="s">
        <v>8394</v>
      </c>
      <c r="D3458" s="766"/>
      <c r="E3458" s="22"/>
      <c r="F3458" s="19">
        <v>250000</v>
      </c>
      <c r="G3458" s="14">
        <f t="shared" si="66"/>
        <v>-250000</v>
      </c>
      <c r="H3458" s="13" t="s">
        <v>11933</v>
      </c>
    </row>
    <row r="3459" spans="1:8" x14ac:dyDescent="0.25">
      <c r="A3459" s="113">
        <v>45275</v>
      </c>
      <c r="B3459" s="21" t="s">
        <v>10576</v>
      </c>
      <c r="C3459" s="13" t="s">
        <v>8394</v>
      </c>
      <c r="D3459" s="766"/>
      <c r="E3459" s="22"/>
      <c r="F3459" s="19">
        <v>250000</v>
      </c>
      <c r="G3459" s="14">
        <f t="shared" ref="G3459:G3600" si="68">E3459-F3459</f>
        <v>-250000</v>
      </c>
      <c r="H3459" s="13" t="s">
        <v>11933</v>
      </c>
    </row>
    <row r="3460" spans="1:8" x14ac:dyDescent="0.25">
      <c r="A3460" s="113">
        <v>45275</v>
      </c>
      <c r="B3460" s="21" t="s">
        <v>10909</v>
      </c>
      <c r="C3460" s="13" t="s">
        <v>8394</v>
      </c>
      <c r="D3460" s="766"/>
      <c r="E3460" s="22"/>
      <c r="F3460" s="19">
        <v>250000</v>
      </c>
      <c r="G3460" s="14">
        <f t="shared" si="68"/>
        <v>-250000</v>
      </c>
      <c r="H3460" s="13" t="s">
        <v>11933</v>
      </c>
    </row>
    <row r="3461" spans="1:8" x14ac:dyDescent="0.25">
      <c r="A3461" s="113">
        <v>45275</v>
      </c>
      <c r="B3461" s="21" t="s">
        <v>11446</v>
      </c>
      <c r="C3461" s="13" t="s">
        <v>8394</v>
      </c>
      <c r="D3461" s="766"/>
      <c r="E3461" s="22"/>
      <c r="F3461" s="19">
        <v>250000</v>
      </c>
      <c r="G3461" s="14">
        <f t="shared" si="68"/>
        <v>-250000</v>
      </c>
      <c r="H3461" s="13" t="s">
        <v>11933</v>
      </c>
    </row>
    <row r="3462" spans="1:8" ht="16.5" thickBot="1" x14ac:dyDescent="0.3">
      <c r="A3462" s="113">
        <v>45275</v>
      </c>
      <c r="B3462" s="21" t="s">
        <v>10232</v>
      </c>
      <c r="C3462" s="13" t="s">
        <v>7467</v>
      </c>
      <c r="D3462" s="766"/>
      <c r="E3462" s="22"/>
      <c r="F3462" s="110">
        <v>1000000</v>
      </c>
      <c r="G3462" s="14">
        <f t="shared" si="68"/>
        <v>-1000000</v>
      </c>
      <c r="H3462" s="13" t="s">
        <v>11933</v>
      </c>
    </row>
    <row r="3463" spans="1:8" x14ac:dyDescent="0.25">
      <c r="A3463" s="113">
        <v>45276</v>
      </c>
      <c r="B3463" s="21" t="s">
        <v>9967</v>
      </c>
      <c r="C3463" s="13" t="s">
        <v>164</v>
      </c>
      <c r="D3463" s="766"/>
      <c r="E3463" s="783"/>
      <c r="F3463" s="785">
        <v>14707</v>
      </c>
      <c r="G3463" s="784">
        <f t="shared" si="68"/>
        <v>-14707</v>
      </c>
      <c r="H3463" s="13" t="s">
        <v>11958</v>
      </c>
    </row>
    <row r="3464" spans="1:8" x14ac:dyDescent="0.25">
      <c r="A3464" s="113">
        <v>45276</v>
      </c>
      <c r="B3464" s="21" t="s">
        <v>9986</v>
      </c>
      <c r="C3464" s="13" t="s">
        <v>164</v>
      </c>
      <c r="D3464" s="766"/>
      <c r="E3464" s="783"/>
      <c r="F3464" s="142">
        <v>41074</v>
      </c>
      <c r="G3464" s="784">
        <f t="shared" si="68"/>
        <v>-41074</v>
      </c>
      <c r="H3464" s="13" t="s">
        <v>11958</v>
      </c>
    </row>
    <row r="3465" spans="1:8" x14ac:dyDescent="0.25">
      <c r="A3465" s="113">
        <v>45276</v>
      </c>
      <c r="B3465" s="21" t="s">
        <v>10232</v>
      </c>
      <c r="C3465" s="13" t="s">
        <v>164</v>
      </c>
      <c r="D3465" s="766"/>
      <c r="E3465" s="783"/>
      <c r="F3465" s="142">
        <v>32306</v>
      </c>
      <c r="G3465" s="784">
        <f t="shared" si="68"/>
        <v>-32306</v>
      </c>
      <c r="H3465" s="13" t="s">
        <v>11958</v>
      </c>
    </row>
    <row r="3466" spans="1:8" x14ac:dyDescent="0.25">
      <c r="A3466" s="113">
        <v>45276</v>
      </c>
      <c r="B3466" s="21" t="s">
        <v>10576</v>
      </c>
      <c r="C3466" s="13" t="s">
        <v>164</v>
      </c>
      <c r="D3466" s="766"/>
      <c r="E3466" s="783"/>
      <c r="F3466" s="142">
        <v>5887</v>
      </c>
      <c r="G3466" s="784">
        <f t="shared" si="68"/>
        <v>-5887</v>
      </c>
      <c r="H3466" s="13" t="s">
        <v>11958</v>
      </c>
    </row>
    <row r="3467" spans="1:8" x14ac:dyDescent="0.25">
      <c r="A3467" s="113">
        <v>45276</v>
      </c>
      <c r="B3467" s="21" t="s">
        <v>11446</v>
      </c>
      <c r="C3467" s="13" t="s">
        <v>164</v>
      </c>
      <c r="D3467" s="766"/>
      <c r="E3467" s="783"/>
      <c r="F3467" s="142">
        <v>52104</v>
      </c>
      <c r="G3467" s="784">
        <f t="shared" si="68"/>
        <v>-52104</v>
      </c>
      <c r="H3467" s="13" t="s">
        <v>11958</v>
      </c>
    </row>
    <row r="3468" spans="1:8" x14ac:dyDescent="0.25">
      <c r="A3468" s="113">
        <v>45276</v>
      </c>
      <c r="B3468" s="21" t="s">
        <v>11271</v>
      </c>
      <c r="C3468" s="13" t="s">
        <v>164</v>
      </c>
      <c r="D3468" s="766"/>
      <c r="E3468" s="783"/>
      <c r="F3468" s="142">
        <v>1420</v>
      </c>
      <c r="G3468" s="784">
        <f t="shared" si="68"/>
        <v>-1420</v>
      </c>
      <c r="H3468" s="13" t="s">
        <v>11958</v>
      </c>
    </row>
    <row r="3469" spans="1:8" ht="16.5" thickBot="1" x14ac:dyDescent="0.3">
      <c r="A3469" s="113">
        <v>45276</v>
      </c>
      <c r="B3469" s="21" t="s">
        <v>11617</v>
      </c>
      <c r="C3469" s="13" t="s">
        <v>164</v>
      </c>
      <c r="D3469" s="766"/>
      <c r="E3469" s="783"/>
      <c r="F3469" s="786">
        <v>12502</v>
      </c>
      <c r="G3469" s="784">
        <f t="shared" si="68"/>
        <v>-12502</v>
      </c>
      <c r="H3469" s="13" t="s">
        <v>11958</v>
      </c>
    </row>
    <row r="3470" spans="1:8" x14ac:dyDescent="0.25">
      <c r="A3470" s="113">
        <v>45276</v>
      </c>
      <c r="B3470" s="21" t="s">
        <v>11897</v>
      </c>
      <c r="C3470" s="13" t="s">
        <v>180</v>
      </c>
      <c r="D3470" s="766" t="s">
        <v>11969</v>
      </c>
      <c r="E3470" s="22">
        <v>1343560</v>
      </c>
      <c r="F3470" s="112"/>
      <c r="G3470" s="784">
        <f t="shared" si="68"/>
        <v>1343560</v>
      </c>
      <c r="H3470" s="13"/>
    </row>
    <row r="3471" spans="1:8" x14ac:dyDescent="0.25">
      <c r="A3471" s="113">
        <v>45276</v>
      </c>
      <c r="B3471" s="21" t="s">
        <v>11617</v>
      </c>
      <c r="C3471" s="13" t="s">
        <v>164</v>
      </c>
      <c r="D3471" s="766" t="s">
        <v>12056</v>
      </c>
      <c r="E3471" s="22">
        <v>1113</v>
      </c>
      <c r="F3471" s="112"/>
      <c r="G3471" s="784">
        <f t="shared" si="68"/>
        <v>1113</v>
      </c>
      <c r="H3471" s="13"/>
    </row>
    <row r="3472" spans="1:8" x14ac:dyDescent="0.25">
      <c r="A3472" s="113">
        <v>45278</v>
      </c>
      <c r="B3472" s="21" t="s">
        <v>11617</v>
      </c>
      <c r="C3472" s="13" t="s">
        <v>166</v>
      </c>
      <c r="D3472" s="766" t="s">
        <v>12065</v>
      </c>
      <c r="E3472" s="22">
        <v>6580</v>
      </c>
      <c r="F3472" s="112"/>
      <c r="G3472" s="784">
        <f t="shared" si="68"/>
        <v>6580</v>
      </c>
      <c r="H3472" s="13"/>
    </row>
    <row r="3473" spans="1:8" x14ac:dyDescent="0.25">
      <c r="A3473" s="113">
        <v>45280</v>
      </c>
      <c r="B3473" s="21" t="s">
        <v>10909</v>
      </c>
      <c r="C3473" s="13" t="s">
        <v>1198</v>
      </c>
      <c r="D3473" s="766" t="s">
        <v>11997</v>
      </c>
      <c r="E3473" s="22">
        <v>44000</v>
      </c>
      <c r="F3473" s="112"/>
      <c r="G3473" s="784">
        <f t="shared" si="68"/>
        <v>44000</v>
      </c>
      <c r="H3473" s="13"/>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12282</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12282</v>
      </c>
      <c r="D3477" s="766"/>
      <c r="E3477" s="22"/>
      <c r="F3477" s="19">
        <v>472526</v>
      </c>
      <c r="G3477" s="784">
        <f t="shared" si="68"/>
        <v>-472526</v>
      </c>
      <c r="H3477" s="13" t="s">
        <v>11986</v>
      </c>
    </row>
    <row r="3478" spans="1:8" x14ac:dyDescent="0.25">
      <c r="A3478" s="113">
        <v>45286</v>
      </c>
      <c r="B3478" s="21" t="s">
        <v>10909</v>
      </c>
      <c r="C3478" s="13" t="s">
        <v>5187</v>
      </c>
      <c r="D3478" s="766" t="s">
        <v>12278</v>
      </c>
      <c r="E3478" s="22">
        <v>11148</v>
      </c>
      <c r="F3478" s="19"/>
      <c r="G3478" s="784">
        <f t="shared" si="68"/>
        <v>11148</v>
      </c>
      <c r="H3478" s="13" t="s">
        <v>12279</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60" t="s">
        <v>12067</v>
      </c>
    </row>
    <row r="3484" spans="1:8" x14ac:dyDescent="0.25">
      <c r="A3484" s="113">
        <v>45286</v>
      </c>
      <c r="B3484" s="21" t="s">
        <v>10151</v>
      </c>
      <c r="C3484" s="13" t="s">
        <v>166</v>
      </c>
      <c r="D3484" s="766"/>
      <c r="E3484" s="783"/>
      <c r="F3484" s="142">
        <v>21340</v>
      </c>
      <c r="G3484" s="784">
        <f t="shared" si="68"/>
        <v>-21340</v>
      </c>
      <c r="H3484" s="1160"/>
    </row>
    <row r="3485" spans="1:8" x14ac:dyDescent="0.25">
      <c r="A3485" s="113">
        <v>45286</v>
      </c>
      <c r="B3485" s="21" t="s">
        <v>10471</v>
      </c>
      <c r="C3485" s="13" t="s">
        <v>166</v>
      </c>
      <c r="D3485" s="766"/>
      <c r="E3485" s="783"/>
      <c r="F3485" s="142">
        <v>140985</v>
      </c>
      <c r="G3485" s="784">
        <f t="shared" si="68"/>
        <v>-140985</v>
      </c>
      <c r="H3485" s="1160"/>
    </row>
    <row r="3486" spans="1:8" x14ac:dyDescent="0.25">
      <c r="A3486" s="113">
        <v>45286</v>
      </c>
      <c r="B3486" s="21" t="s">
        <v>10232</v>
      </c>
      <c r="C3486" s="13" t="s">
        <v>166</v>
      </c>
      <c r="D3486" s="766"/>
      <c r="E3486" s="783"/>
      <c r="F3486" s="142">
        <v>15980</v>
      </c>
      <c r="G3486" s="784">
        <f t="shared" si="68"/>
        <v>-15980</v>
      </c>
      <c r="H3486" s="1160"/>
    </row>
    <row r="3487" spans="1:8" x14ac:dyDescent="0.25">
      <c r="A3487" s="113">
        <v>45286</v>
      </c>
      <c r="B3487" s="21" t="s">
        <v>10571</v>
      </c>
      <c r="C3487" s="13" t="s">
        <v>166</v>
      </c>
      <c r="D3487" s="766"/>
      <c r="E3487" s="783"/>
      <c r="F3487" s="142">
        <v>45000</v>
      </c>
      <c r="G3487" s="784">
        <f t="shared" si="68"/>
        <v>-45000</v>
      </c>
      <c r="H3487" s="1160"/>
    </row>
    <row r="3488" spans="1:8" x14ac:dyDescent="0.25">
      <c r="A3488" s="113">
        <v>45286</v>
      </c>
      <c r="B3488" s="21" t="s">
        <v>10379</v>
      </c>
      <c r="C3488" s="13" t="s">
        <v>166</v>
      </c>
      <c r="D3488" s="766"/>
      <c r="E3488" s="783"/>
      <c r="F3488" s="142">
        <v>114255</v>
      </c>
      <c r="G3488" s="784">
        <f t="shared" si="68"/>
        <v>-114255</v>
      </c>
      <c r="H3488" s="1160"/>
    </row>
    <row r="3489" spans="1:8" x14ac:dyDescent="0.25">
      <c r="A3489" s="113">
        <v>45286</v>
      </c>
      <c r="B3489" s="21" t="s">
        <v>10909</v>
      </c>
      <c r="C3489" s="13" t="s">
        <v>166</v>
      </c>
      <c r="D3489" s="766"/>
      <c r="E3489" s="783"/>
      <c r="F3489" s="142">
        <v>83530</v>
      </c>
      <c r="G3489" s="784">
        <f t="shared" si="68"/>
        <v>-83530</v>
      </c>
      <c r="H3489" s="1160"/>
    </row>
    <row r="3490" spans="1:8" x14ac:dyDescent="0.25">
      <c r="A3490" s="113">
        <v>45286</v>
      </c>
      <c r="B3490" s="21" t="s">
        <v>11007</v>
      </c>
      <c r="C3490" s="13" t="s">
        <v>166</v>
      </c>
      <c r="D3490" s="766"/>
      <c r="E3490" s="783"/>
      <c r="F3490" s="142">
        <v>65500</v>
      </c>
      <c r="G3490" s="784">
        <f t="shared" si="68"/>
        <v>-65500</v>
      </c>
      <c r="H3490" s="1160"/>
    </row>
    <row r="3491" spans="1:8" x14ac:dyDescent="0.25">
      <c r="A3491" s="113">
        <v>45286</v>
      </c>
      <c r="B3491" s="21" t="s">
        <v>11446</v>
      </c>
      <c r="C3491" s="13" t="s">
        <v>166</v>
      </c>
      <c r="D3491" s="766"/>
      <c r="E3491" s="783"/>
      <c r="F3491" s="142">
        <v>250855</v>
      </c>
      <c r="G3491" s="784">
        <f t="shared" si="68"/>
        <v>-250855</v>
      </c>
      <c r="H3491" s="1160"/>
    </row>
    <row r="3492" spans="1:8" x14ac:dyDescent="0.25">
      <c r="A3492" s="113">
        <v>45286</v>
      </c>
      <c r="B3492" s="21" t="s">
        <v>11617</v>
      </c>
      <c r="C3492" s="13" t="s">
        <v>166</v>
      </c>
      <c r="D3492" s="766"/>
      <c r="E3492" s="783"/>
      <c r="F3492" s="142">
        <v>41135</v>
      </c>
      <c r="G3492" s="784">
        <f t="shared" si="68"/>
        <v>-41135</v>
      </c>
      <c r="H3492" s="1160"/>
    </row>
    <row r="3493" spans="1:8" ht="16.5" thickBot="1" x14ac:dyDescent="0.3">
      <c r="A3493" s="113">
        <v>45286</v>
      </c>
      <c r="B3493" s="30"/>
      <c r="C3493" s="13" t="s">
        <v>166</v>
      </c>
      <c r="D3493" s="766"/>
      <c r="E3493" s="783"/>
      <c r="F3493" s="786">
        <v>205140</v>
      </c>
      <c r="G3493" s="784">
        <f t="shared" si="68"/>
        <v>-205140</v>
      </c>
      <c r="H3493" s="1161"/>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12339</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239" t="s">
        <v>12003</v>
      </c>
    </row>
    <row r="3511" spans="1:8" x14ac:dyDescent="0.25">
      <c r="A3511" s="113">
        <v>45294</v>
      </c>
      <c r="B3511" s="21" t="s">
        <v>10379</v>
      </c>
      <c r="C3511" s="13" t="s">
        <v>5681</v>
      </c>
      <c r="D3511" s="766"/>
      <c r="E3511" s="22"/>
      <c r="F3511" s="19">
        <v>190000</v>
      </c>
      <c r="G3511" s="14">
        <f t="shared" si="68"/>
        <v>-190000</v>
      </c>
      <c r="H3511" s="1240"/>
    </row>
    <row r="3512" spans="1:8" x14ac:dyDescent="0.25">
      <c r="A3512" s="113">
        <v>45294</v>
      </c>
      <c r="B3512" s="21" t="s">
        <v>10909</v>
      </c>
      <c r="C3512" s="13" t="s">
        <v>12496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12493</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212" t="s">
        <v>12138</v>
      </c>
    </row>
    <row r="3518" spans="1:8" x14ac:dyDescent="0.25">
      <c r="A3518" s="113">
        <v>45295</v>
      </c>
      <c r="B3518" s="21" t="s">
        <v>11446</v>
      </c>
      <c r="C3518" s="13" t="s">
        <v>8394</v>
      </c>
      <c r="D3518" s="766"/>
      <c r="E3518" s="22"/>
      <c r="F3518" s="19">
        <v>250000</v>
      </c>
      <c r="G3518" s="14">
        <f t="shared" si="68"/>
        <v>-250000</v>
      </c>
      <c r="H3518" s="1213"/>
    </row>
    <row r="3519" spans="1:8" x14ac:dyDescent="0.25">
      <c r="A3519" s="113">
        <v>45295</v>
      </c>
      <c r="B3519" s="21" t="s">
        <v>11617</v>
      </c>
      <c r="C3519" s="13" t="s">
        <v>8394</v>
      </c>
      <c r="D3519" s="766"/>
      <c r="E3519" s="22"/>
      <c r="F3519" s="19">
        <v>500000</v>
      </c>
      <c r="G3519" s="14">
        <f t="shared" si="68"/>
        <v>-500000</v>
      </c>
      <c r="H3519" s="1214"/>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12491</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3" si="69">E3527-F3527</f>
        <v>-25780</v>
      </c>
      <c r="H3527" s="1164" t="s">
        <v>12311</v>
      </c>
    </row>
    <row r="3528" spans="1:8" x14ac:dyDescent="0.25">
      <c r="A3528" s="113">
        <v>45300</v>
      </c>
      <c r="B3528" s="21" t="s">
        <v>10232</v>
      </c>
      <c r="C3528" s="13" t="s">
        <v>8394</v>
      </c>
      <c r="D3528" s="766"/>
      <c r="E3528" s="22"/>
      <c r="F3528" s="19">
        <v>10470</v>
      </c>
      <c r="G3528" s="14">
        <f t="shared" si="69"/>
        <v>-10470</v>
      </c>
      <c r="H3528" s="1216"/>
    </row>
    <row r="3529" spans="1:8" x14ac:dyDescent="0.25">
      <c r="A3529" s="113">
        <v>45300</v>
      </c>
      <c r="B3529" s="21" t="s">
        <v>10576</v>
      </c>
      <c r="C3529" s="13" t="s">
        <v>8394</v>
      </c>
      <c r="D3529" s="766"/>
      <c r="E3529" s="22"/>
      <c r="F3529" s="19">
        <v>1347</v>
      </c>
      <c r="G3529" s="14">
        <f t="shared" si="69"/>
        <v>-1347</v>
      </c>
      <c r="H3529" s="1216"/>
    </row>
    <row r="3530" spans="1:8" x14ac:dyDescent="0.25">
      <c r="A3530" s="113">
        <v>45300</v>
      </c>
      <c r="B3530" s="21" t="s">
        <v>10909</v>
      </c>
      <c r="C3530" s="13" t="s">
        <v>8394</v>
      </c>
      <c r="D3530" s="766"/>
      <c r="E3530" s="22"/>
      <c r="F3530" s="19">
        <v>187415</v>
      </c>
      <c r="G3530" s="14">
        <f t="shared" si="69"/>
        <v>-187415</v>
      </c>
      <c r="H3530" s="1216"/>
    </row>
    <row r="3531" spans="1:8" x14ac:dyDescent="0.25">
      <c r="A3531" s="113">
        <v>45300</v>
      </c>
      <c r="B3531" s="21" t="s">
        <v>11007</v>
      </c>
      <c r="C3531" s="13" t="s">
        <v>8394</v>
      </c>
      <c r="D3531" s="766"/>
      <c r="E3531" s="22"/>
      <c r="F3531" s="19">
        <v>4390</v>
      </c>
      <c r="G3531" s="14">
        <f t="shared" si="69"/>
        <v>-4390</v>
      </c>
      <c r="H3531" s="1216"/>
    </row>
    <row r="3532" spans="1:8" x14ac:dyDescent="0.25">
      <c r="A3532" s="113">
        <v>45300</v>
      </c>
      <c r="B3532" s="21" t="s">
        <v>11075</v>
      </c>
      <c r="C3532" s="13" t="s">
        <v>8394</v>
      </c>
      <c r="D3532" s="766"/>
      <c r="E3532" s="22"/>
      <c r="F3532" s="19">
        <v>75122</v>
      </c>
      <c r="G3532" s="14">
        <f t="shared" si="69"/>
        <v>-75122</v>
      </c>
      <c r="H3532" s="1216"/>
    </row>
    <row r="3533" spans="1:8" x14ac:dyDescent="0.25">
      <c r="A3533" s="113">
        <v>45300</v>
      </c>
      <c r="B3533" s="21" t="s">
        <v>11446</v>
      </c>
      <c r="C3533" s="13" t="s">
        <v>8394</v>
      </c>
      <c r="D3533" s="766"/>
      <c r="E3533" s="22"/>
      <c r="F3533" s="19">
        <v>130168</v>
      </c>
      <c r="G3533" s="14">
        <f t="shared" si="69"/>
        <v>-130168</v>
      </c>
      <c r="H3533" s="1216"/>
    </row>
    <row r="3534" spans="1:8" x14ac:dyDescent="0.25">
      <c r="A3534" s="113">
        <v>45300</v>
      </c>
      <c r="B3534" s="21" t="s">
        <v>11271</v>
      </c>
      <c r="C3534" s="13" t="s">
        <v>8394</v>
      </c>
      <c r="D3534" s="766"/>
      <c r="E3534" s="22"/>
      <c r="F3534" s="19">
        <v>13416</v>
      </c>
      <c r="G3534" s="14">
        <f t="shared" si="69"/>
        <v>-13416</v>
      </c>
      <c r="H3534" s="1216"/>
    </row>
    <row r="3535" spans="1:8" x14ac:dyDescent="0.25">
      <c r="A3535" s="113">
        <v>45300</v>
      </c>
      <c r="B3535" s="21" t="s">
        <v>11716</v>
      </c>
      <c r="C3535" s="13" t="s">
        <v>8394</v>
      </c>
      <c r="D3535" s="766"/>
      <c r="E3535" s="22"/>
      <c r="F3535" s="19">
        <v>56173</v>
      </c>
      <c r="G3535" s="14">
        <f t="shared" si="69"/>
        <v>-56173</v>
      </c>
      <c r="H3535" s="1216"/>
    </row>
    <row r="3536" spans="1:8" x14ac:dyDescent="0.25">
      <c r="A3536" s="113">
        <v>45300</v>
      </c>
      <c r="B3536" s="21" t="s">
        <v>11511</v>
      </c>
      <c r="C3536" s="13" t="s">
        <v>8394</v>
      </c>
      <c r="D3536" s="766"/>
      <c r="E3536" s="22"/>
      <c r="F3536" s="19">
        <v>73043</v>
      </c>
      <c r="G3536" s="14">
        <f t="shared" si="69"/>
        <v>-73043</v>
      </c>
      <c r="H3536" s="1216"/>
    </row>
    <row r="3537" spans="1:8" x14ac:dyDescent="0.25">
      <c r="A3537" s="113">
        <v>45300</v>
      </c>
      <c r="B3537" s="21" t="s">
        <v>11617</v>
      </c>
      <c r="C3537" s="13" t="s">
        <v>8394</v>
      </c>
      <c r="D3537" s="766"/>
      <c r="E3537" s="22"/>
      <c r="F3537" s="19">
        <v>322676</v>
      </c>
      <c r="G3537" s="14">
        <f t="shared" si="69"/>
        <v>-322676</v>
      </c>
      <c r="H3537" s="1165"/>
    </row>
    <row r="3538" spans="1:8" x14ac:dyDescent="0.25">
      <c r="A3538" s="113">
        <v>45300</v>
      </c>
      <c r="B3538" s="21" t="s">
        <v>9832</v>
      </c>
      <c r="C3538" s="13" t="s">
        <v>164</v>
      </c>
      <c r="D3538" s="766" t="s">
        <v>12495</v>
      </c>
      <c r="E3538" s="22">
        <v>30000</v>
      </c>
      <c r="F3538" s="19"/>
      <c r="G3538" s="14">
        <f t="shared" si="69"/>
        <v>30000</v>
      </c>
      <c r="H3538" s="956"/>
    </row>
    <row r="3539" spans="1:8" x14ac:dyDescent="0.25">
      <c r="A3539" s="113">
        <v>45301</v>
      </c>
      <c r="B3539" s="21" t="s">
        <v>10909</v>
      </c>
      <c r="C3539" s="13" t="s">
        <v>166</v>
      </c>
      <c r="D3539" s="766" t="s">
        <v>12479</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212" t="s">
        <v>12283</v>
      </c>
    </row>
    <row r="3544" spans="1:8" x14ac:dyDescent="0.25">
      <c r="A3544" s="113">
        <v>45303</v>
      </c>
      <c r="B3544" s="21" t="s">
        <v>10296</v>
      </c>
      <c r="C3544" s="13" t="s">
        <v>168</v>
      </c>
      <c r="D3544" s="766"/>
      <c r="E3544" s="783"/>
      <c r="F3544" s="142">
        <v>8740</v>
      </c>
      <c r="G3544" s="784">
        <f t="shared" si="69"/>
        <v>-8740</v>
      </c>
      <c r="H3544" s="1213"/>
    </row>
    <row r="3545" spans="1:8" x14ac:dyDescent="0.25">
      <c r="A3545" s="113">
        <v>45303</v>
      </c>
      <c r="B3545" s="21" t="s">
        <v>10571</v>
      </c>
      <c r="C3545" s="13" t="s">
        <v>168</v>
      </c>
      <c r="D3545" s="766"/>
      <c r="E3545" s="783"/>
      <c r="F3545" s="142">
        <v>91300</v>
      </c>
      <c r="G3545" s="784">
        <f t="shared" si="69"/>
        <v>-91300</v>
      </c>
      <c r="H3545" s="1213"/>
    </row>
    <row r="3546" spans="1:8" x14ac:dyDescent="0.25">
      <c r="A3546" s="113">
        <v>45303</v>
      </c>
      <c r="B3546" s="21" t="s">
        <v>7807</v>
      </c>
      <c r="C3546" s="13" t="s">
        <v>168</v>
      </c>
      <c r="D3546" s="766"/>
      <c r="E3546" s="783"/>
      <c r="F3546" s="142">
        <v>10980</v>
      </c>
      <c r="G3546" s="784">
        <f t="shared" si="69"/>
        <v>-10980</v>
      </c>
      <c r="H3546" s="1213"/>
    </row>
    <row r="3547" spans="1:8" x14ac:dyDescent="0.25">
      <c r="A3547" s="113">
        <v>45303</v>
      </c>
      <c r="B3547" s="21" t="s">
        <v>10379</v>
      </c>
      <c r="C3547" s="13" t="s">
        <v>168</v>
      </c>
      <c r="D3547" s="766"/>
      <c r="E3547" s="783"/>
      <c r="F3547" s="142">
        <v>206520</v>
      </c>
      <c r="G3547" s="784">
        <f t="shared" si="69"/>
        <v>-206520</v>
      </c>
      <c r="H3547" s="1213"/>
    </row>
    <row r="3548" spans="1:8" x14ac:dyDescent="0.25">
      <c r="A3548" s="113">
        <v>45303</v>
      </c>
      <c r="B3548" s="21" t="s">
        <v>11271</v>
      </c>
      <c r="C3548" s="13" t="s">
        <v>168</v>
      </c>
      <c r="D3548" s="766"/>
      <c r="E3548" s="783"/>
      <c r="F3548" s="142">
        <v>19640</v>
      </c>
      <c r="G3548" s="784">
        <f t="shared" si="69"/>
        <v>-19640</v>
      </c>
      <c r="H3548" s="1213"/>
    </row>
    <row r="3549" spans="1:8" x14ac:dyDescent="0.25">
      <c r="A3549" s="113">
        <v>45303</v>
      </c>
      <c r="B3549" s="21" t="s">
        <v>10471</v>
      </c>
      <c r="C3549" s="13" t="s">
        <v>168</v>
      </c>
      <c r="D3549" s="766"/>
      <c r="E3549" s="783"/>
      <c r="F3549" s="142">
        <v>259118</v>
      </c>
      <c r="G3549" s="784">
        <f t="shared" si="69"/>
        <v>-259118</v>
      </c>
      <c r="H3549" s="1213"/>
    </row>
    <row r="3550" spans="1:8" ht="16.5" thickBot="1" x14ac:dyDescent="0.3">
      <c r="A3550" s="113">
        <v>45303</v>
      </c>
      <c r="B3550" s="21" t="s">
        <v>10576</v>
      </c>
      <c r="C3550" s="13" t="s">
        <v>168</v>
      </c>
      <c r="D3550" s="766"/>
      <c r="E3550" s="783"/>
      <c r="F3550" s="786">
        <v>5165</v>
      </c>
      <c r="G3550" s="784">
        <f t="shared" si="69"/>
        <v>-5165</v>
      </c>
      <c r="H3550" s="1214"/>
    </row>
    <row r="3551" spans="1:8" x14ac:dyDescent="0.25">
      <c r="A3551" s="113">
        <v>45304</v>
      </c>
      <c r="B3551" s="21" t="s">
        <v>11897</v>
      </c>
      <c r="C3551" s="13" t="s">
        <v>7467</v>
      </c>
      <c r="D3551" s="766" t="s">
        <v>12242</v>
      </c>
      <c r="E3551" s="22">
        <v>816740</v>
      </c>
      <c r="F3551" s="19"/>
      <c r="G3551" s="14">
        <f t="shared" si="69"/>
        <v>816740</v>
      </c>
      <c r="H3551" s="13"/>
    </row>
    <row r="3552" spans="1:8" x14ac:dyDescent="0.25">
      <c r="A3552" s="113">
        <v>45304</v>
      </c>
      <c r="B3552" s="21" t="s">
        <v>11897</v>
      </c>
      <c r="C3552" s="13" t="s">
        <v>168</v>
      </c>
      <c r="D3552" s="766" t="s">
        <v>12250</v>
      </c>
      <c r="E3552" s="22">
        <v>328130</v>
      </c>
      <c r="F3552" s="19"/>
      <c r="G3552" s="14">
        <f t="shared" si="69"/>
        <v>328130</v>
      </c>
      <c r="H3552" s="13"/>
    </row>
    <row r="3553" spans="1:8" x14ac:dyDescent="0.25">
      <c r="A3553" s="113">
        <v>45304</v>
      </c>
      <c r="B3553" s="21" t="s">
        <v>11897</v>
      </c>
      <c r="C3553" s="13" t="s">
        <v>168</v>
      </c>
      <c r="D3553" s="766" t="s">
        <v>11917</v>
      </c>
      <c r="E3553" s="22">
        <v>151031</v>
      </c>
      <c r="F3553" s="19"/>
      <c r="G3553" s="14">
        <f t="shared" si="69"/>
        <v>151031</v>
      </c>
      <c r="H3553" s="13"/>
    </row>
    <row r="3554" spans="1:8" x14ac:dyDescent="0.25">
      <c r="A3554" s="113">
        <v>45304</v>
      </c>
      <c r="B3554" s="21" t="s">
        <v>11897</v>
      </c>
      <c r="C3554" s="13" t="s">
        <v>180</v>
      </c>
      <c r="D3554" s="766" t="s">
        <v>12254</v>
      </c>
      <c r="E3554" s="22">
        <v>408700</v>
      </c>
      <c r="F3554" s="19"/>
      <c r="G3554" s="14">
        <f t="shared" si="69"/>
        <v>408700</v>
      </c>
      <c r="H3554" s="13"/>
    </row>
    <row r="3555" spans="1:8" x14ac:dyDescent="0.25">
      <c r="A3555" s="113">
        <v>45305</v>
      </c>
      <c r="B3555" s="21" t="s">
        <v>11897</v>
      </c>
      <c r="C3555" s="13" t="s">
        <v>4725</v>
      </c>
      <c r="D3555" s="766"/>
      <c r="E3555" s="22"/>
      <c r="F3555" s="19">
        <v>550000</v>
      </c>
      <c r="G3555" s="14">
        <f t="shared" si="69"/>
        <v>-550000</v>
      </c>
      <c r="H3555" s="13" t="s">
        <v>12184</v>
      </c>
    </row>
    <row r="3556" spans="1:8" x14ac:dyDescent="0.25">
      <c r="A3556" s="113">
        <v>45305</v>
      </c>
      <c r="B3556" s="21" t="s">
        <v>11897</v>
      </c>
      <c r="C3556" s="13" t="s">
        <v>7467</v>
      </c>
      <c r="D3556" s="766" t="s">
        <v>12243</v>
      </c>
      <c r="E3556" s="22">
        <v>831940</v>
      </c>
      <c r="F3556" s="19"/>
      <c r="G3556" s="14">
        <f t="shared" si="69"/>
        <v>831940</v>
      </c>
      <c r="H3556" s="13"/>
    </row>
    <row r="3557" spans="1:8" x14ac:dyDescent="0.25">
      <c r="A3557" s="113">
        <v>45305</v>
      </c>
      <c r="B3557" s="21" t="s">
        <v>11897</v>
      </c>
      <c r="C3557" s="13" t="s">
        <v>168</v>
      </c>
      <c r="D3557" s="766" t="s">
        <v>12251</v>
      </c>
      <c r="E3557" s="22">
        <v>57332</v>
      </c>
      <c r="F3557" s="19"/>
      <c r="G3557" s="14">
        <f t="shared" si="69"/>
        <v>57332</v>
      </c>
      <c r="H3557" s="13"/>
    </row>
    <row r="3558" spans="1:8" x14ac:dyDescent="0.25">
      <c r="A3558" s="113">
        <v>45307</v>
      </c>
      <c r="B3558" s="21" t="s">
        <v>10909</v>
      </c>
      <c r="C3558" s="13" t="s">
        <v>180</v>
      </c>
      <c r="D3558" s="766" t="s">
        <v>12255</v>
      </c>
      <c r="E3558" s="22">
        <v>36300</v>
      </c>
      <c r="F3558" s="19"/>
      <c r="G3558" s="14">
        <f t="shared" si="69"/>
        <v>36300</v>
      </c>
      <c r="H3558" s="13"/>
    </row>
    <row r="3559" spans="1:8" x14ac:dyDescent="0.25">
      <c r="A3559" s="113">
        <v>45307</v>
      </c>
      <c r="B3559" s="21" t="s">
        <v>10909</v>
      </c>
      <c r="C3559" s="13" t="s">
        <v>12496</v>
      </c>
      <c r="D3559" s="766" t="s">
        <v>8968</v>
      </c>
      <c r="E3559" s="22">
        <v>57719</v>
      </c>
      <c r="F3559" s="19"/>
      <c r="G3559" s="14">
        <f t="shared" si="69"/>
        <v>57719</v>
      </c>
      <c r="H3559" s="13"/>
    </row>
    <row r="3560" spans="1:8" x14ac:dyDescent="0.25">
      <c r="A3560" s="113">
        <v>45309</v>
      </c>
      <c r="B3560" s="21" t="s">
        <v>11897</v>
      </c>
      <c r="C3560" s="13" t="s">
        <v>168</v>
      </c>
      <c r="D3560" s="766" t="s">
        <v>12252</v>
      </c>
      <c r="E3560" s="22">
        <v>24244</v>
      </c>
      <c r="F3560" s="19"/>
      <c r="G3560" s="14">
        <f t="shared" si="69"/>
        <v>24244</v>
      </c>
      <c r="H3560" s="13"/>
    </row>
    <row r="3561" spans="1:8" x14ac:dyDescent="0.25">
      <c r="A3561" s="113">
        <v>45309</v>
      </c>
      <c r="B3561" s="21" t="s">
        <v>10909</v>
      </c>
      <c r="C3561" s="13" t="s">
        <v>168</v>
      </c>
      <c r="D3561" s="766" t="s">
        <v>12253</v>
      </c>
      <c r="E3561" s="22">
        <v>28900</v>
      </c>
      <c r="F3561" s="19"/>
      <c r="G3561" s="14">
        <f t="shared" si="69"/>
        <v>28900</v>
      </c>
      <c r="H3561" s="13"/>
    </row>
    <row r="3562" spans="1:8" x14ac:dyDescent="0.25">
      <c r="A3562" s="113">
        <v>45309</v>
      </c>
      <c r="B3562" s="21" t="s">
        <v>10909</v>
      </c>
      <c r="C3562" s="13" t="s">
        <v>166</v>
      </c>
      <c r="D3562" s="766" t="s">
        <v>12480</v>
      </c>
      <c r="E3562" s="22">
        <v>5100</v>
      </c>
      <c r="F3562" s="19"/>
      <c r="G3562" s="14">
        <f t="shared" si="69"/>
        <v>5100</v>
      </c>
      <c r="H3562" s="13"/>
    </row>
    <row r="3563" spans="1:8" x14ac:dyDescent="0.25">
      <c r="A3563" s="113">
        <v>45310</v>
      </c>
      <c r="B3563" s="21" t="s">
        <v>10909</v>
      </c>
      <c r="C3563" s="13" t="s">
        <v>166</v>
      </c>
      <c r="D3563" s="766" t="s">
        <v>12481</v>
      </c>
      <c r="E3563" s="22">
        <v>7000</v>
      </c>
      <c r="F3563" s="19"/>
      <c r="G3563" s="14">
        <f t="shared" si="69"/>
        <v>7000</v>
      </c>
      <c r="H3563" s="13"/>
    </row>
    <row r="3564" spans="1:8" x14ac:dyDescent="0.25">
      <c r="A3564" s="113">
        <v>45310</v>
      </c>
      <c r="B3564" s="30"/>
      <c r="C3564" s="13" t="s">
        <v>5187</v>
      </c>
      <c r="D3564" s="766"/>
      <c r="E3564" s="22"/>
      <c r="F3564" s="19">
        <v>400000</v>
      </c>
      <c r="G3564" s="14">
        <f t="shared" si="68"/>
        <v>-400000</v>
      </c>
      <c r="H3564" s="13" t="s">
        <v>12149</v>
      </c>
    </row>
    <row r="3565" spans="1:8" x14ac:dyDescent="0.25">
      <c r="A3565" s="113">
        <v>45310</v>
      </c>
      <c r="B3565" s="21" t="s">
        <v>11897</v>
      </c>
      <c r="C3565" s="13" t="s">
        <v>4725</v>
      </c>
      <c r="D3565" s="766"/>
      <c r="E3565" s="22">
        <v>1680000</v>
      </c>
      <c r="F3565" s="19"/>
      <c r="G3565" s="14">
        <f t="shared" si="68"/>
        <v>1680000</v>
      </c>
      <c r="H3565" s="13"/>
    </row>
    <row r="3566" spans="1:8" x14ac:dyDescent="0.25">
      <c r="A3566" s="113">
        <v>45310</v>
      </c>
      <c r="B3566" s="21" t="s">
        <v>11897</v>
      </c>
      <c r="C3566" s="13" t="s">
        <v>4725</v>
      </c>
      <c r="D3566" s="766"/>
      <c r="E3566" s="22"/>
      <c r="F3566" s="19">
        <v>600000</v>
      </c>
      <c r="G3566" s="14">
        <f t="shared" si="68"/>
        <v>-600000</v>
      </c>
      <c r="H3566" s="13" t="s">
        <v>12150</v>
      </c>
    </row>
    <row r="3567" spans="1:8" x14ac:dyDescent="0.25">
      <c r="A3567" s="113">
        <v>45310</v>
      </c>
      <c r="B3567" s="21" t="s">
        <v>8043</v>
      </c>
      <c r="C3567" s="13" t="s">
        <v>3011</v>
      </c>
      <c r="D3567" s="766"/>
      <c r="E3567" s="22"/>
      <c r="F3567" s="19">
        <v>56522</v>
      </c>
      <c r="G3567" s="14">
        <f t="shared" si="68"/>
        <v>-56522</v>
      </c>
      <c r="H3567" s="13" t="s">
        <v>4977</v>
      </c>
    </row>
    <row r="3568" spans="1:8" x14ac:dyDescent="0.25">
      <c r="A3568" s="113">
        <v>45310</v>
      </c>
      <c r="B3568" s="21" t="s">
        <v>8043</v>
      </c>
      <c r="C3568" s="13" t="s">
        <v>8456</v>
      </c>
      <c r="D3568" s="766"/>
      <c r="E3568" s="22"/>
      <c r="F3568" s="19">
        <v>24000</v>
      </c>
      <c r="G3568" s="14">
        <f t="shared" si="68"/>
        <v>-24000</v>
      </c>
      <c r="H3568" s="13" t="s">
        <v>4977</v>
      </c>
    </row>
    <row r="3569" spans="1:8" x14ac:dyDescent="0.25">
      <c r="A3569" s="113">
        <v>45310</v>
      </c>
      <c r="B3569" s="21" t="s">
        <v>2933</v>
      </c>
      <c r="C3569" s="13" t="s">
        <v>10112</v>
      </c>
      <c r="D3569" s="766"/>
      <c r="E3569" s="22"/>
      <c r="F3569" s="19">
        <v>76350</v>
      </c>
      <c r="G3569" s="14">
        <f t="shared" si="68"/>
        <v>-76350</v>
      </c>
      <c r="H3569" s="13" t="s">
        <v>4977</v>
      </c>
    </row>
    <row r="3570" spans="1:8" x14ac:dyDescent="0.25">
      <c r="A3570" s="113">
        <v>45310</v>
      </c>
      <c r="B3570" s="21" t="s">
        <v>8043</v>
      </c>
      <c r="C3570" s="13" t="s">
        <v>161</v>
      </c>
      <c r="D3570" s="766"/>
      <c r="E3570" s="22"/>
      <c r="F3570" s="19">
        <v>33213</v>
      </c>
      <c r="G3570" s="14">
        <f t="shared" si="68"/>
        <v>-33213</v>
      </c>
      <c r="H3570" s="13" t="s">
        <v>4977</v>
      </c>
    </row>
    <row r="3571" spans="1:8" x14ac:dyDescent="0.25">
      <c r="A3571" s="113">
        <v>45310</v>
      </c>
      <c r="B3571" s="21" t="s">
        <v>1400</v>
      </c>
      <c r="C3571" s="13" t="s">
        <v>1815</v>
      </c>
      <c r="D3571" s="766"/>
      <c r="E3571" s="22"/>
      <c r="F3571" s="19">
        <v>101800</v>
      </c>
      <c r="G3571" s="14">
        <f t="shared" si="68"/>
        <v>-101800</v>
      </c>
      <c r="H3571" s="13" t="s">
        <v>4977</v>
      </c>
    </row>
    <row r="3572" spans="1:8" x14ac:dyDescent="0.25">
      <c r="A3572" s="113">
        <v>45310</v>
      </c>
      <c r="B3572" s="21" t="s">
        <v>4721</v>
      </c>
      <c r="C3572" s="13" t="s">
        <v>1815</v>
      </c>
      <c r="D3572" s="766"/>
      <c r="E3572" s="22"/>
      <c r="F3572" s="19">
        <v>99334</v>
      </c>
      <c r="G3572" s="14">
        <f t="shared" si="68"/>
        <v>-99334</v>
      </c>
      <c r="H3572" s="13" t="s">
        <v>4977</v>
      </c>
    </row>
    <row r="3573" spans="1:8" x14ac:dyDescent="0.25">
      <c r="A3573" s="113">
        <v>45310</v>
      </c>
      <c r="B3573" s="21" t="s">
        <v>10232</v>
      </c>
      <c r="C3573" s="13" t="s">
        <v>11324</v>
      </c>
      <c r="D3573" s="766"/>
      <c r="E3573" s="22"/>
      <c r="F3573" s="19">
        <v>120000</v>
      </c>
      <c r="G3573" s="14">
        <f t="shared" si="68"/>
        <v>-120000</v>
      </c>
      <c r="H3573" s="13" t="s">
        <v>12280</v>
      </c>
    </row>
    <row r="3574" spans="1:8" x14ac:dyDescent="0.25">
      <c r="A3574" s="113">
        <v>45311</v>
      </c>
      <c r="B3574" s="21" t="s">
        <v>11897</v>
      </c>
      <c r="C3574" s="13" t="s">
        <v>7467</v>
      </c>
      <c r="D3574" s="766" t="s">
        <v>11806</v>
      </c>
      <c r="E3574" s="22">
        <v>774131</v>
      </c>
      <c r="F3574" s="19"/>
      <c r="G3574" s="14">
        <f t="shared" si="68"/>
        <v>774131</v>
      </c>
      <c r="H3574" s="13"/>
    </row>
    <row r="3575" spans="1:8" x14ac:dyDescent="0.25">
      <c r="A3575" s="113">
        <v>45313</v>
      </c>
      <c r="B3575" s="21" t="s">
        <v>11897</v>
      </c>
      <c r="C3575" s="13" t="s">
        <v>180</v>
      </c>
      <c r="D3575" s="766"/>
      <c r="E3575" s="22"/>
      <c r="F3575" s="19">
        <v>1119250</v>
      </c>
      <c r="G3575" s="14">
        <f t="shared" si="68"/>
        <v>-1119250</v>
      </c>
      <c r="H3575" s="13" t="s">
        <v>12256</v>
      </c>
    </row>
    <row r="3576" spans="1:8" x14ac:dyDescent="0.25">
      <c r="A3576" s="113">
        <v>45313</v>
      </c>
      <c r="B3576" s="21" t="s">
        <v>12207</v>
      </c>
      <c r="C3576" s="13" t="s">
        <v>180</v>
      </c>
      <c r="D3576" s="766" t="s">
        <v>12312</v>
      </c>
      <c r="E3576" s="22">
        <v>33710</v>
      </c>
      <c r="F3576" s="19"/>
      <c r="G3576" s="14">
        <f t="shared" si="68"/>
        <v>33710</v>
      </c>
      <c r="H3576" s="13" t="s">
        <v>342</v>
      </c>
    </row>
    <row r="3577" spans="1:8" x14ac:dyDescent="0.25">
      <c r="A3577" s="113">
        <v>45313</v>
      </c>
      <c r="B3577" s="21" t="s">
        <v>12207</v>
      </c>
      <c r="C3577" s="13" t="s">
        <v>180</v>
      </c>
      <c r="D3577" s="766" t="s">
        <v>12313</v>
      </c>
      <c r="E3577" s="22">
        <v>712701</v>
      </c>
      <c r="F3577" s="19"/>
      <c r="G3577" s="14">
        <f t="shared" si="68"/>
        <v>712701</v>
      </c>
      <c r="H3577" s="13" t="s">
        <v>12314</v>
      </c>
    </row>
    <row r="3578" spans="1:8" x14ac:dyDescent="0.25">
      <c r="A3578" s="113">
        <v>45313</v>
      </c>
      <c r="B3578" s="21" t="s">
        <v>12207</v>
      </c>
      <c r="C3578" s="13" t="s">
        <v>8394</v>
      </c>
      <c r="D3578" s="766" t="s">
        <v>12391</v>
      </c>
      <c r="E3578" s="22">
        <v>128444</v>
      </c>
      <c r="F3578" s="19"/>
      <c r="G3578" s="14">
        <f t="shared" si="68"/>
        <v>128444</v>
      </c>
      <c r="H3578" s="13"/>
    </row>
    <row r="3579" spans="1:8" x14ac:dyDescent="0.25">
      <c r="A3579" s="113">
        <v>45313</v>
      </c>
      <c r="B3579" s="21" t="s">
        <v>12207</v>
      </c>
      <c r="C3579" s="13" t="s">
        <v>166</v>
      </c>
      <c r="D3579" s="766" t="s">
        <v>12482</v>
      </c>
      <c r="E3579" s="22">
        <v>140000</v>
      </c>
      <c r="F3579" s="19"/>
      <c r="G3579" s="14">
        <f t="shared" si="68"/>
        <v>140000</v>
      </c>
      <c r="H3579" s="13"/>
    </row>
    <row r="3580" spans="1:8" x14ac:dyDescent="0.25">
      <c r="A3580" s="113">
        <v>45314</v>
      </c>
      <c r="B3580" s="21" t="s">
        <v>12207</v>
      </c>
      <c r="C3580" s="13" t="s">
        <v>166</v>
      </c>
      <c r="D3580" s="766" t="s">
        <v>12483</v>
      </c>
      <c r="E3580" s="22">
        <v>140000</v>
      </c>
      <c r="F3580" s="19"/>
      <c r="G3580" s="14">
        <f t="shared" si="68"/>
        <v>140000</v>
      </c>
      <c r="H3580" s="13"/>
    </row>
    <row r="3581" spans="1:8" x14ac:dyDescent="0.25">
      <c r="A3581" s="113">
        <v>45314</v>
      </c>
      <c r="B3581" s="21" t="s">
        <v>11897</v>
      </c>
      <c r="C3581" s="13" t="s">
        <v>7467</v>
      </c>
      <c r="D3581" s="766" t="s">
        <v>12315</v>
      </c>
      <c r="E3581" s="22">
        <v>816740</v>
      </c>
      <c r="F3581" s="19"/>
      <c r="G3581" s="14">
        <f t="shared" si="68"/>
        <v>816740</v>
      </c>
      <c r="H3581" s="13"/>
    </row>
    <row r="3582" spans="1:8" x14ac:dyDescent="0.25">
      <c r="A3582" s="113">
        <v>45315</v>
      </c>
      <c r="B3582" s="21" t="s">
        <v>11897</v>
      </c>
      <c r="C3582" s="13" t="s">
        <v>7467</v>
      </c>
      <c r="D3582" s="766" t="s">
        <v>12316</v>
      </c>
      <c r="E3582" s="22">
        <v>45600</v>
      </c>
      <c r="F3582" s="19"/>
      <c r="G3582" s="14">
        <f t="shared" si="68"/>
        <v>45600</v>
      </c>
      <c r="H3582" s="13"/>
    </row>
    <row r="3583" spans="1:8" x14ac:dyDescent="0.25">
      <c r="A3583" s="113">
        <v>45315</v>
      </c>
      <c r="B3583" s="21" t="s">
        <v>12207</v>
      </c>
      <c r="C3583" s="13" t="s">
        <v>166</v>
      </c>
      <c r="D3583" s="766" t="s">
        <v>12484</v>
      </c>
      <c r="E3583" s="22">
        <v>140000</v>
      </c>
      <c r="F3583" s="19"/>
      <c r="G3583" s="14">
        <f t="shared" si="68"/>
        <v>140000</v>
      </c>
      <c r="H3583" s="13"/>
    </row>
    <row r="3584" spans="1:8" x14ac:dyDescent="0.25">
      <c r="A3584" s="113">
        <v>45315</v>
      </c>
      <c r="B3584" s="21" t="s">
        <v>10232</v>
      </c>
      <c r="C3584" s="13" t="s">
        <v>7467</v>
      </c>
      <c r="D3584" s="766"/>
      <c r="E3584" s="22"/>
      <c r="F3584" s="19">
        <v>1000000</v>
      </c>
      <c r="G3584" s="14">
        <f t="shared" si="68"/>
        <v>-1000000</v>
      </c>
      <c r="H3584" s="13" t="s">
        <v>12036</v>
      </c>
    </row>
    <row r="3585" spans="1:8" x14ac:dyDescent="0.25">
      <c r="A3585" s="113">
        <v>45315</v>
      </c>
      <c r="B3585" s="21" t="s">
        <v>11897</v>
      </c>
      <c r="C3585" s="13" t="s">
        <v>4410</v>
      </c>
      <c r="D3585" s="766"/>
      <c r="E3585" s="22"/>
      <c r="F3585" s="19">
        <v>500000</v>
      </c>
      <c r="G3585" s="14">
        <f t="shared" si="68"/>
        <v>-500000</v>
      </c>
      <c r="H3585" s="13" t="s">
        <v>12304</v>
      </c>
    </row>
    <row r="3586" spans="1:8" x14ac:dyDescent="0.25">
      <c r="A3586" s="113">
        <v>45315</v>
      </c>
      <c r="B3586" s="21" t="s">
        <v>12207</v>
      </c>
      <c r="C3586" s="13" t="s">
        <v>8900</v>
      </c>
      <c r="D3586" s="766"/>
      <c r="E3586" s="22">
        <v>312552</v>
      </c>
      <c r="F3586" s="19"/>
      <c r="G3586" s="14">
        <f t="shared" si="68"/>
        <v>312552</v>
      </c>
      <c r="H3586" s="13"/>
    </row>
    <row r="3587" spans="1:8" x14ac:dyDescent="0.25">
      <c r="A3587" s="113">
        <v>45315</v>
      </c>
      <c r="B3587" s="21" t="s">
        <v>12207</v>
      </c>
      <c r="C3587" s="13" t="s">
        <v>8900</v>
      </c>
      <c r="D3587" s="766"/>
      <c r="E3587" s="22"/>
      <c r="F3587" s="19">
        <v>150000</v>
      </c>
      <c r="G3587" s="14">
        <f t="shared" si="68"/>
        <v>-150000</v>
      </c>
      <c r="H3587" s="13" t="s">
        <v>12304</v>
      </c>
    </row>
    <row r="3588" spans="1:8" x14ac:dyDescent="0.25">
      <c r="A3588" s="113">
        <v>45315</v>
      </c>
      <c r="B3588" s="21" t="s">
        <v>11897</v>
      </c>
      <c r="C3588" s="13" t="s">
        <v>8394</v>
      </c>
      <c r="D3588" s="766" t="s">
        <v>12392</v>
      </c>
      <c r="E3588" s="22">
        <v>2308000</v>
      </c>
      <c r="F3588" s="19"/>
      <c r="G3588" s="14">
        <f t="shared" si="68"/>
        <v>2308000</v>
      </c>
      <c r="H3588" s="13"/>
    </row>
    <row r="3589" spans="1:8" x14ac:dyDescent="0.25">
      <c r="A3589" s="113">
        <v>45315</v>
      </c>
      <c r="B3589" s="21" t="s">
        <v>10909</v>
      </c>
      <c r="C3589" s="13" t="s">
        <v>8394</v>
      </c>
      <c r="D3589" s="766" t="s">
        <v>12393</v>
      </c>
      <c r="E3589" s="22">
        <v>20637</v>
      </c>
      <c r="F3589" s="19"/>
      <c r="G3589" s="14">
        <f t="shared" si="68"/>
        <v>20637</v>
      </c>
      <c r="H3589" s="13"/>
    </row>
    <row r="3590" spans="1:8" x14ac:dyDescent="0.25">
      <c r="A3590" s="113">
        <v>45315</v>
      </c>
      <c r="B3590" s="21" t="s">
        <v>9832</v>
      </c>
      <c r="C3590" s="13" t="s">
        <v>8394</v>
      </c>
      <c r="D3590" s="766" t="s">
        <v>12394</v>
      </c>
      <c r="E3590" s="22">
        <v>15317</v>
      </c>
      <c r="F3590" s="19"/>
      <c r="G3590" s="14">
        <f t="shared" si="68"/>
        <v>15317</v>
      </c>
      <c r="H3590" s="13"/>
    </row>
    <row r="3591" spans="1:8" x14ac:dyDescent="0.25">
      <c r="A3591" s="113">
        <v>45316</v>
      </c>
      <c r="B3591" s="21" t="s">
        <v>10232</v>
      </c>
      <c r="C3591" s="13" t="s">
        <v>164</v>
      </c>
      <c r="D3591" s="766" t="s">
        <v>12494</v>
      </c>
      <c r="E3591" s="22">
        <v>6729</v>
      </c>
      <c r="F3591" s="19"/>
      <c r="G3591" s="14">
        <f t="shared" si="68"/>
        <v>6729</v>
      </c>
      <c r="H3591" s="13"/>
    </row>
    <row r="3592" spans="1:8" x14ac:dyDescent="0.25">
      <c r="A3592" s="113">
        <v>45316</v>
      </c>
      <c r="B3592" s="21" t="s">
        <v>10909</v>
      </c>
      <c r="C3592" s="13" t="s">
        <v>12496</v>
      </c>
      <c r="D3592" s="766" t="s">
        <v>9245</v>
      </c>
      <c r="E3592" s="22">
        <v>27608</v>
      </c>
      <c r="F3592" s="19"/>
      <c r="G3592" s="14">
        <f t="shared" si="68"/>
        <v>27608</v>
      </c>
      <c r="H3592" s="13"/>
    </row>
    <row r="3593" spans="1:8" x14ac:dyDescent="0.25">
      <c r="A3593" s="113">
        <v>45316</v>
      </c>
      <c r="B3593" s="21" t="s">
        <v>11897</v>
      </c>
      <c r="C3593" s="13" t="s">
        <v>6847</v>
      </c>
      <c r="D3593" s="766"/>
      <c r="E3593" s="22">
        <v>903164</v>
      </c>
      <c r="F3593" s="19"/>
      <c r="G3593" s="14">
        <f t="shared" si="68"/>
        <v>903164</v>
      </c>
      <c r="H3593" s="13"/>
    </row>
    <row r="3594" spans="1:8" x14ac:dyDescent="0.25">
      <c r="A3594" s="113">
        <v>45316</v>
      </c>
      <c r="B3594" s="21" t="s">
        <v>11897</v>
      </c>
      <c r="C3594" s="13" t="s">
        <v>6847</v>
      </c>
      <c r="D3594" s="766"/>
      <c r="E3594" s="22"/>
      <c r="F3594" s="19">
        <v>500000</v>
      </c>
      <c r="G3594" s="14">
        <f t="shared" si="68"/>
        <v>-500000</v>
      </c>
      <c r="H3594" s="13" t="s">
        <v>12036</v>
      </c>
    </row>
    <row r="3595" spans="1:8" x14ac:dyDescent="0.25">
      <c r="A3595" s="113">
        <v>45316</v>
      </c>
      <c r="B3595" s="21" t="s">
        <v>11897</v>
      </c>
      <c r="C3595" s="13" t="s">
        <v>8394</v>
      </c>
      <c r="D3595" s="766"/>
      <c r="E3595" s="22"/>
      <c r="F3595" s="19">
        <v>1000000</v>
      </c>
      <c r="G3595" s="14">
        <f t="shared" si="68"/>
        <v>-1000000</v>
      </c>
      <c r="H3595" s="13" t="s">
        <v>12318</v>
      </c>
    </row>
    <row r="3596" spans="1:8" x14ac:dyDescent="0.25">
      <c r="A3596" s="113">
        <v>45317</v>
      </c>
      <c r="B3596" s="21" t="s">
        <v>10909</v>
      </c>
      <c r="C3596" s="13" t="s">
        <v>7954</v>
      </c>
      <c r="D3596" s="766"/>
      <c r="E3596" s="22"/>
      <c r="F3596" s="19">
        <v>500000</v>
      </c>
      <c r="G3596" s="14">
        <f t="shared" si="68"/>
        <v>-500000</v>
      </c>
      <c r="H3596" s="13" t="s">
        <v>12336</v>
      </c>
    </row>
    <row r="3597" spans="1:8" x14ac:dyDescent="0.25">
      <c r="A3597" s="113">
        <v>45317</v>
      </c>
      <c r="B3597" s="21" t="s">
        <v>10909</v>
      </c>
      <c r="C3597" s="13" t="s">
        <v>166</v>
      </c>
      <c r="D3597" s="766" t="s">
        <v>12485</v>
      </c>
      <c r="E3597" s="22">
        <v>22950</v>
      </c>
      <c r="F3597" s="19"/>
      <c r="G3597" s="14">
        <f t="shared" si="68"/>
        <v>22950</v>
      </c>
      <c r="H3597" s="13"/>
    </row>
    <row r="3598" spans="1:8" x14ac:dyDescent="0.25">
      <c r="A3598" s="113">
        <v>45317</v>
      </c>
      <c r="B3598" s="21" t="s">
        <v>10576</v>
      </c>
      <c r="C3598" s="13" t="s">
        <v>8091</v>
      </c>
      <c r="D3598" s="766"/>
      <c r="E3598" s="22"/>
      <c r="F3598" s="19">
        <v>500000</v>
      </c>
      <c r="G3598" s="14">
        <f t="shared" si="68"/>
        <v>-500000</v>
      </c>
      <c r="H3598" s="13" t="s">
        <v>12338</v>
      </c>
    </row>
    <row r="3599" spans="1:8" x14ac:dyDescent="0.25">
      <c r="A3599" s="113">
        <v>45320</v>
      </c>
      <c r="B3599" s="21" t="s">
        <v>12207</v>
      </c>
      <c r="C3599" s="13" t="s">
        <v>180</v>
      </c>
      <c r="D3599" s="766"/>
      <c r="E3599" s="22"/>
      <c r="F3599" s="19">
        <v>491000</v>
      </c>
      <c r="G3599" s="14">
        <f t="shared" si="68"/>
        <v>-491000</v>
      </c>
      <c r="H3599" s="13" t="s">
        <v>12361</v>
      </c>
    </row>
    <row r="3600" spans="1:8" x14ac:dyDescent="0.25">
      <c r="A3600" s="113">
        <v>45320</v>
      </c>
      <c r="B3600" s="21" t="s">
        <v>11897</v>
      </c>
      <c r="C3600" s="13" t="s">
        <v>7467</v>
      </c>
      <c r="D3600" s="766"/>
      <c r="E3600" s="22"/>
      <c r="F3600" s="19">
        <v>650000</v>
      </c>
      <c r="G3600" s="14">
        <f t="shared" si="68"/>
        <v>-650000</v>
      </c>
      <c r="H3600" s="13" t="s">
        <v>12362</v>
      </c>
    </row>
    <row r="3601" spans="1:8" x14ac:dyDescent="0.25">
      <c r="A3601" s="113">
        <v>45320</v>
      </c>
      <c r="B3601" s="21" t="s">
        <v>10576</v>
      </c>
      <c r="C3601" s="13" t="s">
        <v>7467</v>
      </c>
      <c r="D3601" s="766"/>
      <c r="E3601" s="22"/>
      <c r="F3601" s="19">
        <v>700000</v>
      </c>
      <c r="G3601" s="14">
        <f t="shared" ref="G3601:G3678" si="70">E3601-F3601</f>
        <v>-700000</v>
      </c>
      <c r="H3601" s="13" t="s">
        <v>12362</v>
      </c>
    </row>
    <row r="3602" spans="1:8" x14ac:dyDescent="0.25">
      <c r="A3602" s="113">
        <v>45320</v>
      </c>
      <c r="B3602" s="21" t="s">
        <v>12502</v>
      </c>
      <c r="C3602" s="13" t="s">
        <v>7467</v>
      </c>
      <c r="D3602" s="766" t="s">
        <v>12390</v>
      </c>
      <c r="E3602" s="22">
        <v>174312</v>
      </c>
      <c r="F3602" s="19"/>
      <c r="G3602" s="14">
        <f t="shared" si="70"/>
        <v>174312</v>
      </c>
      <c r="H3602" s="13"/>
    </row>
    <row r="3603" spans="1:8" x14ac:dyDescent="0.25">
      <c r="A3603" s="113">
        <v>45320</v>
      </c>
      <c r="B3603" s="21" t="s">
        <v>11617</v>
      </c>
      <c r="C3603" s="13" t="s">
        <v>180</v>
      </c>
      <c r="D3603" s="766" t="s">
        <v>12489</v>
      </c>
      <c r="E3603" s="22">
        <v>127710</v>
      </c>
      <c r="F3603" s="19"/>
      <c r="G3603" s="14">
        <f t="shared" si="70"/>
        <v>127710</v>
      </c>
      <c r="H3603" s="13"/>
    </row>
    <row r="3604" spans="1:8" x14ac:dyDescent="0.25">
      <c r="A3604" s="113">
        <v>45321</v>
      </c>
      <c r="B3604" s="21" t="s">
        <v>12207</v>
      </c>
      <c r="C3604" s="13" t="s">
        <v>180</v>
      </c>
      <c r="D3604" s="766" t="s">
        <v>12490</v>
      </c>
      <c r="E3604" s="22">
        <v>63855</v>
      </c>
      <c r="F3604" s="19"/>
      <c r="G3604" s="14">
        <f t="shared" si="70"/>
        <v>63855</v>
      </c>
      <c r="H3604" s="13"/>
    </row>
    <row r="3605" spans="1:8" x14ac:dyDescent="0.25">
      <c r="A3605" s="113">
        <v>45321</v>
      </c>
      <c r="B3605" s="21" t="s">
        <v>11897</v>
      </c>
      <c r="C3605" s="13" t="s">
        <v>7467</v>
      </c>
      <c r="D3605" s="766" t="s">
        <v>12385</v>
      </c>
      <c r="E3605" s="22">
        <v>789331</v>
      </c>
      <c r="F3605" s="19"/>
      <c r="G3605" s="14">
        <f t="shared" si="70"/>
        <v>789331</v>
      </c>
      <c r="H3605" s="13"/>
    </row>
    <row r="3606" spans="1:8" x14ac:dyDescent="0.25">
      <c r="A3606" s="113">
        <v>45321</v>
      </c>
      <c r="B3606" s="21" t="s">
        <v>12207</v>
      </c>
      <c r="C3606" s="13" t="s">
        <v>166</v>
      </c>
      <c r="D3606" s="766" t="s">
        <v>12486</v>
      </c>
      <c r="E3606" s="22">
        <v>140000</v>
      </c>
      <c r="F3606" s="19"/>
      <c r="G3606" s="14">
        <f t="shared" si="70"/>
        <v>140000</v>
      </c>
      <c r="H3606" s="13"/>
    </row>
    <row r="3607" spans="1:8" x14ac:dyDescent="0.25">
      <c r="A3607" s="113">
        <v>45321</v>
      </c>
      <c r="B3607" s="21" t="s">
        <v>12207</v>
      </c>
      <c r="C3607" s="13" t="s">
        <v>166</v>
      </c>
      <c r="D3607" s="766" t="s">
        <v>12487</v>
      </c>
      <c r="E3607" s="22">
        <v>140000</v>
      </c>
      <c r="F3607" s="19"/>
      <c r="G3607" s="14">
        <f t="shared" si="70"/>
        <v>140000</v>
      </c>
      <c r="H3607" s="13"/>
    </row>
    <row r="3608" spans="1:8" x14ac:dyDescent="0.25">
      <c r="A3608" s="113">
        <v>45321</v>
      </c>
      <c r="B3608" s="21" t="s">
        <v>11897</v>
      </c>
      <c r="C3608" s="13" t="s">
        <v>12388</v>
      </c>
      <c r="D3608" s="766" t="s">
        <v>12389</v>
      </c>
      <c r="E3608" s="22">
        <v>169119</v>
      </c>
      <c r="F3608" s="19"/>
      <c r="G3608" s="14">
        <f t="shared" si="70"/>
        <v>169119</v>
      </c>
      <c r="H3608" s="13"/>
    </row>
    <row r="3609" spans="1:8" x14ac:dyDescent="0.25">
      <c r="A3609" s="113">
        <v>45321</v>
      </c>
      <c r="B3609" s="21" t="s">
        <v>11897</v>
      </c>
      <c r="C3609" s="13" t="s">
        <v>169</v>
      </c>
      <c r="D3609" s="766" t="s">
        <v>11211</v>
      </c>
      <c r="E3609" s="22">
        <v>73000</v>
      </c>
      <c r="F3609" s="19"/>
      <c r="G3609" s="14">
        <f t="shared" si="70"/>
        <v>73000</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12488</v>
      </c>
      <c r="E3611" s="22">
        <v>56000</v>
      </c>
      <c r="F3611" s="19"/>
      <c r="G3611" s="14">
        <f t="shared" si="70"/>
        <v>56000</v>
      </c>
      <c r="H3611" s="13"/>
    </row>
    <row r="3612" spans="1:8" x14ac:dyDescent="0.25">
      <c r="A3612" s="113">
        <v>45323</v>
      </c>
      <c r="B3612" s="21" t="s">
        <v>11897</v>
      </c>
      <c r="C3612" s="13" t="s">
        <v>8394</v>
      </c>
      <c r="D3612" s="766" t="s">
        <v>12474</v>
      </c>
      <c r="E3612" s="22">
        <v>294353</v>
      </c>
      <c r="F3612" s="19"/>
      <c r="G3612" s="14">
        <f t="shared" si="70"/>
        <v>294353</v>
      </c>
      <c r="H3612" s="13"/>
    </row>
    <row r="3613" spans="1:8" x14ac:dyDescent="0.25">
      <c r="A3613" s="113">
        <v>45323</v>
      </c>
      <c r="B3613" s="21" t="s">
        <v>9832</v>
      </c>
      <c r="C3613" s="13" t="s">
        <v>8394</v>
      </c>
      <c r="D3613" s="766" t="s">
        <v>12475</v>
      </c>
      <c r="E3613" s="22">
        <v>186369</v>
      </c>
      <c r="F3613" s="19"/>
      <c r="G3613" s="14">
        <f t="shared" si="70"/>
        <v>186369</v>
      </c>
      <c r="H3613" s="13"/>
    </row>
    <row r="3614" spans="1:8" x14ac:dyDescent="0.25">
      <c r="A3614" s="113">
        <v>45324</v>
      </c>
      <c r="B3614" s="21" t="s">
        <v>4721</v>
      </c>
      <c r="C3614" s="13" t="s">
        <v>8394</v>
      </c>
      <c r="D3614" s="766" t="s">
        <v>12476</v>
      </c>
      <c r="E3614" s="22">
        <v>162620</v>
      </c>
      <c r="F3614" s="19"/>
      <c r="G3614" s="14">
        <f t="shared" si="70"/>
        <v>162620</v>
      </c>
      <c r="H3614" s="13"/>
    </row>
    <row r="3615" spans="1:8" x14ac:dyDescent="0.25">
      <c r="A3615" s="113">
        <v>45324</v>
      </c>
      <c r="B3615" s="21" t="s">
        <v>10909</v>
      </c>
      <c r="C3615" s="13" t="s">
        <v>164</v>
      </c>
      <c r="D3615" s="766" t="s">
        <v>12492</v>
      </c>
      <c r="E3615" s="22">
        <v>756</v>
      </c>
      <c r="F3615" s="19"/>
      <c r="G3615" s="14">
        <f t="shared" si="70"/>
        <v>756</v>
      </c>
      <c r="H3615" s="13"/>
    </row>
    <row r="3616" spans="1:8" x14ac:dyDescent="0.25">
      <c r="A3616" s="113">
        <v>45324</v>
      </c>
      <c r="B3616" s="21" t="s">
        <v>12207</v>
      </c>
      <c r="C3616" s="13" t="s">
        <v>8394</v>
      </c>
      <c r="D3616" s="766" t="s">
        <v>12477</v>
      </c>
      <c r="E3616" s="22">
        <v>220142</v>
      </c>
      <c r="F3616" s="19"/>
      <c r="G3616" s="14">
        <f t="shared" si="70"/>
        <v>220142</v>
      </c>
      <c r="H3616" s="13"/>
    </row>
    <row r="3617" spans="1:8" x14ac:dyDescent="0.25">
      <c r="A3617" s="113">
        <v>45324</v>
      </c>
      <c r="B3617" s="21" t="s">
        <v>9832</v>
      </c>
      <c r="C3617" s="13" t="s">
        <v>7467</v>
      </c>
      <c r="D3617" s="766" t="s">
        <v>12386</v>
      </c>
      <c r="E3617" s="22">
        <v>138352</v>
      </c>
      <c r="F3617" s="19"/>
      <c r="G3617" s="14">
        <f t="shared" si="70"/>
        <v>138352</v>
      </c>
      <c r="H3617" s="13"/>
    </row>
    <row r="3618" spans="1:8" x14ac:dyDescent="0.25">
      <c r="A3618" s="113">
        <v>45324</v>
      </c>
      <c r="B3618" s="21" t="s">
        <v>9832</v>
      </c>
      <c r="C3618" s="13" t="s">
        <v>7467</v>
      </c>
      <c r="D3618" s="766" t="s">
        <v>12387</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12499</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12478</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12449</v>
      </c>
    </row>
    <row r="3625" spans="1:8" x14ac:dyDescent="0.25">
      <c r="A3625" s="113">
        <v>45331</v>
      </c>
      <c r="B3625" s="21" t="s">
        <v>10909</v>
      </c>
      <c r="C3625" s="13" t="s">
        <v>166</v>
      </c>
      <c r="D3625" s="766" t="s">
        <v>12689</v>
      </c>
      <c r="E3625" s="22">
        <v>8000</v>
      </c>
      <c r="F3625" s="19"/>
      <c r="G3625" s="14">
        <f t="shared" si="70"/>
        <v>8000</v>
      </c>
      <c r="H3625" s="13"/>
    </row>
    <row r="3626" spans="1:8" x14ac:dyDescent="0.25">
      <c r="A3626" s="113">
        <v>45332</v>
      </c>
      <c r="B3626" s="21" t="s">
        <v>11897</v>
      </c>
      <c r="C3626" s="13" t="s">
        <v>12038</v>
      </c>
      <c r="D3626" s="766"/>
      <c r="E3626" s="22"/>
      <c r="F3626" s="19">
        <v>500000</v>
      </c>
      <c r="G3626" s="14">
        <f t="shared" si="70"/>
        <v>-500000</v>
      </c>
      <c r="H3626" s="13" t="s">
        <v>12036</v>
      </c>
    </row>
    <row r="3627" spans="1:8" x14ac:dyDescent="0.25">
      <c r="A3627" s="113">
        <v>45334</v>
      </c>
      <c r="B3627" s="21" t="s">
        <v>11897</v>
      </c>
      <c r="C3627" s="13" t="s">
        <v>8091</v>
      </c>
      <c r="D3627" s="766"/>
      <c r="E3627" s="22"/>
      <c r="F3627" s="19">
        <v>500000</v>
      </c>
      <c r="G3627" s="14">
        <f t="shared" si="70"/>
        <v>-500000</v>
      </c>
      <c r="H3627" s="13" t="s">
        <v>12470</v>
      </c>
    </row>
    <row r="3628" spans="1:8" x14ac:dyDescent="0.25">
      <c r="A3628" s="113">
        <v>45335</v>
      </c>
      <c r="B3628" s="21" t="s">
        <v>11897</v>
      </c>
      <c r="C3628" s="13" t="s">
        <v>7467</v>
      </c>
      <c r="D3628" s="766" t="s">
        <v>12500</v>
      </c>
      <c r="E3628" s="22">
        <v>688912</v>
      </c>
      <c r="F3628" s="19"/>
      <c r="G3628" s="14">
        <f t="shared" si="70"/>
        <v>688912</v>
      </c>
      <c r="H3628" s="13"/>
    </row>
    <row r="3629" spans="1:8" x14ac:dyDescent="0.25">
      <c r="A3629" s="113">
        <v>45335</v>
      </c>
      <c r="B3629" s="21" t="s">
        <v>12502</v>
      </c>
      <c r="C3629" s="13" t="s">
        <v>7467</v>
      </c>
      <c r="D3629" s="766" t="s">
        <v>12501</v>
      </c>
      <c r="E3629" s="22">
        <v>52109</v>
      </c>
      <c r="F3629" s="19"/>
      <c r="G3629" s="14">
        <f t="shared" si="70"/>
        <v>52109</v>
      </c>
      <c r="H3629" s="13"/>
    </row>
    <row r="3630" spans="1:8" x14ac:dyDescent="0.25">
      <c r="A3630" s="113">
        <v>45335</v>
      </c>
      <c r="B3630" s="21" t="s">
        <v>11897</v>
      </c>
      <c r="C3630" s="13" t="s">
        <v>7467</v>
      </c>
      <c r="D3630" s="766" t="s">
        <v>11262</v>
      </c>
      <c r="E3630" s="22">
        <v>90000</v>
      </c>
      <c r="F3630" s="19"/>
      <c r="G3630" s="14">
        <f t="shared" si="70"/>
        <v>90000</v>
      </c>
      <c r="H3630" s="13"/>
    </row>
    <row r="3631" spans="1:8" x14ac:dyDescent="0.25">
      <c r="A3631" s="113">
        <v>45336</v>
      </c>
      <c r="B3631" s="21" t="s">
        <v>11897</v>
      </c>
      <c r="C3631" s="13" t="s">
        <v>8394</v>
      </c>
      <c r="D3631" s="766"/>
      <c r="E3631" s="22"/>
      <c r="F3631" s="19">
        <v>1000000</v>
      </c>
      <c r="G3631" s="14">
        <f t="shared" si="70"/>
        <v>-1000000</v>
      </c>
      <c r="H3631" s="13" t="s">
        <v>12318</v>
      </c>
    </row>
    <row r="3632" spans="1:8" x14ac:dyDescent="0.25">
      <c r="A3632" s="113">
        <v>45336</v>
      </c>
      <c r="B3632" s="21" t="s">
        <v>12502</v>
      </c>
      <c r="C3632" s="13" t="s">
        <v>8394</v>
      </c>
      <c r="D3632" s="766" t="s">
        <v>12605</v>
      </c>
      <c r="E3632" s="22">
        <v>38932</v>
      </c>
      <c r="F3632" s="19"/>
      <c r="G3632" s="14">
        <f t="shared" si="70"/>
        <v>38932</v>
      </c>
      <c r="H3632" s="13"/>
    </row>
    <row r="3633" spans="1:8" x14ac:dyDescent="0.25">
      <c r="A3633" s="113">
        <v>45337</v>
      </c>
      <c r="B3633" s="21" t="s">
        <v>11897</v>
      </c>
      <c r="C3633" s="13" t="s">
        <v>8394</v>
      </c>
      <c r="D3633" s="766" t="s">
        <v>12606</v>
      </c>
      <c r="E3633" s="22">
        <v>23692</v>
      </c>
      <c r="F3633" s="19"/>
      <c r="G3633" s="14">
        <f t="shared" si="70"/>
        <v>23692</v>
      </c>
      <c r="H3633" s="13"/>
    </row>
    <row r="3634" spans="1:8" x14ac:dyDescent="0.25">
      <c r="A3634" s="113">
        <v>45337</v>
      </c>
      <c r="B3634" s="21" t="s">
        <v>11511</v>
      </c>
      <c r="C3634" s="13" t="s">
        <v>8394</v>
      </c>
      <c r="D3634" s="766" t="s">
        <v>12607</v>
      </c>
      <c r="E3634" s="22">
        <v>59502</v>
      </c>
      <c r="F3634" s="19"/>
      <c r="G3634" s="14">
        <f t="shared" si="70"/>
        <v>59502</v>
      </c>
      <c r="H3634" s="13"/>
    </row>
    <row r="3635" spans="1:8" x14ac:dyDescent="0.25">
      <c r="A3635" s="113">
        <v>45337</v>
      </c>
      <c r="B3635" s="21" t="s">
        <v>12207</v>
      </c>
      <c r="C3635" s="13" t="s">
        <v>8394</v>
      </c>
      <c r="D3635" s="766" t="s">
        <v>12608</v>
      </c>
      <c r="E3635" s="22">
        <v>136842</v>
      </c>
      <c r="F3635" s="19"/>
      <c r="G3635" s="14">
        <f t="shared" si="70"/>
        <v>136842</v>
      </c>
      <c r="H3635" s="13"/>
    </row>
    <row r="3636" spans="1:8" x14ac:dyDescent="0.25">
      <c r="A3636" s="113">
        <v>45337</v>
      </c>
      <c r="B3636" s="21" t="s">
        <v>12247</v>
      </c>
      <c r="C3636" s="13" t="s">
        <v>12388</v>
      </c>
      <c r="D3636" s="766" t="s">
        <v>12614</v>
      </c>
      <c r="E3636" s="22">
        <v>27500</v>
      </c>
      <c r="F3636" s="19"/>
      <c r="G3636" s="14">
        <f t="shared" si="70"/>
        <v>27500</v>
      </c>
      <c r="H3636" s="13"/>
    </row>
    <row r="3637" spans="1:8" x14ac:dyDescent="0.25">
      <c r="A3637" s="113">
        <v>45338</v>
      </c>
      <c r="B3637" s="21" t="s">
        <v>11897</v>
      </c>
      <c r="C3637" s="13" t="s">
        <v>7467</v>
      </c>
      <c r="D3637" s="766" t="s">
        <v>12611</v>
      </c>
      <c r="E3637" s="22">
        <v>549168</v>
      </c>
      <c r="F3637" s="19"/>
      <c r="G3637" s="14">
        <f t="shared" si="70"/>
        <v>549168</v>
      </c>
      <c r="H3637" s="13"/>
    </row>
    <row r="3638" spans="1:8" x14ac:dyDescent="0.25">
      <c r="A3638" s="113">
        <v>45338</v>
      </c>
      <c r="B3638" s="21" t="s">
        <v>11897</v>
      </c>
      <c r="C3638" s="13" t="s">
        <v>7467</v>
      </c>
      <c r="D3638" s="766" t="s">
        <v>12612</v>
      </c>
      <c r="E3638" s="22">
        <v>336414</v>
      </c>
      <c r="F3638" s="19"/>
      <c r="G3638" s="14">
        <f t="shared" si="70"/>
        <v>336414</v>
      </c>
      <c r="H3638" s="13"/>
    </row>
    <row r="3639" spans="1:8" x14ac:dyDescent="0.25">
      <c r="A3639" s="113">
        <v>45339</v>
      </c>
      <c r="B3639" s="21" t="s">
        <v>11897</v>
      </c>
      <c r="C3639" s="13" t="s">
        <v>8394</v>
      </c>
      <c r="D3639" s="766" t="s">
        <v>12609</v>
      </c>
      <c r="E3639" s="22">
        <v>23879</v>
      </c>
      <c r="F3639" s="19"/>
      <c r="G3639" s="14">
        <f t="shared" si="70"/>
        <v>23879</v>
      </c>
      <c r="H3639" s="13"/>
    </row>
    <row r="3640" spans="1:8" x14ac:dyDescent="0.25">
      <c r="A3640" s="113">
        <v>45339</v>
      </c>
      <c r="B3640" s="21" t="s">
        <v>11716</v>
      </c>
      <c r="C3640" s="13" t="s">
        <v>8394</v>
      </c>
      <c r="D3640" s="766" t="s">
        <v>12610</v>
      </c>
      <c r="E3640" s="22">
        <v>6768</v>
      </c>
      <c r="F3640" s="19"/>
      <c r="G3640" s="14">
        <f t="shared" si="70"/>
        <v>6768</v>
      </c>
      <c r="H3640" s="13"/>
    </row>
    <row r="3641" spans="1:8" x14ac:dyDescent="0.25">
      <c r="A3641" s="113">
        <v>45339</v>
      </c>
      <c r="B3641" s="21" t="s">
        <v>11897</v>
      </c>
      <c r="C3641" s="13" t="s">
        <v>7242</v>
      </c>
      <c r="D3641" s="766"/>
      <c r="E3641" s="22"/>
      <c r="F3641" s="19">
        <v>400000</v>
      </c>
      <c r="G3641" s="14">
        <f t="shared" si="70"/>
        <v>-400000</v>
      </c>
      <c r="H3641" s="13" t="s">
        <v>12318</v>
      </c>
    </row>
    <row r="3642" spans="1:8" x14ac:dyDescent="0.25">
      <c r="A3642" s="113">
        <v>45339</v>
      </c>
      <c r="B3642" s="21" t="s">
        <v>9832</v>
      </c>
      <c r="C3642" s="13" t="s">
        <v>12388</v>
      </c>
      <c r="D3642" s="766"/>
      <c r="E3642" s="22"/>
      <c r="F3642" s="19">
        <v>480000</v>
      </c>
      <c r="G3642" s="14">
        <f t="shared" si="70"/>
        <v>-480000</v>
      </c>
      <c r="H3642" s="13" t="s">
        <v>12545</v>
      </c>
    </row>
    <row r="3643" spans="1:8" x14ac:dyDescent="0.25">
      <c r="A3643" s="113">
        <v>45339</v>
      </c>
      <c r="B3643" s="21" t="s">
        <v>9832</v>
      </c>
      <c r="C3643" s="13" t="s">
        <v>12388</v>
      </c>
      <c r="D3643" s="766"/>
      <c r="E3643" s="22"/>
      <c r="F3643" s="19">
        <v>370000</v>
      </c>
      <c r="G3643" s="14">
        <f t="shared" si="70"/>
        <v>-370000</v>
      </c>
      <c r="H3643" s="13" t="s">
        <v>12545</v>
      </c>
    </row>
    <row r="3644" spans="1:8" x14ac:dyDescent="0.25">
      <c r="A3644" s="113">
        <v>45339</v>
      </c>
      <c r="B3644" s="21" t="s">
        <v>9832</v>
      </c>
      <c r="C3644" s="13" t="s">
        <v>12388</v>
      </c>
      <c r="D3644" s="766"/>
      <c r="E3644" s="22"/>
      <c r="F3644" s="19">
        <v>704800</v>
      </c>
      <c r="G3644" s="14">
        <f t="shared" si="70"/>
        <v>-704800</v>
      </c>
      <c r="H3644" s="13" t="s">
        <v>12546</v>
      </c>
    </row>
    <row r="3645" spans="1:8" x14ac:dyDescent="0.25">
      <c r="A3645" s="113">
        <v>45339</v>
      </c>
      <c r="B3645" s="21" t="s">
        <v>9832</v>
      </c>
      <c r="C3645" s="13" t="s">
        <v>180</v>
      </c>
      <c r="D3645" s="766" t="s">
        <v>12688</v>
      </c>
      <c r="E3645" s="22">
        <v>427400</v>
      </c>
      <c r="F3645" s="19"/>
      <c r="G3645" s="14">
        <f t="shared" si="70"/>
        <v>427400</v>
      </c>
      <c r="H3645" s="13"/>
    </row>
    <row r="3646" spans="1:8" x14ac:dyDescent="0.25">
      <c r="A3646" s="113">
        <v>45341</v>
      </c>
      <c r="B3646" s="736"/>
      <c r="C3646" s="13" t="s">
        <v>5187</v>
      </c>
      <c r="D3646" s="766"/>
      <c r="E3646" s="22"/>
      <c r="F3646" s="19">
        <v>300000</v>
      </c>
      <c r="G3646" s="14">
        <f t="shared" si="70"/>
        <v>-300000</v>
      </c>
      <c r="H3646" s="13" t="s">
        <v>10721</v>
      </c>
    </row>
    <row r="3647" spans="1:8" x14ac:dyDescent="0.25">
      <c r="A3647" s="113">
        <v>45342</v>
      </c>
      <c r="B3647" s="21" t="s">
        <v>9832</v>
      </c>
      <c r="C3647" s="13" t="s">
        <v>12388</v>
      </c>
      <c r="D3647" s="766" t="s">
        <v>12613</v>
      </c>
      <c r="E3647" s="22">
        <v>1554800</v>
      </c>
      <c r="F3647" s="19"/>
      <c r="G3647" s="14">
        <f t="shared" si="70"/>
        <v>1554800</v>
      </c>
      <c r="H3647" s="13"/>
    </row>
    <row r="3648" spans="1:8" x14ac:dyDescent="0.25">
      <c r="A3648" s="113">
        <v>45342</v>
      </c>
      <c r="B3648" s="21" t="s">
        <v>10909</v>
      </c>
      <c r="C3648" s="13" t="s">
        <v>166</v>
      </c>
      <c r="D3648" s="766" t="s">
        <v>12690</v>
      </c>
      <c r="E3648" s="22">
        <v>3300</v>
      </c>
      <c r="F3648" s="19"/>
      <c r="G3648" s="14">
        <f t="shared" si="70"/>
        <v>3300</v>
      </c>
      <c r="H3648" s="13"/>
    </row>
    <row r="3649" spans="1:8" x14ac:dyDescent="0.25">
      <c r="A3649" s="113">
        <v>45343</v>
      </c>
      <c r="B3649" s="21" t="s">
        <v>10909</v>
      </c>
      <c r="C3649" s="13" t="s">
        <v>7954</v>
      </c>
      <c r="D3649" s="766"/>
      <c r="E3649" s="22"/>
      <c r="F3649" s="19">
        <v>275000</v>
      </c>
      <c r="G3649" s="14">
        <f t="shared" si="70"/>
        <v>-275000</v>
      </c>
      <c r="H3649" s="13" t="s">
        <v>12036</v>
      </c>
    </row>
    <row r="3650" spans="1:8" x14ac:dyDescent="0.25">
      <c r="A3650" s="113">
        <v>45343</v>
      </c>
      <c r="B3650" s="21" t="s">
        <v>11897</v>
      </c>
      <c r="C3650" s="13" t="s">
        <v>7467</v>
      </c>
      <c r="D3650" s="766"/>
      <c r="E3650" s="22"/>
      <c r="F3650" s="19">
        <v>1000000</v>
      </c>
      <c r="G3650" s="14">
        <f t="shared" si="70"/>
        <v>-1000000</v>
      </c>
      <c r="H3650" s="13" t="s">
        <v>12567</v>
      </c>
    </row>
    <row r="3651" spans="1:8" x14ac:dyDescent="0.25">
      <c r="A3651" s="113">
        <v>45343</v>
      </c>
      <c r="B3651" s="21" t="s">
        <v>12637</v>
      </c>
      <c r="C3651" s="13" t="s">
        <v>7467</v>
      </c>
      <c r="D3651" s="766" t="s">
        <v>12674</v>
      </c>
      <c r="E3651" s="22">
        <v>45459</v>
      </c>
      <c r="F3651" s="110"/>
      <c r="G3651" s="14">
        <f t="shared" si="70"/>
        <v>45459</v>
      </c>
      <c r="H3651" s="13"/>
    </row>
    <row r="3652" spans="1:8" ht="16.5" thickBot="1" x14ac:dyDescent="0.3">
      <c r="A3652" s="113">
        <v>45346</v>
      </c>
      <c r="B3652" s="21" t="s">
        <v>11897</v>
      </c>
      <c r="C3652" s="13" t="s">
        <v>8394</v>
      </c>
      <c r="D3652" s="766"/>
      <c r="E3652" s="22"/>
      <c r="F3652" s="110">
        <v>500000</v>
      </c>
      <c r="G3652" s="14">
        <f t="shared" si="70"/>
        <v>-500000</v>
      </c>
      <c r="H3652" s="13" t="s">
        <v>12318</v>
      </c>
    </row>
    <row r="3653" spans="1:8" x14ac:dyDescent="0.25">
      <c r="A3653" s="113">
        <v>45346</v>
      </c>
      <c r="B3653" s="21" t="s">
        <v>10379</v>
      </c>
      <c r="C3653" s="13" t="s">
        <v>180</v>
      </c>
      <c r="D3653" s="766"/>
      <c r="E3653" s="783"/>
      <c r="F3653" s="785">
        <v>13760</v>
      </c>
      <c r="G3653" s="784">
        <f t="shared" si="70"/>
        <v>-13760</v>
      </c>
      <c r="H3653" s="1212" t="s">
        <v>12587</v>
      </c>
    </row>
    <row r="3654" spans="1:8" x14ac:dyDescent="0.25">
      <c r="A3654" s="113">
        <v>45346</v>
      </c>
      <c r="B3654" s="21" t="s">
        <v>10909</v>
      </c>
      <c r="C3654" s="13" t="s">
        <v>180</v>
      </c>
      <c r="D3654" s="766"/>
      <c r="E3654" s="783"/>
      <c r="F3654" s="142">
        <v>164280</v>
      </c>
      <c r="G3654" s="784">
        <f t="shared" si="70"/>
        <v>-164280</v>
      </c>
      <c r="H3654" s="1213"/>
    </row>
    <row r="3655" spans="1:8" x14ac:dyDescent="0.25">
      <c r="A3655" s="113">
        <v>45346</v>
      </c>
      <c r="B3655" s="21" t="s">
        <v>11617</v>
      </c>
      <c r="C3655" s="13" t="s">
        <v>180</v>
      </c>
      <c r="D3655" s="766"/>
      <c r="E3655" s="783"/>
      <c r="F3655" s="142">
        <v>145230</v>
      </c>
      <c r="G3655" s="784">
        <f t="shared" si="70"/>
        <v>-145230</v>
      </c>
      <c r="H3655" s="1213"/>
    </row>
    <row r="3656" spans="1:8" ht="16.5" thickBot="1" x14ac:dyDescent="0.3">
      <c r="A3656" s="113">
        <v>45346</v>
      </c>
      <c r="B3656" s="21" t="s">
        <v>11897</v>
      </c>
      <c r="C3656" s="13" t="s">
        <v>180</v>
      </c>
      <c r="D3656" s="766"/>
      <c r="E3656" s="783"/>
      <c r="F3656" s="786">
        <v>176730</v>
      </c>
      <c r="G3656" s="784">
        <f t="shared" si="70"/>
        <v>-176730</v>
      </c>
      <c r="H3656" s="1214"/>
    </row>
    <row r="3657" spans="1:8" x14ac:dyDescent="0.25">
      <c r="A3657" s="113">
        <v>45341</v>
      </c>
      <c r="B3657" s="736"/>
      <c r="C3657" s="13" t="s">
        <v>166</v>
      </c>
      <c r="D3657" s="766"/>
      <c r="E3657" s="22"/>
      <c r="F3657" s="112">
        <v>653892</v>
      </c>
      <c r="G3657" s="14">
        <f t="shared" si="70"/>
        <v>-653892</v>
      </c>
      <c r="H3657" s="13" t="s">
        <v>12578</v>
      </c>
    </row>
    <row r="3658" spans="1:8" x14ac:dyDescent="0.25">
      <c r="A3658" s="113">
        <v>45342</v>
      </c>
      <c r="B3658" s="63" t="s">
        <v>12502</v>
      </c>
      <c r="C3658" s="13" t="s">
        <v>164</v>
      </c>
      <c r="D3658" s="766" t="s">
        <v>12721</v>
      </c>
      <c r="E3658" s="22">
        <v>75279</v>
      </c>
      <c r="F3658" s="112"/>
      <c r="G3658" s="14">
        <f t="shared" si="70"/>
        <v>75279</v>
      </c>
      <c r="H3658" s="13"/>
    </row>
    <row r="3659" spans="1:8" x14ac:dyDescent="0.25">
      <c r="A3659" s="113">
        <v>45346</v>
      </c>
      <c r="B3659" s="63" t="s">
        <v>9832</v>
      </c>
      <c r="C3659" s="13" t="s">
        <v>164</v>
      </c>
      <c r="D3659" s="766" t="s">
        <v>12722</v>
      </c>
      <c r="E3659" s="22">
        <v>4290</v>
      </c>
      <c r="F3659" s="112"/>
      <c r="G3659" s="14">
        <f t="shared" si="70"/>
        <v>4290</v>
      </c>
      <c r="H3659" s="13"/>
    </row>
    <row r="3660" spans="1:8" x14ac:dyDescent="0.25">
      <c r="A3660" s="113">
        <v>45348</v>
      </c>
      <c r="B3660" s="21" t="s">
        <v>10909</v>
      </c>
      <c r="C3660" s="13" t="s">
        <v>12496</v>
      </c>
      <c r="D3660" s="766" t="s">
        <v>9245</v>
      </c>
      <c r="E3660" s="22">
        <v>27608</v>
      </c>
      <c r="F3660" s="112"/>
      <c r="G3660" s="14">
        <f t="shared" si="70"/>
        <v>27608</v>
      </c>
      <c r="H3660" s="13"/>
    </row>
    <row r="3661" spans="1:8" x14ac:dyDescent="0.25">
      <c r="A3661" s="113">
        <v>45348</v>
      </c>
      <c r="B3661" s="21" t="s">
        <v>12207</v>
      </c>
      <c r="C3661" s="13" t="s">
        <v>8394</v>
      </c>
      <c r="D3661" s="766" t="s">
        <v>12670</v>
      </c>
      <c r="E3661" s="22">
        <v>64376</v>
      </c>
      <c r="F3661" s="112"/>
      <c r="G3661" s="14">
        <f t="shared" si="70"/>
        <v>64376</v>
      </c>
      <c r="H3661" s="13"/>
    </row>
    <row r="3662" spans="1:8" x14ac:dyDescent="0.25">
      <c r="A3662" s="113">
        <v>45348</v>
      </c>
      <c r="B3662" s="21" t="s">
        <v>9832</v>
      </c>
      <c r="C3662" s="13" t="s">
        <v>8394</v>
      </c>
      <c r="D3662" s="766" t="s">
        <v>12671</v>
      </c>
      <c r="E3662" s="22">
        <v>40701</v>
      </c>
      <c r="F3662" s="112"/>
      <c r="G3662" s="14">
        <f t="shared" si="70"/>
        <v>40701</v>
      </c>
      <c r="H3662" s="13"/>
    </row>
    <row r="3663" spans="1:8" x14ac:dyDescent="0.25">
      <c r="A3663" s="113">
        <v>45348</v>
      </c>
      <c r="B3663" s="21" t="s">
        <v>10232</v>
      </c>
      <c r="C3663" s="13" t="s">
        <v>11324</v>
      </c>
      <c r="D3663" s="766"/>
      <c r="E3663" s="22"/>
      <c r="F3663" s="19">
        <v>146000</v>
      </c>
      <c r="G3663" s="14">
        <f>E3663-F3663</f>
        <v>-146000</v>
      </c>
      <c r="H3663" s="13" t="s">
        <v>12593</v>
      </c>
    </row>
    <row r="3664" spans="1:8" x14ac:dyDescent="0.25">
      <c r="A3664" s="113">
        <v>45348</v>
      </c>
      <c r="B3664" s="21" t="s">
        <v>11897</v>
      </c>
      <c r="C3664" s="13" t="s">
        <v>169</v>
      </c>
      <c r="D3664" s="766" t="s">
        <v>12500</v>
      </c>
      <c r="E3664" s="22">
        <v>82734</v>
      </c>
      <c r="F3664" s="19"/>
      <c r="G3664" s="14">
        <f t="shared" ref="G3664:G3666" si="71">E3664-F3664</f>
        <v>82734</v>
      </c>
      <c r="H3664" s="13"/>
    </row>
    <row r="3665" spans="1:8" x14ac:dyDescent="0.25">
      <c r="A3665" s="113">
        <v>45348</v>
      </c>
      <c r="B3665" s="21" t="s">
        <v>9832</v>
      </c>
      <c r="C3665" s="13" t="s">
        <v>164</v>
      </c>
      <c r="D3665" s="766" t="s">
        <v>12723</v>
      </c>
      <c r="E3665" s="22">
        <v>2660</v>
      </c>
      <c r="F3665" s="19"/>
      <c r="G3665" s="14">
        <f t="shared" si="71"/>
        <v>2660</v>
      </c>
      <c r="H3665" s="13"/>
    </row>
    <row r="3666" spans="1:8" x14ac:dyDescent="0.25">
      <c r="A3666" s="113">
        <v>45348</v>
      </c>
      <c r="B3666" s="21" t="s">
        <v>9832</v>
      </c>
      <c r="C3666" s="13" t="s">
        <v>164</v>
      </c>
      <c r="D3666" s="766" t="s">
        <v>12724</v>
      </c>
      <c r="E3666" s="22">
        <v>3588</v>
      </c>
      <c r="F3666" s="19"/>
      <c r="G3666" s="14">
        <f t="shared" si="71"/>
        <v>3588</v>
      </c>
      <c r="H3666" s="13"/>
    </row>
    <row r="3667" spans="1:8" x14ac:dyDescent="0.25">
      <c r="A3667" s="113">
        <v>45349</v>
      </c>
      <c r="B3667" s="21" t="s">
        <v>10909</v>
      </c>
      <c r="C3667" s="13" t="s">
        <v>12496</v>
      </c>
      <c r="D3667" s="766"/>
      <c r="E3667" s="22"/>
      <c r="F3667" s="19">
        <v>200000</v>
      </c>
      <c r="G3667" s="14">
        <f t="shared" si="70"/>
        <v>-200000</v>
      </c>
      <c r="H3667" s="13" t="s">
        <v>12600</v>
      </c>
    </row>
    <row r="3668" spans="1:8" x14ac:dyDescent="0.25">
      <c r="A3668" s="113">
        <v>45349</v>
      </c>
      <c r="B3668" s="21" t="s">
        <v>11897</v>
      </c>
      <c r="C3668" s="13" t="s">
        <v>7467</v>
      </c>
      <c r="D3668" s="766"/>
      <c r="E3668" s="22"/>
      <c r="F3668" s="19">
        <v>1000000</v>
      </c>
      <c r="G3668" s="14">
        <f t="shared" si="70"/>
        <v>-1000000</v>
      </c>
      <c r="H3668" s="13" t="s">
        <v>12616</v>
      </c>
    </row>
    <row r="3669" spans="1:8" x14ac:dyDescent="0.25">
      <c r="A3669" s="113">
        <v>45349</v>
      </c>
      <c r="B3669" s="21" t="s">
        <v>11897</v>
      </c>
      <c r="C3669" s="13" t="s">
        <v>7467</v>
      </c>
      <c r="D3669" s="766" t="s">
        <v>12675</v>
      </c>
      <c r="E3669" s="22">
        <v>123660</v>
      </c>
      <c r="F3669" s="19"/>
      <c r="G3669" s="14">
        <f t="shared" si="70"/>
        <v>123660</v>
      </c>
      <c r="H3669" s="13"/>
    </row>
    <row r="3670" spans="1:8" x14ac:dyDescent="0.25">
      <c r="A3670" s="113">
        <v>45349</v>
      </c>
      <c r="B3670" s="21" t="s">
        <v>11897</v>
      </c>
      <c r="C3670" s="13" t="s">
        <v>7467</v>
      </c>
      <c r="D3670" s="766" t="s">
        <v>12676</v>
      </c>
      <c r="E3670" s="22">
        <v>270563</v>
      </c>
      <c r="F3670" s="19"/>
      <c r="G3670" s="14">
        <f t="shared" si="70"/>
        <v>270563</v>
      </c>
      <c r="H3670" s="13"/>
    </row>
    <row r="3671" spans="1:8" x14ac:dyDescent="0.25">
      <c r="A3671" s="113">
        <v>45350</v>
      </c>
      <c r="B3671" s="21" t="s">
        <v>11897</v>
      </c>
      <c r="C3671" s="13" t="s">
        <v>169</v>
      </c>
      <c r="D3671" s="766" t="s">
        <v>11262</v>
      </c>
      <c r="E3671" s="22">
        <v>4657</v>
      </c>
      <c r="F3671" s="19"/>
      <c r="G3671" s="14">
        <f t="shared" si="70"/>
        <v>4657</v>
      </c>
      <c r="H3671" s="13"/>
    </row>
    <row r="3672" spans="1:8" x14ac:dyDescent="0.25">
      <c r="A3672" s="113">
        <v>45351</v>
      </c>
      <c r="B3672" s="21" t="s">
        <v>11897</v>
      </c>
      <c r="C3672" s="13" t="s">
        <v>8394</v>
      </c>
      <c r="D3672" s="766" t="s">
        <v>12672</v>
      </c>
      <c r="E3672" s="22">
        <v>25644</v>
      </c>
      <c r="F3672" s="19"/>
      <c r="G3672" s="14">
        <f t="shared" si="70"/>
        <v>25644</v>
      </c>
      <c r="H3672" s="13"/>
    </row>
    <row r="3673" spans="1:8" x14ac:dyDescent="0.25">
      <c r="A3673" s="113">
        <v>45351</v>
      </c>
      <c r="B3673" s="21" t="s">
        <v>12207</v>
      </c>
      <c r="C3673" s="13" t="s">
        <v>8394</v>
      </c>
      <c r="D3673" s="766" t="s">
        <v>12673</v>
      </c>
      <c r="E3673" s="22">
        <v>20455</v>
      </c>
      <c r="F3673" s="19"/>
      <c r="G3673" s="14">
        <f t="shared" si="70"/>
        <v>20455</v>
      </c>
      <c r="H3673" s="13"/>
    </row>
    <row r="3674" spans="1:8" x14ac:dyDescent="0.25">
      <c r="A3674" s="113">
        <v>45351</v>
      </c>
      <c r="B3674" s="21" t="s">
        <v>10909</v>
      </c>
      <c r="C3674" s="13" t="s">
        <v>166</v>
      </c>
      <c r="D3674" s="766" t="s">
        <v>12691</v>
      </c>
      <c r="E3674" s="22">
        <v>1460</v>
      </c>
      <c r="F3674" s="19"/>
      <c r="G3674" s="14">
        <f t="shared" si="70"/>
        <v>1460</v>
      </c>
      <c r="H3674" s="13"/>
    </row>
    <row r="3675" spans="1:8" x14ac:dyDescent="0.25">
      <c r="A3675" s="113">
        <v>45355</v>
      </c>
      <c r="B3675" s="21" t="s">
        <v>11897</v>
      </c>
      <c r="C3675" s="13" t="s">
        <v>7467</v>
      </c>
      <c r="D3675" s="766" t="s">
        <v>12677</v>
      </c>
      <c r="E3675" s="22">
        <v>30400</v>
      </c>
      <c r="F3675" s="19"/>
      <c r="G3675" s="14">
        <f t="shared" si="70"/>
        <v>30400</v>
      </c>
      <c r="H3675" s="13"/>
    </row>
    <row r="3676" spans="1:8" x14ac:dyDescent="0.25">
      <c r="A3676" s="113">
        <v>45357</v>
      </c>
      <c r="B3676" s="21" t="s">
        <v>10571</v>
      </c>
      <c r="C3676" s="13" t="s">
        <v>12388</v>
      </c>
      <c r="D3676" s="766" t="s">
        <v>12720</v>
      </c>
      <c r="E3676" s="22">
        <v>22000</v>
      </c>
      <c r="F3676" s="19"/>
      <c r="G3676" s="14">
        <f t="shared" si="70"/>
        <v>22000</v>
      </c>
      <c r="H3676" s="13"/>
    </row>
    <row r="3677" spans="1:8" x14ac:dyDescent="0.25">
      <c r="A3677" s="113">
        <v>45357</v>
      </c>
      <c r="B3677" s="21" t="s">
        <v>9832</v>
      </c>
      <c r="C3677" s="13" t="s">
        <v>164</v>
      </c>
      <c r="D3677" s="766"/>
      <c r="E3677" s="22"/>
      <c r="F3677" s="19">
        <v>2776</v>
      </c>
      <c r="G3677" s="14">
        <f t="shared" si="70"/>
        <v>-2776</v>
      </c>
      <c r="H3677" s="13" t="s">
        <v>4470</v>
      </c>
    </row>
    <row r="3678" spans="1:8" x14ac:dyDescent="0.25">
      <c r="A3678" s="113">
        <v>45358</v>
      </c>
      <c r="B3678" s="21" t="s">
        <v>10909</v>
      </c>
      <c r="C3678" s="13" t="s">
        <v>166</v>
      </c>
      <c r="D3678" s="766" t="s">
        <v>12692</v>
      </c>
      <c r="E3678" s="22">
        <v>34680</v>
      </c>
      <c r="F3678" s="19"/>
      <c r="G3678" s="14">
        <f t="shared" si="70"/>
        <v>34680</v>
      </c>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sheetData>
  <autoFilter ref="A1:XFC3678" xr:uid="{00000000-0009-0000-0000-000003000000}"/>
  <sortState xmlns:xlrd2="http://schemas.microsoft.com/office/spreadsheetml/2017/richdata2" ref="A2333:H2418">
    <sortCondition ref="A2333:A2418"/>
  </sortState>
  <mergeCells count="119">
    <mergeCell ref="H3653:H3656"/>
    <mergeCell ref="H3543:H3550"/>
    <mergeCell ref="H3393:H3394"/>
    <mergeCell ref="H3483:H3493"/>
    <mergeCell ref="H3328:H3329"/>
    <mergeCell ref="H2939:H2943"/>
    <mergeCell ref="H2931:H2933"/>
    <mergeCell ref="H3171:H3179"/>
    <mergeCell ref="H3033:H3038"/>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53" t="s">
        <v>11587</v>
      </c>
      <c r="B2" s="1253"/>
      <c r="C2" s="1253"/>
      <c r="D2" s="1253"/>
      <c r="E2" s="1253"/>
      <c r="F2" s="1253"/>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0" sqref="D10"/>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3" t="s">
        <v>0</v>
      </c>
      <c r="B3" s="1134" t="s">
        <v>47</v>
      </c>
      <c r="C3" s="924" t="s">
        <v>158</v>
      </c>
      <c r="D3" s="924" t="s">
        <v>5</v>
      </c>
    </row>
    <row r="4" spans="1:5" ht="15.75" thickBot="1" x14ac:dyDescent="0.3">
      <c r="B4"/>
      <c r="C4"/>
      <c r="D4"/>
    </row>
    <row r="5" spans="1:5" ht="21.75" thickBot="1" x14ac:dyDescent="0.4">
      <c r="A5" s="1135" t="s">
        <v>10193</v>
      </c>
      <c r="B5" s="1136" t="s">
        <v>1695</v>
      </c>
      <c r="C5" s="1137" t="s">
        <v>1802</v>
      </c>
      <c r="D5" s="1138" t="s">
        <v>46</v>
      </c>
      <c r="E5" s="1014" t="s">
        <v>10860</v>
      </c>
    </row>
    <row r="6" spans="1:5" ht="23.25" x14ac:dyDescent="0.35">
      <c r="A6" s="997" t="s">
        <v>7467</v>
      </c>
      <c r="B6" s="3">
        <v>29492426</v>
      </c>
      <c r="C6" s="3">
        <v>24325862</v>
      </c>
      <c r="D6" s="1139">
        <v>5166564</v>
      </c>
    </row>
    <row r="7" spans="1:5" ht="23.25" x14ac:dyDescent="0.35">
      <c r="A7" s="997" t="s">
        <v>8394</v>
      </c>
      <c r="B7" s="3">
        <v>29428102</v>
      </c>
      <c r="C7" s="3">
        <v>28025797</v>
      </c>
      <c r="D7" s="1139">
        <v>1402305</v>
      </c>
    </row>
    <row r="8" spans="1:5" ht="23.25" x14ac:dyDescent="0.35">
      <c r="A8" s="997" t="s">
        <v>4410</v>
      </c>
      <c r="B8" s="1045">
        <v>3200000</v>
      </c>
      <c r="C8" s="1045">
        <v>2000000</v>
      </c>
      <c r="D8" s="1140">
        <v>1200000</v>
      </c>
    </row>
    <row r="9" spans="1:5" ht="23.25" x14ac:dyDescent="0.35">
      <c r="A9" s="997" t="s">
        <v>180</v>
      </c>
      <c r="B9" s="1045">
        <v>27714467</v>
      </c>
      <c r="C9" s="1045">
        <v>26719911</v>
      </c>
      <c r="D9" s="1140">
        <v>994556</v>
      </c>
    </row>
    <row r="10" spans="1:5" ht="23.25" x14ac:dyDescent="0.35">
      <c r="A10" s="997" t="s">
        <v>5187</v>
      </c>
      <c r="B10" s="3">
        <v>5931440.5</v>
      </c>
      <c r="C10" s="3">
        <v>5182962</v>
      </c>
      <c r="D10" s="1140">
        <v>748478.5</v>
      </c>
    </row>
    <row r="11" spans="1:5" ht="23.25" x14ac:dyDescent="0.35">
      <c r="A11" s="997" t="s">
        <v>7954</v>
      </c>
      <c r="B11" s="3">
        <v>4770000</v>
      </c>
      <c r="C11" s="3">
        <v>4170000</v>
      </c>
      <c r="D11" s="1140">
        <v>600000</v>
      </c>
    </row>
    <row r="12" spans="1:5" ht="23.25" x14ac:dyDescent="0.35">
      <c r="A12" s="997" t="s">
        <v>4725</v>
      </c>
      <c r="B12" s="3">
        <v>1680000</v>
      </c>
      <c r="C12" s="3">
        <v>1150000</v>
      </c>
      <c r="D12" s="1140">
        <v>530000</v>
      </c>
    </row>
    <row r="13" spans="1:5" ht="23.25" x14ac:dyDescent="0.35">
      <c r="A13" s="997" t="s">
        <v>6847</v>
      </c>
      <c r="B13" s="3">
        <v>903164</v>
      </c>
      <c r="C13" s="3">
        <v>500000</v>
      </c>
      <c r="D13" s="1140">
        <v>403164</v>
      </c>
    </row>
    <row r="14" spans="1:5" s="4" customFormat="1" ht="23.25" x14ac:dyDescent="0.35">
      <c r="A14" s="997" t="s">
        <v>12038</v>
      </c>
      <c r="B14" s="3">
        <v>1894000</v>
      </c>
      <c r="C14" s="3">
        <v>1500000</v>
      </c>
      <c r="D14" s="1140">
        <v>394000</v>
      </c>
    </row>
    <row r="15" spans="1:5" ht="23.25" x14ac:dyDescent="0.35">
      <c r="A15" s="997" t="s">
        <v>5681</v>
      </c>
      <c r="B15" s="1045">
        <v>5519832</v>
      </c>
      <c r="C15" s="1045">
        <v>5161680</v>
      </c>
      <c r="D15" s="1140">
        <v>358152</v>
      </c>
    </row>
    <row r="16" spans="1:5" s="4" customFormat="1" ht="23.25" x14ac:dyDescent="0.35">
      <c r="A16" s="997" t="s">
        <v>169</v>
      </c>
      <c r="B16" s="1045">
        <v>7676718</v>
      </c>
      <c r="C16" s="1045">
        <v>7368204</v>
      </c>
      <c r="D16" s="1140">
        <v>308514</v>
      </c>
    </row>
    <row r="17" spans="1:5" ht="23.25" x14ac:dyDescent="0.35">
      <c r="A17" s="997" t="s">
        <v>164</v>
      </c>
      <c r="B17" s="1045">
        <v>5810291</v>
      </c>
      <c r="C17" s="1045">
        <v>5533047</v>
      </c>
      <c r="D17" s="1140">
        <v>277244</v>
      </c>
    </row>
    <row r="18" spans="1:5" ht="23.25" x14ac:dyDescent="0.35">
      <c r="A18" s="997" t="s">
        <v>12496</v>
      </c>
      <c r="B18" s="3">
        <v>3421062</v>
      </c>
      <c r="C18" s="3">
        <v>3220000</v>
      </c>
      <c r="D18" s="1140">
        <v>201062</v>
      </c>
      <c r="E18" s="4"/>
    </row>
    <row r="19" spans="1:5" ht="23.25" x14ac:dyDescent="0.35">
      <c r="A19" s="997" t="s">
        <v>2196</v>
      </c>
      <c r="B19" s="1045">
        <v>910728</v>
      </c>
      <c r="C19" s="1045">
        <v>769328</v>
      </c>
      <c r="D19" s="1140">
        <v>141400</v>
      </c>
    </row>
    <row r="20" spans="1:5" ht="23.25" x14ac:dyDescent="0.35">
      <c r="A20" s="997" t="s">
        <v>168</v>
      </c>
      <c r="B20" s="1045">
        <v>17608460</v>
      </c>
      <c r="C20" s="1045">
        <v>17503188</v>
      </c>
      <c r="D20" s="1139">
        <v>105272</v>
      </c>
    </row>
    <row r="21" spans="1:5" ht="23.25" x14ac:dyDescent="0.35">
      <c r="A21" s="997" t="s">
        <v>166</v>
      </c>
      <c r="B21" s="1045">
        <v>21042924</v>
      </c>
      <c r="C21" s="1045">
        <v>21008626</v>
      </c>
      <c r="D21" s="1139">
        <v>34298</v>
      </c>
    </row>
    <row r="22" spans="1:5" s="4" customFormat="1" ht="23.25" x14ac:dyDescent="0.35">
      <c r="A22" s="997" t="s">
        <v>1803</v>
      </c>
      <c r="B22" s="1045">
        <v>15297184</v>
      </c>
      <c r="C22" s="1045">
        <v>15268691</v>
      </c>
      <c r="D22" s="1139">
        <v>28493</v>
      </c>
    </row>
    <row r="23" spans="1:5" ht="23.25" x14ac:dyDescent="0.35">
      <c r="A23" s="997" t="s">
        <v>2386</v>
      </c>
      <c r="B23" s="1045">
        <v>18551</v>
      </c>
      <c r="C23" s="1045"/>
      <c r="D23" s="1140">
        <v>18551</v>
      </c>
    </row>
    <row r="24" spans="1:5" s="4" customFormat="1" ht="23.25" x14ac:dyDescent="0.35">
      <c r="A24" s="997" t="s">
        <v>75</v>
      </c>
      <c r="B24" s="1045">
        <v>17519</v>
      </c>
      <c r="C24" s="1045"/>
      <c r="D24" s="1140">
        <v>17519</v>
      </c>
    </row>
    <row r="25" spans="1:5" ht="23.25" x14ac:dyDescent="0.35">
      <c r="A25" s="997" t="s">
        <v>9080</v>
      </c>
      <c r="B25" s="3">
        <v>885000</v>
      </c>
      <c r="C25" s="3">
        <v>885000</v>
      </c>
      <c r="D25" s="1139">
        <v>0</v>
      </c>
    </row>
    <row r="26" spans="1:5" s="4" customFormat="1" ht="23.25" x14ac:dyDescent="0.35">
      <c r="A26" s="997" t="s">
        <v>1815</v>
      </c>
      <c r="B26" s="1045">
        <v>11639548</v>
      </c>
      <c r="C26" s="1045">
        <v>11639548</v>
      </c>
      <c r="D26" s="1140">
        <v>0</v>
      </c>
    </row>
    <row r="27" spans="1:5" ht="23.25" x14ac:dyDescent="0.35">
      <c r="A27" s="997" t="s">
        <v>3011</v>
      </c>
      <c r="B27" s="1045">
        <v>3121578</v>
      </c>
      <c r="C27" s="1045">
        <v>3121578</v>
      </c>
      <c r="D27" s="1140">
        <v>0</v>
      </c>
    </row>
    <row r="28" spans="1:5" ht="23.25" x14ac:dyDescent="0.35">
      <c r="A28" s="997" t="s">
        <v>8456</v>
      </c>
      <c r="B28" s="3">
        <v>1063000</v>
      </c>
      <c r="C28" s="3">
        <v>1063000</v>
      </c>
      <c r="D28" s="1139">
        <v>0</v>
      </c>
    </row>
    <row r="29" spans="1:5" s="4" customFormat="1" ht="23.25" x14ac:dyDescent="0.35">
      <c r="A29" s="997" t="s">
        <v>11329</v>
      </c>
      <c r="B29" s="3">
        <v>1061510</v>
      </c>
      <c r="C29" s="3">
        <v>1061510</v>
      </c>
      <c r="D29" s="1139">
        <v>0</v>
      </c>
    </row>
    <row r="30" spans="1:5" ht="23.25" x14ac:dyDescent="0.35">
      <c r="A30" s="997" t="s">
        <v>8708</v>
      </c>
      <c r="B30" s="3">
        <v>300000</v>
      </c>
      <c r="C30" s="3">
        <v>300000</v>
      </c>
      <c r="D30" s="1139">
        <v>0</v>
      </c>
    </row>
    <row r="31" spans="1:5" s="4" customFormat="1" ht="23.25" x14ac:dyDescent="0.35">
      <c r="A31" s="997" t="s">
        <v>12282</v>
      </c>
      <c r="B31" s="3">
        <v>1600298</v>
      </c>
      <c r="C31" s="3">
        <v>1600298</v>
      </c>
      <c r="D31" s="1140">
        <v>0</v>
      </c>
    </row>
    <row r="32" spans="1:5" ht="23.25" x14ac:dyDescent="0.35">
      <c r="A32" s="997" t="s">
        <v>11324</v>
      </c>
      <c r="B32" s="3">
        <v>4226000</v>
      </c>
      <c r="C32" s="3">
        <v>4226000</v>
      </c>
      <c r="D32" s="1139">
        <v>0</v>
      </c>
    </row>
    <row r="33" spans="1:4" s="4" customFormat="1" ht="23.25" x14ac:dyDescent="0.35">
      <c r="A33" s="997" t="s">
        <v>162</v>
      </c>
      <c r="B33" s="1045">
        <v>1123152</v>
      </c>
      <c r="C33" s="1045">
        <v>1123152</v>
      </c>
      <c r="D33" s="1140">
        <v>0</v>
      </c>
    </row>
    <row r="34" spans="1:4" ht="23.25" x14ac:dyDescent="0.35">
      <c r="A34" s="997" t="s">
        <v>8091</v>
      </c>
      <c r="B34" s="3">
        <v>11250000</v>
      </c>
      <c r="C34" s="3">
        <v>11250000</v>
      </c>
      <c r="D34" s="1140">
        <v>0</v>
      </c>
    </row>
    <row r="35" spans="1:4" ht="23.25" x14ac:dyDescent="0.35">
      <c r="A35" s="997" t="s">
        <v>6767</v>
      </c>
      <c r="B35" s="1045">
        <v>137550</v>
      </c>
      <c r="C35" s="1045">
        <v>137550</v>
      </c>
      <c r="D35" s="1140">
        <v>0</v>
      </c>
    </row>
    <row r="36" spans="1:4" s="4" customFormat="1" ht="23.25" x14ac:dyDescent="0.35">
      <c r="A36" s="997" t="s">
        <v>8900</v>
      </c>
      <c r="B36" s="3">
        <v>612552</v>
      </c>
      <c r="C36" s="3">
        <v>612552</v>
      </c>
      <c r="D36" s="1140">
        <v>0</v>
      </c>
    </row>
    <row r="37" spans="1:4" ht="23.25" x14ac:dyDescent="0.35">
      <c r="A37" s="997" t="s">
        <v>438</v>
      </c>
      <c r="B37" s="1045">
        <v>2798262</v>
      </c>
      <c r="C37" s="1045">
        <v>2798262</v>
      </c>
      <c r="D37" s="1140">
        <v>0</v>
      </c>
    </row>
    <row r="38" spans="1:4" ht="23.25" x14ac:dyDescent="0.35">
      <c r="A38" s="997" t="s">
        <v>161</v>
      </c>
      <c r="B38" s="1045">
        <v>5104663</v>
      </c>
      <c r="C38" s="1045">
        <v>5122182</v>
      </c>
      <c r="D38" s="1140">
        <v>-17519</v>
      </c>
    </row>
    <row r="39" spans="1:4" ht="24" thickBot="1" x14ac:dyDescent="0.4">
      <c r="A39" s="997" t="s">
        <v>7242</v>
      </c>
      <c r="B39" s="3">
        <v>11910372</v>
      </c>
      <c r="C39" s="3">
        <v>13133587</v>
      </c>
      <c r="D39" s="1140">
        <v>-1223215</v>
      </c>
    </row>
    <row r="40" spans="1:4" s="4" customFormat="1" ht="19.5" thickBot="1" x14ac:dyDescent="0.35">
      <c r="A40" s="1141" t="s">
        <v>45</v>
      </c>
      <c r="B40" s="1142">
        <v>239170353.5</v>
      </c>
      <c r="C40" s="1143">
        <v>227481515</v>
      </c>
      <c r="D40" s="1144">
        <v>11688838.5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105272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105272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767272</v>
      </c>
      <c r="K78" s="3"/>
    </row>
    <row r="79" spans="1:11" x14ac:dyDescent="0.25">
      <c r="B79"/>
      <c r="C79"/>
      <c r="D79"/>
    </row>
    <row r="80" spans="1:11" x14ac:dyDescent="0.25">
      <c r="B80"/>
      <c r="C80"/>
      <c r="D80"/>
      <c r="I80" s="3">
        <f ca="1">I78-155000</f>
        <v>612272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47"/>
      <c r="I4" s="1147"/>
      <c r="J4" s="1147"/>
    </row>
    <row r="5" spans="1:10" ht="24" thickBot="1" x14ac:dyDescent="0.35">
      <c r="A5" s="287" t="s">
        <v>4137</v>
      </c>
      <c r="B5" s="288" t="s">
        <v>4134</v>
      </c>
      <c r="C5" s="288" t="s">
        <v>4135</v>
      </c>
      <c r="D5" s="288" t="s">
        <v>4136</v>
      </c>
      <c r="E5" s="1014" t="s">
        <v>10860</v>
      </c>
      <c r="H5" s="1147"/>
      <c r="I5" s="1147"/>
      <c r="J5" s="1147"/>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2057400</v>
      </c>
      <c r="C20" s="290"/>
      <c r="D20" s="290">
        <v>-2057400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1645000</v>
      </c>
      <c r="C23" s="290"/>
      <c r="D23" s="290">
        <v>-1645000</v>
      </c>
    </row>
    <row r="24" spans="1:4" x14ac:dyDescent="0.3">
      <c r="A24" s="330" t="s">
        <v>11386</v>
      </c>
      <c r="B24" s="290">
        <v>1540000</v>
      </c>
      <c r="C24" s="290"/>
      <c r="D24" s="290">
        <v>-1540000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690000</v>
      </c>
      <c r="C28" s="290"/>
      <c r="D28" s="290">
        <v>-690000</v>
      </c>
    </row>
    <row r="29" spans="1:4" x14ac:dyDescent="0.3">
      <c r="A29" s="330" t="s">
        <v>3428</v>
      </c>
      <c r="B29" s="290">
        <v>5419800</v>
      </c>
      <c r="C29" s="290"/>
      <c r="D29" s="290">
        <v>-5419800</v>
      </c>
    </row>
    <row r="30" spans="1:4" x14ac:dyDescent="0.3">
      <c r="A30" s="289" t="s">
        <v>45</v>
      </c>
      <c r="B30" s="290">
        <v>38358020</v>
      </c>
      <c r="C30" s="290"/>
      <c r="D30" s="290">
        <v>-38358020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45" t="s">
        <v>1695</v>
      </c>
      <c r="C5" s="1005" t="s">
        <v>1802</v>
      </c>
      <c r="D5" s="1006" t="s">
        <v>46</v>
      </c>
      <c r="E5" s="1014" t="s">
        <v>10860</v>
      </c>
    </row>
    <row r="6" spans="1:6" x14ac:dyDescent="0.35">
      <c r="A6" s="997" t="s">
        <v>11897</v>
      </c>
      <c r="B6" s="1146">
        <v>23524601</v>
      </c>
      <c r="C6" s="1146">
        <v>17626558</v>
      </c>
      <c r="D6" s="1007">
        <v>5898043</v>
      </c>
    </row>
    <row r="7" spans="1:6" x14ac:dyDescent="0.35">
      <c r="A7" s="997" t="s">
        <v>12207</v>
      </c>
      <c r="B7" s="1146">
        <v>2393077</v>
      </c>
      <c r="C7" s="1146">
        <v>803552</v>
      </c>
      <c r="D7" s="1007">
        <v>1589525</v>
      </c>
    </row>
    <row r="8" spans="1:6" x14ac:dyDescent="0.35">
      <c r="A8" s="997" t="s">
        <v>10909</v>
      </c>
      <c r="B8" s="1146">
        <v>9891854.5</v>
      </c>
      <c r="C8" s="1146">
        <v>8624924</v>
      </c>
      <c r="D8" s="1007">
        <v>1266930.5</v>
      </c>
      <c r="F8" s="98"/>
    </row>
    <row r="9" spans="1:6" x14ac:dyDescent="0.35">
      <c r="A9" s="997" t="s">
        <v>11089</v>
      </c>
      <c r="B9" s="1146">
        <v>10485944</v>
      </c>
      <c r="C9" s="1146">
        <v>9275001</v>
      </c>
      <c r="D9" s="1007">
        <v>1210943</v>
      </c>
    </row>
    <row r="10" spans="1:6" x14ac:dyDescent="0.35">
      <c r="A10" s="997" t="s">
        <v>10296</v>
      </c>
      <c r="B10" s="1146">
        <v>1585166</v>
      </c>
      <c r="C10" s="1146">
        <v>1138818</v>
      </c>
      <c r="D10" s="1007">
        <v>446348</v>
      </c>
    </row>
    <row r="11" spans="1:6" x14ac:dyDescent="0.35">
      <c r="A11" s="997" t="s">
        <v>12502</v>
      </c>
      <c r="B11" s="1146">
        <v>340632</v>
      </c>
      <c r="C11" s="1146"/>
      <c r="D11" s="1007">
        <v>340632</v>
      </c>
    </row>
    <row r="12" spans="1:6" x14ac:dyDescent="0.35">
      <c r="A12" s="1114" t="s">
        <v>7467</v>
      </c>
      <c r="B12" s="1146">
        <v>226421</v>
      </c>
      <c r="C12" s="1146"/>
      <c r="D12" s="1007">
        <v>226421</v>
      </c>
    </row>
    <row r="13" spans="1:6" x14ac:dyDescent="0.35">
      <c r="A13" s="1114" t="s">
        <v>164</v>
      </c>
      <c r="B13" s="1146">
        <v>75279</v>
      </c>
      <c r="C13" s="1146"/>
      <c r="D13" s="1007">
        <v>75279</v>
      </c>
    </row>
    <row r="14" spans="1:6" x14ac:dyDescent="0.35">
      <c r="A14" s="1114" t="s">
        <v>8394</v>
      </c>
      <c r="B14" s="1146">
        <v>38932</v>
      </c>
      <c r="C14" s="1146"/>
      <c r="D14" s="1007">
        <v>38932</v>
      </c>
    </row>
    <row r="15" spans="1:6" x14ac:dyDescent="0.35">
      <c r="A15" s="997" t="s">
        <v>10576</v>
      </c>
      <c r="B15" s="1146">
        <v>21004486</v>
      </c>
      <c r="C15" s="1146">
        <v>20664231</v>
      </c>
      <c r="D15" s="1007">
        <v>340255</v>
      </c>
    </row>
    <row r="16" spans="1:6" x14ac:dyDescent="0.35">
      <c r="A16" s="997" t="s">
        <v>10232</v>
      </c>
      <c r="B16" s="1146">
        <v>12575807</v>
      </c>
      <c r="C16" s="1146">
        <v>12279121</v>
      </c>
      <c r="D16" s="1007">
        <v>296686</v>
      </c>
    </row>
    <row r="17" spans="1:4" x14ac:dyDescent="0.35">
      <c r="A17" s="997" t="s">
        <v>10571</v>
      </c>
      <c r="B17" s="1146">
        <v>2008367</v>
      </c>
      <c r="C17" s="1146">
        <v>1719382</v>
      </c>
      <c r="D17" s="1007">
        <v>288985</v>
      </c>
    </row>
    <row r="18" spans="1:4" x14ac:dyDescent="0.35">
      <c r="A18" s="997" t="s">
        <v>8657</v>
      </c>
      <c r="B18" s="1146">
        <v>11292323</v>
      </c>
      <c r="C18" s="1146">
        <v>11034775</v>
      </c>
      <c r="D18" s="1007">
        <v>257548</v>
      </c>
    </row>
    <row r="19" spans="1:4" x14ac:dyDescent="0.35">
      <c r="A19" s="997" t="s">
        <v>8868</v>
      </c>
      <c r="B19" s="1146">
        <v>1899307</v>
      </c>
      <c r="C19" s="1146">
        <v>1669531</v>
      </c>
      <c r="D19" s="1007">
        <v>229776</v>
      </c>
    </row>
    <row r="20" spans="1:4" x14ac:dyDescent="0.35">
      <c r="A20" s="997" t="s">
        <v>11446</v>
      </c>
      <c r="B20" s="1146">
        <v>1121427</v>
      </c>
      <c r="C20" s="1146">
        <v>933127</v>
      </c>
      <c r="D20" s="1007">
        <v>188300</v>
      </c>
    </row>
    <row r="21" spans="1:4" x14ac:dyDescent="0.35">
      <c r="A21" s="997" t="s">
        <v>9661</v>
      </c>
      <c r="B21" s="1146">
        <v>2984053</v>
      </c>
      <c r="C21" s="1146">
        <v>2803173</v>
      </c>
      <c r="D21" s="1007">
        <v>180880</v>
      </c>
    </row>
    <row r="22" spans="1:4" x14ac:dyDescent="0.35">
      <c r="A22" s="997" t="s">
        <v>9356</v>
      </c>
      <c r="B22" s="1146">
        <v>4428561</v>
      </c>
      <c r="C22" s="1146">
        <v>4261002</v>
      </c>
      <c r="D22" s="1007">
        <v>167559</v>
      </c>
    </row>
    <row r="23" spans="1:4" x14ac:dyDescent="0.35">
      <c r="A23" s="997" t="s">
        <v>4721</v>
      </c>
      <c r="B23" s="1146">
        <v>644100</v>
      </c>
      <c r="C23" s="1146">
        <v>481480</v>
      </c>
      <c r="D23" s="1007">
        <v>162620</v>
      </c>
    </row>
    <row r="24" spans="1:4" x14ac:dyDescent="0.35">
      <c r="A24" s="997" t="s">
        <v>1400</v>
      </c>
      <c r="B24" s="1146">
        <v>26199453</v>
      </c>
      <c r="C24" s="1146">
        <v>26039908</v>
      </c>
      <c r="D24" s="1007">
        <v>159545</v>
      </c>
    </row>
    <row r="25" spans="1:4" x14ac:dyDescent="0.35">
      <c r="A25" s="997" t="s">
        <v>11617</v>
      </c>
      <c r="B25" s="1146">
        <v>1892082</v>
      </c>
      <c r="C25" s="1146">
        <v>1756043</v>
      </c>
      <c r="D25" s="1007">
        <v>136039</v>
      </c>
    </row>
    <row r="26" spans="1:4" x14ac:dyDescent="0.35">
      <c r="A26" s="997" t="s">
        <v>9769</v>
      </c>
      <c r="B26" s="1146">
        <v>6398047</v>
      </c>
      <c r="C26" s="1146">
        <v>6284400</v>
      </c>
      <c r="D26" s="1007">
        <v>113647</v>
      </c>
    </row>
    <row r="27" spans="1:4" x14ac:dyDescent="0.35">
      <c r="A27" s="997" t="s">
        <v>8559</v>
      </c>
      <c r="B27" s="1146">
        <v>2395293</v>
      </c>
      <c r="C27" s="1146">
        <v>2283299</v>
      </c>
      <c r="D27" s="1007">
        <v>111994</v>
      </c>
    </row>
    <row r="28" spans="1:4" x14ac:dyDescent="0.35">
      <c r="A28" s="997" t="s">
        <v>12287</v>
      </c>
      <c r="B28" s="1146">
        <v>1278570</v>
      </c>
      <c r="C28" s="1146">
        <v>1172797</v>
      </c>
      <c r="D28" s="1007">
        <v>105773</v>
      </c>
    </row>
    <row r="29" spans="1:4" x14ac:dyDescent="0.35">
      <c r="A29" s="997" t="s">
        <v>8876</v>
      </c>
      <c r="B29" s="1146">
        <v>2891040</v>
      </c>
      <c r="C29" s="1146">
        <v>2799926</v>
      </c>
      <c r="D29" s="1007">
        <v>91114</v>
      </c>
    </row>
    <row r="30" spans="1:4" x14ac:dyDescent="0.35">
      <c r="A30" s="997" t="s">
        <v>6408</v>
      </c>
      <c r="B30" s="1146">
        <v>959942</v>
      </c>
      <c r="C30" s="1146">
        <v>879099</v>
      </c>
      <c r="D30" s="1007">
        <v>80843</v>
      </c>
    </row>
    <row r="31" spans="1:4" x14ac:dyDescent="0.35">
      <c r="A31" s="997" t="s">
        <v>11511</v>
      </c>
      <c r="B31" s="1146">
        <v>132545</v>
      </c>
      <c r="C31" s="1146">
        <v>73043</v>
      </c>
      <c r="D31" s="1007">
        <v>59502</v>
      </c>
    </row>
    <row r="32" spans="1:4" x14ac:dyDescent="0.35">
      <c r="A32" s="997" t="s">
        <v>12637</v>
      </c>
      <c r="B32" s="1146">
        <v>45459</v>
      </c>
      <c r="C32" s="1146"/>
      <c r="D32" s="1007">
        <v>45459</v>
      </c>
    </row>
    <row r="33" spans="1:4" x14ac:dyDescent="0.35">
      <c r="A33" s="1114" t="s">
        <v>7467</v>
      </c>
      <c r="B33" s="1146">
        <v>45459</v>
      </c>
      <c r="C33" s="1146"/>
      <c r="D33" s="1007">
        <v>45459</v>
      </c>
    </row>
    <row r="34" spans="1:4" hidden="1" x14ac:dyDescent="0.35">
      <c r="A34" s="997" t="s">
        <v>12247</v>
      </c>
      <c r="B34" s="1146">
        <v>110000</v>
      </c>
      <c r="C34" s="1146">
        <v>82500</v>
      </c>
      <c r="D34" s="1007">
        <v>27500</v>
      </c>
    </row>
    <row r="35" spans="1:4" hidden="1" x14ac:dyDescent="0.35">
      <c r="A35" s="997" t="s">
        <v>11</v>
      </c>
      <c r="B35" s="1146">
        <v>183038</v>
      </c>
      <c r="C35" s="1146">
        <v>164487</v>
      </c>
      <c r="D35" s="1007">
        <v>18551</v>
      </c>
    </row>
    <row r="36" spans="1:4" hidden="1" x14ac:dyDescent="0.35">
      <c r="A36" s="997" t="s">
        <v>8339</v>
      </c>
      <c r="B36" s="1146">
        <v>6661900</v>
      </c>
      <c r="C36" s="1146">
        <v>6645860</v>
      </c>
      <c r="D36" s="1007">
        <v>16040</v>
      </c>
    </row>
    <row r="37" spans="1:4" hidden="1" x14ac:dyDescent="0.35">
      <c r="A37" s="997" t="s">
        <v>9967</v>
      </c>
      <c r="B37" s="1146">
        <v>385571</v>
      </c>
      <c r="C37" s="1146">
        <v>370221</v>
      </c>
      <c r="D37" s="1007">
        <v>15350</v>
      </c>
    </row>
    <row r="38" spans="1:4" hidden="1" x14ac:dyDescent="0.35">
      <c r="A38" s="997" t="s">
        <v>10911</v>
      </c>
      <c r="B38" s="1146">
        <v>79935</v>
      </c>
      <c r="C38" s="1146">
        <v>64935</v>
      </c>
      <c r="D38" s="1007">
        <v>15000</v>
      </c>
    </row>
    <row r="39" spans="1:4" hidden="1" x14ac:dyDescent="0.35">
      <c r="A39" s="997" t="s">
        <v>11716</v>
      </c>
      <c r="B39" s="1146">
        <v>62941</v>
      </c>
      <c r="C39" s="1146">
        <v>56173</v>
      </c>
      <c r="D39" s="1007">
        <v>6768</v>
      </c>
    </row>
    <row r="40" spans="1:4" hidden="1" x14ac:dyDescent="0.35">
      <c r="A40" s="997" t="s">
        <v>10471</v>
      </c>
      <c r="B40" s="1146">
        <v>1683705</v>
      </c>
      <c r="C40" s="1146">
        <v>1679205</v>
      </c>
      <c r="D40" s="1007">
        <v>4500</v>
      </c>
    </row>
    <row r="41" spans="1:4" hidden="1" x14ac:dyDescent="0.35">
      <c r="A41" s="997" t="s">
        <v>6508</v>
      </c>
      <c r="B41" s="1146">
        <v>798186</v>
      </c>
      <c r="C41" s="1146">
        <v>793941</v>
      </c>
      <c r="D41" s="1007">
        <v>4245</v>
      </c>
    </row>
    <row r="42" spans="1:4" hidden="1" x14ac:dyDescent="0.35">
      <c r="A42" s="997" t="s">
        <v>1203</v>
      </c>
      <c r="B42" s="1146">
        <v>59350</v>
      </c>
      <c r="C42" s="1146">
        <v>59350</v>
      </c>
      <c r="D42" s="1007">
        <v>0</v>
      </c>
    </row>
    <row r="43" spans="1:4" hidden="1" x14ac:dyDescent="0.35">
      <c r="A43" s="997" t="s">
        <v>7732</v>
      </c>
      <c r="B43" s="1146">
        <v>221361</v>
      </c>
      <c r="C43" s="1146">
        <v>221361</v>
      </c>
      <c r="D43" s="1007">
        <v>0</v>
      </c>
    </row>
    <row r="44" spans="1:4" hidden="1" x14ac:dyDescent="0.35">
      <c r="A44" s="997" t="s">
        <v>160</v>
      </c>
      <c r="B44" s="1146">
        <v>7375</v>
      </c>
      <c r="C44" s="1146">
        <v>7375</v>
      </c>
      <c r="D44" s="1007">
        <v>0</v>
      </c>
    </row>
    <row r="45" spans="1:4" hidden="1" x14ac:dyDescent="0.35">
      <c r="A45" s="997" t="s">
        <v>1493</v>
      </c>
      <c r="B45" s="1146">
        <v>188750</v>
      </c>
      <c r="C45" s="1146">
        <v>188750</v>
      </c>
      <c r="D45" s="1007">
        <v>0</v>
      </c>
    </row>
    <row r="46" spans="1:4" hidden="1" x14ac:dyDescent="0.35">
      <c r="A46" s="997" t="s">
        <v>82</v>
      </c>
      <c r="B46" s="1146">
        <v>732794</v>
      </c>
      <c r="C46" s="1146">
        <v>732794</v>
      </c>
      <c r="D46" s="1007">
        <v>0</v>
      </c>
    </row>
    <row r="47" spans="1:4" hidden="1" x14ac:dyDescent="0.35">
      <c r="A47" s="997" t="s">
        <v>33</v>
      </c>
      <c r="B47" s="1146">
        <v>569111</v>
      </c>
      <c r="C47" s="1146">
        <v>569111</v>
      </c>
      <c r="D47" s="1007">
        <v>0</v>
      </c>
    </row>
    <row r="48" spans="1:4" hidden="1" x14ac:dyDescent="0.35">
      <c r="A48" s="997" t="s">
        <v>7807</v>
      </c>
      <c r="B48" s="1146">
        <v>1072490</v>
      </c>
      <c r="C48" s="1146">
        <v>1072490</v>
      </c>
      <c r="D48" s="1007">
        <v>0</v>
      </c>
    </row>
    <row r="49" spans="1:4" hidden="1" x14ac:dyDescent="0.35">
      <c r="A49" s="997" t="s">
        <v>1807</v>
      </c>
      <c r="B49" s="1146">
        <v>4800</v>
      </c>
      <c r="C49" s="1146">
        <v>4800</v>
      </c>
      <c r="D49" s="1007">
        <v>0</v>
      </c>
    </row>
    <row r="50" spans="1:4" hidden="1" x14ac:dyDescent="0.35">
      <c r="A50" s="997" t="s">
        <v>7555</v>
      </c>
      <c r="B50" s="1146">
        <v>1012779</v>
      </c>
      <c r="C50" s="1146">
        <v>1012779</v>
      </c>
      <c r="D50" s="1007">
        <v>0</v>
      </c>
    </row>
    <row r="51" spans="1:4" hidden="1" x14ac:dyDescent="0.35">
      <c r="A51" s="997" t="s">
        <v>1691</v>
      </c>
      <c r="B51" s="1146">
        <v>13508</v>
      </c>
      <c r="C51" s="1146">
        <v>13508</v>
      </c>
      <c r="D51" s="1007">
        <v>0</v>
      </c>
    </row>
    <row r="52" spans="1:4" hidden="1" x14ac:dyDescent="0.35">
      <c r="A52" s="997" t="s">
        <v>3945</v>
      </c>
      <c r="B52" s="1146">
        <v>5200</v>
      </c>
      <c r="C52" s="1146">
        <v>5200</v>
      </c>
      <c r="D52" s="1007">
        <v>0</v>
      </c>
    </row>
    <row r="53" spans="1:4" hidden="1" x14ac:dyDescent="0.35">
      <c r="A53" s="997" t="s">
        <v>2023</v>
      </c>
      <c r="B53" s="1146">
        <v>290962</v>
      </c>
      <c r="C53" s="1146">
        <v>290962</v>
      </c>
      <c r="D53" s="1007">
        <v>0</v>
      </c>
    </row>
    <row r="54" spans="1:4" hidden="1" x14ac:dyDescent="0.35">
      <c r="A54" s="997" t="s">
        <v>2089</v>
      </c>
      <c r="B54" s="1146">
        <v>64441</v>
      </c>
      <c r="C54" s="1146">
        <v>64441</v>
      </c>
      <c r="D54" s="1007">
        <v>0</v>
      </c>
    </row>
    <row r="55" spans="1:4" hidden="1" x14ac:dyDescent="0.35">
      <c r="A55" s="997" t="s">
        <v>32</v>
      </c>
      <c r="B55" s="1146">
        <v>327433</v>
      </c>
      <c r="C55" s="1146">
        <v>327433</v>
      </c>
      <c r="D55" s="1007">
        <v>0</v>
      </c>
    </row>
    <row r="56" spans="1:4" hidden="1" x14ac:dyDescent="0.35">
      <c r="A56" s="997" t="s">
        <v>10151</v>
      </c>
      <c r="B56" s="1146">
        <v>2384019</v>
      </c>
      <c r="C56" s="1146">
        <v>2384019</v>
      </c>
      <c r="D56" s="1007">
        <v>0</v>
      </c>
    </row>
    <row r="57" spans="1:4" hidden="1" x14ac:dyDescent="0.35">
      <c r="A57" s="997" t="s">
        <v>2043</v>
      </c>
      <c r="B57" s="1146">
        <v>91259</v>
      </c>
      <c r="C57" s="1146">
        <v>91259</v>
      </c>
      <c r="D57" s="1007">
        <v>0</v>
      </c>
    </row>
    <row r="58" spans="1:4" hidden="1" x14ac:dyDescent="0.35">
      <c r="A58" s="997" t="s">
        <v>10379</v>
      </c>
      <c r="B58" s="1146">
        <v>1329980</v>
      </c>
      <c r="C58" s="1146">
        <v>1329980</v>
      </c>
      <c r="D58" s="1007">
        <v>0</v>
      </c>
    </row>
    <row r="59" spans="1:4" hidden="1" x14ac:dyDescent="0.35">
      <c r="A59" s="997" t="s">
        <v>2263</v>
      </c>
      <c r="B59" s="1146">
        <v>81323</v>
      </c>
      <c r="C59" s="1146">
        <v>81323</v>
      </c>
      <c r="D59" s="1007">
        <v>0</v>
      </c>
    </row>
    <row r="60" spans="1:4" hidden="1" x14ac:dyDescent="0.35">
      <c r="A60" s="997" t="s">
        <v>37</v>
      </c>
      <c r="B60" s="1146">
        <v>74360</v>
      </c>
      <c r="C60" s="1146">
        <v>74360</v>
      </c>
      <c r="D60" s="1007">
        <v>0</v>
      </c>
    </row>
    <row r="61" spans="1:4" hidden="1" x14ac:dyDescent="0.35">
      <c r="A61" s="997" t="s">
        <v>2404</v>
      </c>
      <c r="B61" s="1146">
        <v>907</v>
      </c>
      <c r="C61" s="1146">
        <v>907</v>
      </c>
      <c r="D61" s="1007">
        <v>0</v>
      </c>
    </row>
    <row r="62" spans="1:4" hidden="1" x14ac:dyDescent="0.35">
      <c r="A62" s="997" t="s">
        <v>7126</v>
      </c>
      <c r="B62" s="1146"/>
      <c r="C62" s="1146"/>
      <c r="D62" s="1007">
        <v>0</v>
      </c>
    </row>
    <row r="63" spans="1:4" hidden="1" x14ac:dyDescent="0.35">
      <c r="A63" s="997" t="s">
        <v>2548</v>
      </c>
      <c r="B63" s="1146">
        <v>42578</v>
      </c>
      <c r="C63" s="1146">
        <v>42578</v>
      </c>
      <c r="D63" s="1007">
        <v>0</v>
      </c>
    </row>
    <row r="64" spans="1:4" hidden="1" x14ac:dyDescent="0.35">
      <c r="A64" s="997" t="s">
        <v>7817</v>
      </c>
      <c r="B64" s="1146">
        <v>136445</v>
      </c>
      <c r="C64" s="1146">
        <v>136445</v>
      </c>
      <c r="D64" s="1007">
        <v>0</v>
      </c>
    </row>
    <row r="65" spans="1:4" hidden="1" x14ac:dyDescent="0.35">
      <c r="A65" s="997" t="s">
        <v>2652</v>
      </c>
      <c r="B65" s="1146">
        <v>9647104</v>
      </c>
      <c r="C65" s="1146">
        <v>9647104</v>
      </c>
      <c r="D65" s="1007">
        <v>0</v>
      </c>
    </row>
    <row r="66" spans="1:4" hidden="1" x14ac:dyDescent="0.35">
      <c r="A66" s="997" t="s">
        <v>8043</v>
      </c>
      <c r="B66" s="1146">
        <v>11932427</v>
      </c>
      <c r="C66" s="1146">
        <v>11932427</v>
      </c>
      <c r="D66" s="1007">
        <v>0</v>
      </c>
    </row>
    <row r="67" spans="1:4" hidden="1" x14ac:dyDescent="0.35">
      <c r="A67" s="997" t="s">
        <v>2319</v>
      </c>
      <c r="B67" s="1146">
        <v>39773</v>
      </c>
      <c r="C67" s="1146">
        <v>39773</v>
      </c>
      <c r="D67" s="1007">
        <v>0</v>
      </c>
    </row>
    <row r="68" spans="1:4" hidden="1" x14ac:dyDescent="0.35">
      <c r="A68" s="997" t="s">
        <v>8532</v>
      </c>
      <c r="B68" s="1146">
        <v>235522</v>
      </c>
      <c r="C68" s="1146">
        <v>235522</v>
      </c>
      <c r="D68" s="1007">
        <v>0</v>
      </c>
    </row>
    <row r="69" spans="1:4" hidden="1" x14ac:dyDescent="0.35">
      <c r="A69" s="997" t="s">
        <v>3384</v>
      </c>
      <c r="B69" s="1146">
        <v>4145</v>
      </c>
      <c r="C69" s="1146">
        <v>4145</v>
      </c>
      <c r="D69" s="1007">
        <v>0</v>
      </c>
    </row>
    <row r="70" spans="1:4" hidden="1" x14ac:dyDescent="0.35">
      <c r="A70" s="997" t="s">
        <v>9409</v>
      </c>
      <c r="B70" s="1146">
        <v>1080276</v>
      </c>
      <c r="C70" s="1146">
        <v>1080276</v>
      </c>
      <c r="D70" s="1007">
        <v>0</v>
      </c>
    </row>
    <row r="71" spans="1:4" hidden="1" x14ac:dyDescent="0.35">
      <c r="A71" s="997" t="s">
        <v>3401</v>
      </c>
      <c r="B71" s="1146">
        <v>25920</v>
      </c>
      <c r="C71" s="1146">
        <v>25920</v>
      </c>
      <c r="D71" s="1007">
        <v>0</v>
      </c>
    </row>
    <row r="72" spans="1:4" hidden="1" x14ac:dyDescent="0.35">
      <c r="A72" s="997" t="s">
        <v>673</v>
      </c>
      <c r="B72" s="1146">
        <v>629934</v>
      </c>
      <c r="C72" s="1146">
        <v>629934</v>
      </c>
      <c r="D72" s="1007">
        <v>0</v>
      </c>
    </row>
    <row r="73" spans="1:4" hidden="1" x14ac:dyDescent="0.35">
      <c r="A73" s="997" t="s">
        <v>3622</v>
      </c>
      <c r="B73" s="1146">
        <v>1205380</v>
      </c>
      <c r="C73" s="1146">
        <v>1205380</v>
      </c>
      <c r="D73" s="1007">
        <v>0</v>
      </c>
    </row>
    <row r="74" spans="1:4" s="1008" customFormat="1" hidden="1" x14ac:dyDescent="0.35">
      <c r="A74" s="997" t="s">
        <v>2271</v>
      </c>
      <c r="B74" s="1146">
        <v>166908</v>
      </c>
      <c r="C74" s="1146">
        <v>166908</v>
      </c>
      <c r="D74" s="1007">
        <v>0</v>
      </c>
    </row>
    <row r="75" spans="1:4" hidden="1" x14ac:dyDescent="0.35">
      <c r="A75" s="997" t="s">
        <v>1676</v>
      </c>
      <c r="B75" s="1146">
        <v>155133</v>
      </c>
      <c r="C75" s="1146">
        <v>155133</v>
      </c>
      <c r="D75" s="1007">
        <v>0</v>
      </c>
    </row>
    <row r="76" spans="1:4" hidden="1" x14ac:dyDescent="0.35">
      <c r="A76" s="997" t="s">
        <v>465</v>
      </c>
      <c r="B76" s="1146">
        <v>3188510</v>
      </c>
      <c r="C76" s="1146">
        <v>3188510</v>
      </c>
      <c r="D76" s="1007">
        <v>0</v>
      </c>
    </row>
    <row r="77" spans="1:4" hidden="1" x14ac:dyDescent="0.35">
      <c r="A77" s="997" t="s">
        <v>18</v>
      </c>
      <c r="B77" s="1146">
        <v>150590</v>
      </c>
      <c r="C77" s="1146">
        <v>150590</v>
      </c>
      <c r="D77" s="1007">
        <v>0</v>
      </c>
    </row>
    <row r="78" spans="1:4" hidden="1" x14ac:dyDescent="0.35">
      <c r="A78" s="997" t="s">
        <v>11007</v>
      </c>
      <c r="B78" s="1146">
        <v>69890</v>
      </c>
      <c r="C78" s="1146">
        <v>69890</v>
      </c>
      <c r="D78" s="1007">
        <v>0</v>
      </c>
    </row>
    <row r="79" spans="1:4" hidden="1" x14ac:dyDescent="0.35">
      <c r="A79" s="997" t="s">
        <v>2094</v>
      </c>
      <c r="B79" s="1146">
        <v>148869</v>
      </c>
      <c r="C79" s="1146">
        <v>148869</v>
      </c>
      <c r="D79" s="1007">
        <v>0</v>
      </c>
    </row>
    <row r="80" spans="1:4" hidden="1" x14ac:dyDescent="0.35">
      <c r="A80" s="997" t="s">
        <v>7657</v>
      </c>
      <c r="B80" s="1146">
        <v>1303060</v>
      </c>
      <c r="C80" s="1146">
        <v>1303060</v>
      </c>
      <c r="D80" s="1007">
        <v>0</v>
      </c>
    </row>
    <row r="81" spans="1:4" hidden="1" x14ac:dyDescent="0.35">
      <c r="A81" s="997" t="s">
        <v>4884</v>
      </c>
      <c r="B81" s="1146">
        <v>262657</v>
      </c>
      <c r="C81" s="1146">
        <v>262657</v>
      </c>
      <c r="D81" s="1007">
        <v>0</v>
      </c>
    </row>
    <row r="82" spans="1:4" hidden="1" x14ac:dyDescent="0.35">
      <c r="A82" s="997" t="s">
        <v>7112</v>
      </c>
      <c r="B82" s="1146">
        <v>565282</v>
      </c>
      <c r="C82" s="1146">
        <v>565282</v>
      </c>
      <c r="D82" s="1007">
        <v>0</v>
      </c>
    </row>
    <row r="83" spans="1:4" hidden="1" x14ac:dyDescent="0.35">
      <c r="A83" s="997" t="s">
        <v>5052</v>
      </c>
      <c r="B83" s="1146">
        <v>206944</v>
      </c>
      <c r="C83" s="1146">
        <v>206944</v>
      </c>
      <c r="D83" s="1007">
        <v>0</v>
      </c>
    </row>
    <row r="84" spans="1:4" hidden="1" x14ac:dyDescent="0.35">
      <c r="A84" s="997" t="s">
        <v>6518</v>
      </c>
      <c r="B84" s="1146">
        <v>1058091</v>
      </c>
      <c r="C84" s="1146">
        <v>1058091</v>
      </c>
      <c r="D84" s="1007">
        <v>0</v>
      </c>
    </row>
    <row r="85" spans="1:4" hidden="1" x14ac:dyDescent="0.35">
      <c r="A85" s="997" t="s">
        <v>4814</v>
      </c>
      <c r="B85" s="1146">
        <v>15712</v>
      </c>
      <c r="C85" s="1146">
        <v>15712</v>
      </c>
      <c r="D85" s="1007">
        <v>0</v>
      </c>
    </row>
    <row r="86" spans="1:4" hidden="1" x14ac:dyDescent="0.35">
      <c r="A86" s="997" t="s">
        <v>6647</v>
      </c>
      <c r="B86" s="1146"/>
      <c r="C86" s="1146"/>
      <c r="D86" s="1007">
        <v>0</v>
      </c>
    </row>
    <row r="87" spans="1:4" hidden="1" x14ac:dyDescent="0.35">
      <c r="A87" s="997" t="s">
        <v>5227</v>
      </c>
      <c r="B87" s="1146">
        <v>862774</v>
      </c>
      <c r="C87" s="1146">
        <v>862774</v>
      </c>
      <c r="D87" s="1007">
        <v>0</v>
      </c>
    </row>
    <row r="88" spans="1:4" hidden="1" x14ac:dyDescent="0.35">
      <c r="A88" s="997" t="s">
        <v>7746</v>
      </c>
      <c r="B88" s="1146">
        <v>319499</v>
      </c>
      <c r="C88" s="1146">
        <v>319499</v>
      </c>
      <c r="D88" s="1007">
        <v>0</v>
      </c>
    </row>
    <row r="89" spans="1:4" hidden="1" x14ac:dyDescent="0.35">
      <c r="A89" s="997" t="s">
        <v>5320</v>
      </c>
      <c r="B89" s="1146">
        <v>52679</v>
      </c>
      <c r="C89" s="1146">
        <v>52679</v>
      </c>
      <c r="D89" s="1007">
        <v>0</v>
      </c>
    </row>
    <row r="90" spans="1:4" hidden="1" x14ac:dyDescent="0.35">
      <c r="A90" s="997" t="s">
        <v>7921</v>
      </c>
      <c r="B90" s="1146">
        <v>3715694</v>
      </c>
      <c r="C90" s="1146">
        <v>3715694</v>
      </c>
      <c r="D90" s="1007">
        <v>0</v>
      </c>
    </row>
    <row r="91" spans="1:4" hidden="1" x14ac:dyDescent="0.35">
      <c r="A91" s="997" t="s">
        <v>5548</v>
      </c>
      <c r="B91" s="1146">
        <v>202398</v>
      </c>
      <c r="C91" s="1146">
        <v>202398</v>
      </c>
      <c r="D91" s="1007">
        <v>0</v>
      </c>
    </row>
    <row r="92" spans="1:4" hidden="1" x14ac:dyDescent="0.35">
      <c r="A92" s="997" t="s">
        <v>7953</v>
      </c>
      <c r="B92" s="1146">
        <v>3636139</v>
      </c>
      <c r="C92" s="1146">
        <v>3636139</v>
      </c>
      <c r="D92" s="1007">
        <v>0</v>
      </c>
    </row>
    <row r="93" spans="1:4" hidden="1" x14ac:dyDescent="0.35">
      <c r="A93" s="997" t="s">
        <v>5709</v>
      </c>
      <c r="B93" s="1146">
        <v>189460</v>
      </c>
      <c r="C93" s="1146">
        <v>189460</v>
      </c>
      <c r="D93" s="1007">
        <v>0</v>
      </c>
    </row>
    <row r="94" spans="1:4" hidden="1" x14ac:dyDescent="0.35">
      <c r="A94" s="997" t="s">
        <v>8077</v>
      </c>
      <c r="B94" s="1146">
        <v>142848</v>
      </c>
      <c r="C94" s="1146">
        <v>142848</v>
      </c>
      <c r="D94" s="1007">
        <v>0</v>
      </c>
    </row>
    <row r="95" spans="1:4" hidden="1" x14ac:dyDescent="0.35">
      <c r="A95" s="997" t="s">
        <v>5720</v>
      </c>
      <c r="B95" s="1146">
        <v>271758</v>
      </c>
      <c r="C95" s="1146">
        <v>271758</v>
      </c>
      <c r="D95" s="1007">
        <v>0</v>
      </c>
    </row>
    <row r="96" spans="1:4" hidden="1" x14ac:dyDescent="0.35">
      <c r="A96" s="997" t="s">
        <v>1397</v>
      </c>
      <c r="B96" s="1146">
        <v>3227014</v>
      </c>
      <c r="C96" s="1146">
        <v>3227014</v>
      </c>
      <c r="D96" s="1007">
        <v>0</v>
      </c>
    </row>
    <row r="97" spans="1:4" hidden="1" x14ac:dyDescent="0.35">
      <c r="A97" s="997" t="s">
        <v>5729</v>
      </c>
      <c r="B97" s="1146">
        <v>20800</v>
      </c>
      <c r="C97" s="1146">
        <v>20800</v>
      </c>
      <c r="D97" s="1007">
        <v>0</v>
      </c>
    </row>
    <row r="98" spans="1:4" hidden="1" x14ac:dyDescent="0.35">
      <c r="A98" s="997" t="s">
        <v>1805</v>
      </c>
      <c r="B98" s="1146">
        <v>236720</v>
      </c>
      <c r="C98" s="1146">
        <v>236720</v>
      </c>
      <c r="D98" s="1007">
        <v>0</v>
      </c>
    </row>
    <row r="99" spans="1:4" hidden="1" x14ac:dyDescent="0.35">
      <c r="A99" s="997" t="s">
        <v>2933</v>
      </c>
      <c r="B99" s="1146">
        <v>6628809</v>
      </c>
      <c r="C99" s="1146">
        <v>6628809</v>
      </c>
      <c r="D99" s="1007">
        <v>0</v>
      </c>
    </row>
    <row r="100" spans="1:4" hidden="1" x14ac:dyDescent="0.35">
      <c r="A100" s="997" t="s">
        <v>963</v>
      </c>
      <c r="B100" s="1146">
        <v>144342</v>
      </c>
      <c r="C100" s="1146">
        <v>144342</v>
      </c>
      <c r="D100" s="1007">
        <v>0</v>
      </c>
    </row>
    <row r="101" spans="1:4" hidden="1" x14ac:dyDescent="0.35">
      <c r="A101" s="997" t="s">
        <v>129</v>
      </c>
      <c r="B101" s="1146">
        <v>276956</v>
      </c>
      <c r="C101" s="1146">
        <v>276956</v>
      </c>
      <c r="D101" s="1007">
        <v>0</v>
      </c>
    </row>
    <row r="102" spans="1:4" hidden="1" x14ac:dyDescent="0.35">
      <c r="A102" s="997" t="s">
        <v>9507</v>
      </c>
      <c r="B102" s="1146">
        <v>69638</v>
      </c>
      <c r="C102" s="1146">
        <v>69638</v>
      </c>
      <c r="D102" s="1007">
        <v>0</v>
      </c>
    </row>
    <row r="103" spans="1:4" hidden="1" x14ac:dyDescent="0.35">
      <c r="A103" s="997" t="s">
        <v>6248</v>
      </c>
      <c r="B103" s="1146">
        <v>64600</v>
      </c>
      <c r="C103" s="1146">
        <v>64600</v>
      </c>
      <c r="D103" s="1007">
        <v>0</v>
      </c>
    </row>
    <row r="104" spans="1:4" hidden="1" x14ac:dyDescent="0.35">
      <c r="A104" s="997" t="s">
        <v>1399</v>
      </c>
      <c r="B104" s="1146">
        <v>54635</v>
      </c>
      <c r="C104" s="1146">
        <v>54635</v>
      </c>
      <c r="D104" s="1007">
        <v>0</v>
      </c>
    </row>
    <row r="105" spans="1:4" hidden="1" x14ac:dyDescent="0.35">
      <c r="A105" s="997" t="s">
        <v>2227</v>
      </c>
      <c r="B105" s="1146">
        <v>381380</v>
      </c>
      <c r="C105" s="1146">
        <v>381380</v>
      </c>
      <c r="D105" s="1007">
        <v>0</v>
      </c>
    </row>
    <row r="106" spans="1:4" hidden="1" x14ac:dyDescent="0.35">
      <c r="A106" s="997" t="s">
        <v>1215</v>
      </c>
      <c r="B106" s="1146">
        <v>258956</v>
      </c>
      <c r="C106" s="1146">
        <v>258956</v>
      </c>
      <c r="D106" s="1007">
        <v>0</v>
      </c>
    </row>
    <row r="107" spans="1:4" hidden="1" x14ac:dyDescent="0.35">
      <c r="A107" s="997" t="s">
        <v>6507</v>
      </c>
      <c r="B107" s="1146">
        <v>74613</v>
      </c>
      <c r="C107" s="1146">
        <v>74613</v>
      </c>
      <c r="D107" s="1007">
        <v>0</v>
      </c>
    </row>
    <row r="108" spans="1:4" hidden="1" x14ac:dyDescent="0.35">
      <c r="A108" s="997" t="s">
        <v>2649</v>
      </c>
      <c r="B108" s="1146">
        <v>202856</v>
      </c>
      <c r="C108" s="1146">
        <v>202856</v>
      </c>
      <c r="D108" s="1007">
        <v>0</v>
      </c>
    </row>
    <row r="109" spans="1:4" hidden="1" x14ac:dyDescent="0.35">
      <c r="A109" s="997" t="s">
        <v>1087</v>
      </c>
      <c r="B109" s="1146">
        <v>88730</v>
      </c>
      <c r="C109" s="1146">
        <v>88730</v>
      </c>
      <c r="D109" s="1007">
        <v>0</v>
      </c>
    </row>
    <row r="110" spans="1:4" hidden="1" x14ac:dyDescent="0.35">
      <c r="A110" s="997" t="s">
        <v>1206</v>
      </c>
      <c r="B110" s="1146">
        <v>263340</v>
      </c>
      <c r="C110" s="1146">
        <v>263340</v>
      </c>
      <c r="D110" s="1007">
        <v>0</v>
      </c>
    </row>
    <row r="111" spans="1:4" hidden="1" x14ac:dyDescent="0.35">
      <c r="A111" s="997" t="s">
        <v>130</v>
      </c>
      <c r="B111" s="1146">
        <v>624947</v>
      </c>
      <c r="C111" s="1146">
        <v>624947</v>
      </c>
      <c r="D111" s="1007">
        <v>0</v>
      </c>
    </row>
    <row r="112" spans="1:4" hidden="1" x14ac:dyDescent="0.35">
      <c r="A112" s="997" t="s">
        <v>44</v>
      </c>
      <c r="B112" s="1146">
        <v>10000</v>
      </c>
      <c r="C112" s="1146">
        <v>10000</v>
      </c>
      <c r="D112" s="1007">
        <v>0</v>
      </c>
    </row>
    <row r="113" spans="1:4" hidden="1" x14ac:dyDescent="0.35">
      <c r="A113" s="997" t="s">
        <v>6511</v>
      </c>
      <c r="B113" s="1146">
        <v>1741940</v>
      </c>
      <c r="C113" s="1146">
        <v>1741940</v>
      </c>
      <c r="D113" s="1007">
        <v>0</v>
      </c>
    </row>
    <row r="114" spans="1:4" hidden="1" x14ac:dyDescent="0.35">
      <c r="A114" s="997" t="s">
        <v>39</v>
      </c>
      <c r="B114" s="1146">
        <v>65000</v>
      </c>
      <c r="C114" s="1146">
        <v>65000</v>
      </c>
      <c r="D114" s="1007">
        <v>0</v>
      </c>
    </row>
    <row r="115" spans="1:4" hidden="1" x14ac:dyDescent="0.35">
      <c r="A115" s="997" t="s">
        <v>6720</v>
      </c>
      <c r="B115" s="1146">
        <v>270400</v>
      </c>
      <c r="C115" s="1146">
        <v>270400</v>
      </c>
      <c r="D115" s="1007">
        <v>0</v>
      </c>
    </row>
    <row r="116" spans="1:4" hidden="1" x14ac:dyDescent="0.35">
      <c r="A116" s="997" t="s">
        <v>38</v>
      </c>
      <c r="B116" s="1146">
        <v>110704</v>
      </c>
      <c r="C116" s="1146">
        <v>110704</v>
      </c>
      <c r="D116" s="1007">
        <v>0</v>
      </c>
    </row>
    <row r="117" spans="1:4" hidden="1" x14ac:dyDescent="0.35">
      <c r="A117" s="997" t="s">
        <v>6955</v>
      </c>
      <c r="B117" s="1146">
        <v>975613</v>
      </c>
      <c r="C117" s="1146">
        <v>975613</v>
      </c>
      <c r="D117" s="1007">
        <v>0</v>
      </c>
    </row>
    <row r="118" spans="1:4" hidden="1" x14ac:dyDescent="0.35">
      <c r="A118" s="997" t="s">
        <v>2787</v>
      </c>
      <c r="B118" s="1146">
        <v>4910436</v>
      </c>
      <c r="C118" s="1146">
        <v>4910436</v>
      </c>
      <c r="D118" s="1007">
        <v>0</v>
      </c>
    </row>
    <row r="119" spans="1:4" hidden="1" x14ac:dyDescent="0.35">
      <c r="A119" s="997" t="s">
        <v>11271</v>
      </c>
      <c r="B119" s="1146">
        <v>34476</v>
      </c>
      <c r="C119" s="1146">
        <v>34476</v>
      </c>
      <c r="D119" s="1007">
        <v>0</v>
      </c>
    </row>
    <row r="120" spans="1:4" x14ac:dyDescent="0.35">
      <c r="A120" s="997" t="s">
        <v>11075</v>
      </c>
      <c r="B120" s="1146">
        <v>900642</v>
      </c>
      <c r="C120" s="1146">
        <v>900642</v>
      </c>
      <c r="D120" s="1007">
        <v>0</v>
      </c>
    </row>
    <row r="121" spans="1:4" x14ac:dyDescent="0.35">
      <c r="A121" s="997" t="s">
        <v>395</v>
      </c>
      <c r="B121" s="1146">
        <v>51141</v>
      </c>
      <c r="C121" s="1146">
        <v>51141</v>
      </c>
      <c r="D121" s="1007">
        <v>0</v>
      </c>
    </row>
    <row r="122" spans="1:4" x14ac:dyDescent="0.35">
      <c r="A122" s="997" t="s">
        <v>769</v>
      </c>
      <c r="B122" s="1146">
        <v>190145</v>
      </c>
      <c r="C122" s="1146">
        <v>190145</v>
      </c>
      <c r="D122" s="1007">
        <v>0</v>
      </c>
    </row>
    <row r="123" spans="1:4" x14ac:dyDescent="0.35">
      <c r="A123" s="997" t="s">
        <v>36</v>
      </c>
      <c r="B123" s="1146">
        <v>11281</v>
      </c>
      <c r="C123" s="1146">
        <v>11281</v>
      </c>
      <c r="D123" s="1007">
        <v>0</v>
      </c>
    </row>
    <row r="124" spans="1:4" x14ac:dyDescent="0.35">
      <c r="A124" s="997" t="s">
        <v>3946</v>
      </c>
      <c r="B124" s="1146">
        <v>514945</v>
      </c>
      <c r="C124" s="1146">
        <v>514945</v>
      </c>
      <c r="D124" s="1007">
        <v>0</v>
      </c>
    </row>
    <row r="125" spans="1:4" x14ac:dyDescent="0.35">
      <c r="A125" s="997" t="s">
        <v>14</v>
      </c>
      <c r="B125" s="1146">
        <v>53258</v>
      </c>
      <c r="C125" s="1146">
        <v>53258</v>
      </c>
      <c r="D125" s="1007">
        <v>0</v>
      </c>
    </row>
    <row r="126" spans="1:4" x14ac:dyDescent="0.35">
      <c r="A126" s="997" t="s">
        <v>10122</v>
      </c>
      <c r="B126" s="1146">
        <v>80000</v>
      </c>
      <c r="C126" s="1146">
        <v>80000</v>
      </c>
      <c r="D126" s="1007">
        <v>0</v>
      </c>
    </row>
    <row r="127" spans="1:4" x14ac:dyDescent="0.35">
      <c r="A127" s="997" t="s">
        <v>154</v>
      </c>
      <c r="B127" s="1146">
        <v>252400</v>
      </c>
      <c r="C127" s="1146">
        <v>252400</v>
      </c>
      <c r="D127" s="1007">
        <v>0</v>
      </c>
    </row>
    <row r="128" spans="1:4" x14ac:dyDescent="0.35">
      <c r="A128" s="997" t="s">
        <v>171</v>
      </c>
      <c r="B128" s="1146">
        <v>46541</v>
      </c>
      <c r="C128" s="1146">
        <v>46541</v>
      </c>
      <c r="D128" s="1007">
        <v>0</v>
      </c>
    </row>
    <row r="129" spans="1:4" x14ac:dyDescent="0.35">
      <c r="A129" s="997" t="s">
        <v>7067</v>
      </c>
      <c r="B129" s="1146">
        <v>1567993</v>
      </c>
      <c r="C129" s="1146">
        <v>1567993</v>
      </c>
      <c r="D129" s="1007">
        <v>0</v>
      </c>
    </row>
    <row r="130" spans="1:4" x14ac:dyDescent="0.35">
      <c r="A130" s="997" t="s">
        <v>6505</v>
      </c>
      <c r="B130" s="1146">
        <v>156073</v>
      </c>
      <c r="C130" s="1146">
        <v>156073</v>
      </c>
      <c r="D130" s="1007">
        <v>0</v>
      </c>
    </row>
    <row r="131" spans="1:4" x14ac:dyDescent="0.35">
      <c r="A131" s="997" t="s">
        <v>3733</v>
      </c>
      <c r="B131" s="1146">
        <v>633124</v>
      </c>
      <c r="C131" s="1146">
        <v>633124</v>
      </c>
      <c r="D131" s="1007">
        <v>0</v>
      </c>
    </row>
    <row r="132" spans="1:4" x14ac:dyDescent="0.35">
      <c r="A132" s="997" t="s">
        <v>6103</v>
      </c>
      <c r="B132" s="1146">
        <v>126398</v>
      </c>
      <c r="C132" s="1146">
        <v>126398</v>
      </c>
      <c r="D132" s="1007">
        <v>0</v>
      </c>
    </row>
    <row r="133" spans="1:4" x14ac:dyDescent="0.35">
      <c r="A133" s="997" t="s">
        <v>5811</v>
      </c>
      <c r="B133" s="1146">
        <v>317719</v>
      </c>
      <c r="C133" s="1146">
        <v>317719</v>
      </c>
      <c r="D133" s="1007">
        <v>0</v>
      </c>
    </row>
    <row r="134" spans="1:4" x14ac:dyDescent="0.35">
      <c r="A134" s="997" t="s">
        <v>40</v>
      </c>
      <c r="B134" s="1146">
        <v>4932021</v>
      </c>
      <c r="C134" s="1146">
        <v>4949540</v>
      </c>
      <c r="D134" s="1007">
        <v>-17519</v>
      </c>
    </row>
    <row r="135" spans="1:4" ht="24" thickBot="1" x14ac:dyDescent="0.4">
      <c r="A135" s="997" t="s">
        <v>75</v>
      </c>
      <c r="B135" s="1146">
        <v>65754</v>
      </c>
      <c r="C135" s="1146">
        <v>2236297</v>
      </c>
      <c r="D135" s="1007">
        <v>-2170543</v>
      </c>
    </row>
    <row r="136" spans="1:4" ht="24" thickBot="1" x14ac:dyDescent="0.4">
      <c r="A136" s="1009" t="s">
        <v>45</v>
      </c>
      <c r="B136" s="1010">
        <v>239170353.5</v>
      </c>
      <c r="C136" s="1011">
        <v>227481515</v>
      </c>
      <c r="D136" s="1012">
        <v>11688838.5</v>
      </c>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K21" sqref="K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54" t="s">
        <v>10314</v>
      </c>
      <c r="B4" s="1255"/>
      <c r="C4" s="1256"/>
      <c r="E4" s="1254" t="s">
        <v>8022</v>
      </c>
      <c r="F4" s="1255"/>
      <c r="G4" s="1256"/>
      <c r="I4" s="1254" t="s">
        <v>7088</v>
      </c>
      <c r="J4" s="1255"/>
      <c r="K4" s="1256"/>
      <c r="M4" s="1254" t="s">
        <v>6017</v>
      </c>
      <c r="N4" s="1255"/>
      <c r="O4" s="1256"/>
      <c r="Q4" s="1254" t="s">
        <v>5069</v>
      </c>
      <c r="R4" s="1255"/>
      <c r="S4" s="1256"/>
      <c r="U4" s="1254" t="s">
        <v>3663</v>
      </c>
      <c r="V4" s="1255"/>
      <c r="W4" s="1256"/>
      <c r="Y4" s="1254" t="s">
        <v>2640</v>
      </c>
      <c r="Z4" s="1255"/>
      <c r="AA4" s="1256"/>
      <c r="AC4" s="1282" t="s">
        <v>6019</v>
      </c>
      <c r="AD4" s="1283"/>
      <c r="AE4" s="1284"/>
      <c r="AG4" s="1273" t="s">
        <v>1085</v>
      </c>
      <c r="AH4" s="1274"/>
      <c r="AI4" s="1275"/>
    </row>
    <row r="5" spans="1:42" ht="21" customHeight="1" x14ac:dyDescent="0.25">
      <c r="A5" s="1257"/>
      <c r="B5" s="1258"/>
      <c r="C5" s="1259"/>
      <c r="E5" s="1257"/>
      <c r="F5" s="1258"/>
      <c r="G5" s="1259"/>
      <c r="I5" s="1257"/>
      <c r="J5" s="1258"/>
      <c r="K5" s="1259"/>
      <c r="M5" s="1257"/>
      <c r="N5" s="1258"/>
      <c r="O5" s="1259"/>
      <c r="Q5" s="1257"/>
      <c r="R5" s="1258"/>
      <c r="S5" s="1259"/>
      <c r="U5" s="1257"/>
      <c r="V5" s="1258"/>
      <c r="W5" s="1259"/>
      <c r="Y5" s="1257"/>
      <c r="Z5" s="1258"/>
      <c r="AA5" s="1259"/>
      <c r="AB5" s="3"/>
      <c r="AC5" s="1285"/>
      <c r="AD5" s="1286"/>
      <c r="AE5" s="1287"/>
      <c r="AG5" s="1273"/>
      <c r="AH5" s="1274"/>
      <c r="AI5" s="1275"/>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SUM(Posting!E18788:E22879)</f>
        <v>5837285</v>
      </c>
      <c r="C15" s="276">
        <f>SUM(Posting!F18788:F22879)</f>
        <v>35766220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SUM(Posting!B15267:B22711)</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218723859.31776047</v>
      </c>
      <c r="C19" s="279">
        <f>SUM(C7:C18)</f>
        <v>269291255</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50567395.682239532</v>
      </c>
      <c r="G21" s="699">
        <f>G19-F19</f>
        <v>46800541.815737337</v>
      </c>
      <c r="K21" s="699">
        <f>K19-J19</f>
        <v>15703108.030833334</v>
      </c>
      <c r="O21" s="3">
        <f>O19-N19</f>
        <v>12408423.384024575</v>
      </c>
      <c r="Z21" s="3"/>
    </row>
    <row r="22" spans="1:37" ht="15.75" x14ac:dyDescent="0.25">
      <c r="A22" s="1260"/>
      <c r="B22" s="1260"/>
      <c r="C22" s="1"/>
      <c r="G22" s="699"/>
      <c r="I22" s="1260" t="s">
        <v>7707</v>
      </c>
      <c r="J22" s="1260"/>
      <c r="K22" s="1">
        <v>2831635</v>
      </c>
      <c r="Q22" s="3">
        <f>O19-N19</f>
        <v>12408423.384024575</v>
      </c>
      <c r="U22" s="3"/>
      <c r="V22" s="3"/>
      <c r="Y22" s="3"/>
      <c r="AC22" s="3"/>
      <c r="AG22" s="3"/>
    </row>
    <row r="23" spans="1:37" ht="15.75" customHeight="1" x14ac:dyDescent="0.3">
      <c r="A23" s="1260"/>
      <c r="B23" s="1260"/>
      <c r="C23" s="1"/>
      <c r="E23" s="1261" t="s">
        <v>11407</v>
      </c>
      <c r="F23" s="1261"/>
      <c r="G23" s="1261"/>
      <c r="I23" s="1260" t="s">
        <v>7708</v>
      </c>
      <c r="J23" s="1260"/>
      <c r="K23" s="1">
        <v>476160</v>
      </c>
      <c r="Q23" s="1">
        <v>12408423</v>
      </c>
      <c r="S23" s="3"/>
      <c r="U23" s="1"/>
      <c r="Y23" s="1"/>
      <c r="AC23" s="1"/>
      <c r="AG23" s="1"/>
    </row>
    <row r="24" spans="1:37" ht="21" x14ac:dyDescent="0.25">
      <c r="A24" s="1260"/>
      <c r="B24" s="1260"/>
      <c r="C24" s="1"/>
      <c r="E24" s="1057" t="s">
        <v>892</v>
      </c>
      <c r="F24" s="1057" t="s">
        <v>3</v>
      </c>
      <c r="G24" s="1057" t="s">
        <v>4</v>
      </c>
      <c r="I24" s="1260" t="s">
        <v>8180</v>
      </c>
      <c r="J24" s="1260"/>
      <c r="K24" s="1">
        <v>2434251</v>
      </c>
    </row>
    <row r="25" spans="1:37" ht="18.75" x14ac:dyDescent="0.25">
      <c r="C25" s="3"/>
      <c r="E25" s="2" t="s">
        <v>11409</v>
      </c>
      <c r="F25" s="1022">
        <f ca="1">SUMIF(Posting!$B:$E,"Meezan Bank Head Office",Posting!$E:$E)</f>
        <v>23796095</v>
      </c>
      <c r="G25" s="1022">
        <f ca="1">SUMIF(Posting!$B:$F,"Meezan Bank Head Office",Posting!$F:$F)</f>
        <v>19830000</v>
      </c>
      <c r="K25" s="3">
        <f>K21-K22-K23-K24</f>
        <v>9961062.0308333337</v>
      </c>
    </row>
    <row r="26" spans="1:37" ht="18.75" x14ac:dyDescent="0.25">
      <c r="E26" s="2" t="s">
        <v>11408</v>
      </c>
      <c r="F26" s="1022">
        <f ca="1">SUMIF(Posting!$B:$E,"Saifee Hospital",Posting!$E:$E)</f>
        <v>2754240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125744620.60426268</v>
      </c>
      <c r="G28" s="279">
        <f ca="1">G19-G25-G26</f>
        <v>174931246.42000002</v>
      </c>
      <c r="K28" s="3"/>
    </row>
    <row r="29" spans="1:37" x14ac:dyDescent="0.25">
      <c r="F29" s="1"/>
      <c r="G29" s="3"/>
    </row>
    <row r="30" spans="1:37" ht="15.75" x14ac:dyDescent="0.25">
      <c r="B30" s="3"/>
      <c r="G30" s="699">
        <f ca="1">G28-F28</f>
        <v>49186625.815737337</v>
      </c>
    </row>
    <row r="32" spans="1:37" x14ac:dyDescent="0.25">
      <c r="F32" s="3"/>
    </row>
    <row r="37" spans="32:42" ht="15.75" thickBot="1" x14ac:dyDescent="0.3"/>
    <row r="38" spans="32:42" ht="15" customHeight="1" x14ac:dyDescent="0.25">
      <c r="AF38" s="1264" t="s">
        <v>2641</v>
      </c>
      <c r="AG38" s="1265"/>
      <c r="AH38" s="1265"/>
      <c r="AI38" s="1265"/>
      <c r="AJ38" s="1265"/>
      <c r="AK38" s="1265"/>
      <c r="AL38" s="1265"/>
      <c r="AM38" s="1265"/>
      <c r="AN38" s="1265"/>
      <c r="AO38" s="1265"/>
      <c r="AP38" s="1266"/>
    </row>
    <row r="39" spans="32:42" ht="15" customHeight="1" x14ac:dyDescent="0.25">
      <c r="AF39" s="1267"/>
      <c r="AG39" s="1268"/>
      <c r="AH39" s="1268"/>
      <c r="AI39" s="1268"/>
      <c r="AJ39" s="1268"/>
      <c r="AK39" s="1268"/>
      <c r="AL39" s="1268"/>
      <c r="AM39" s="1268"/>
      <c r="AN39" s="1268"/>
      <c r="AO39" s="1268"/>
      <c r="AP39" s="1269"/>
    </row>
    <row r="40" spans="32:42" ht="15.75" thickBot="1" x14ac:dyDescent="0.3">
      <c r="AF40" s="1270"/>
      <c r="AG40" s="1271"/>
      <c r="AH40" s="1271"/>
      <c r="AI40" s="1271"/>
      <c r="AJ40" s="1271"/>
      <c r="AK40" s="1271"/>
      <c r="AL40" s="1271"/>
      <c r="AM40" s="1271"/>
      <c r="AN40" s="1271"/>
      <c r="AO40" s="1271"/>
      <c r="AP40" s="1272"/>
    </row>
    <row r="41" spans="32:42" ht="14.45" customHeight="1" x14ac:dyDescent="0.25">
      <c r="AN41" s="1262" t="s">
        <v>2640</v>
      </c>
      <c r="AO41" s="1262"/>
      <c r="AP41" s="1262"/>
    </row>
    <row r="42" spans="32:42" ht="26.25" customHeight="1" x14ac:dyDescent="0.25">
      <c r="AN42" s="1263"/>
      <c r="AO42" s="1263"/>
      <c r="AP42" s="1263"/>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76" t="s">
        <v>1201</v>
      </c>
      <c r="AG58" s="1277"/>
      <c r="AH58" s="1278"/>
    </row>
    <row r="59" spans="32:42" ht="15" hidden="1" customHeight="1" x14ac:dyDescent="0.25">
      <c r="AF59" s="1279"/>
      <c r="AG59" s="1280"/>
      <c r="AH59" s="1281"/>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0" t="s">
        <v>1767</v>
      </c>
      <c r="B1" s="1310"/>
      <c r="C1" s="1310"/>
      <c r="D1" s="1310"/>
      <c r="E1" s="1310"/>
      <c r="F1" s="1310"/>
      <c r="G1" s="1310"/>
      <c r="H1" s="1310"/>
      <c r="I1" s="1310"/>
      <c r="J1" s="1310"/>
      <c r="K1" s="1310"/>
      <c r="L1" s="1310"/>
      <c r="M1" s="1310"/>
      <c r="N1" s="1310"/>
    </row>
    <row r="2" spans="1:14" ht="14.45" customHeight="1" x14ac:dyDescent="0.25">
      <c r="A2" s="1310"/>
      <c r="B2" s="1310"/>
      <c r="C2" s="1310"/>
      <c r="D2" s="1310"/>
      <c r="E2" s="1310"/>
      <c r="F2" s="1310"/>
      <c r="G2" s="1310"/>
      <c r="H2" s="1310"/>
      <c r="I2" s="1310"/>
      <c r="J2" s="1310"/>
      <c r="K2" s="1310"/>
      <c r="L2" s="1310"/>
      <c r="M2" s="1310"/>
      <c r="N2" s="1310"/>
    </row>
    <row r="3" spans="1:14" ht="14.45" customHeight="1" x14ac:dyDescent="0.25">
      <c r="A3" s="1311" t="s">
        <v>4713</v>
      </c>
      <c r="B3" s="1311"/>
      <c r="C3" s="1311"/>
      <c r="D3" s="1311"/>
      <c r="E3" s="1311"/>
      <c r="F3" s="1311"/>
      <c r="G3" s="1311"/>
      <c r="H3" s="1311"/>
      <c r="I3" s="1311"/>
      <c r="J3" s="1311"/>
      <c r="K3" s="1311"/>
      <c r="L3" s="1311"/>
      <c r="M3" s="1311"/>
      <c r="N3" s="1311"/>
    </row>
    <row r="4" spans="1:14" ht="14.45" customHeight="1" x14ac:dyDescent="0.25">
      <c r="A4" s="1311"/>
      <c r="B4" s="1311"/>
      <c r="C4" s="1311"/>
      <c r="D4" s="1311"/>
      <c r="E4" s="1311"/>
      <c r="F4" s="1311"/>
      <c r="G4" s="1311"/>
      <c r="H4" s="1311"/>
      <c r="I4" s="1311"/>
      <c r="J4" s="1311"/>
      <c r="K4" s="1311"/>
      <c r="L4" s="1311"/>
      <c r="M4" s="1311"/>
      <c r="N4" s="1311"/>
    </row>
    <row r="6" spans="1:14" x14ac:dyDescent="0.25">
      <c r="A6" s="1308" t="s">
        <v>5990</v>
      </c>
      <c r="B6" s="1308"/>
      <c r="C6" s="1308"/>
      <c r="D6" s="1308"/>
      <c r="E6" s="1308"/>
      <c r="F6" s="1308"/>
      <c r="G6" s="1308"/>
      <c r="H6" s="1308"/>
      <c r="I6" s="1308"/>
      <c r="J6" s="1308"/>
      <c r="K6" s="1308"/>
      <c r="L6" s="1308"/>
      <c r="M6" s="1308"/>
      <c r="N6" s="1308"/>
    </row>
    <row r="7" spans="1:14" x14ac:dyDescent="0.25">
      <c r="A7" s="1308"/>
      <c r="B7" s="1308"/>
      <c r="C7" s="1308"/>
      <c r="D7" s="1308"/>
      <c r="E7" s="1308"/>
      <c r="F7" s="1308"/>
      <c r="G7" s="1308"/>
      <c r="H7" s="1308"/>
      <c r="I7" s="1308"/>
      <c r="J7" s="1308"/>
      <c r="K7" s="1308"/>
      <c r="L7" s="1308"/>
      <c r="M7" s="1308"/>
      <c r="N7" s="1308"/>
    </row>
    <row r="8" spans="1:14" x14ac:dyDescent="0.25">
      <c r="A8" s="1309" t="s">
        <v>6021</v>
      </c>
      <c r="B8" s="1309"/>
      <c r="C8" s="1309"/>
      <c r="D8" s="1309"/>
      <c r="E8" s="1309"/>
      <c r="F8" s="1309"/>
      <c r="G8" s="1309"/>
      <c r="H8" s="1309"/>
      <c r="I8" s="1309"/>
      <c r="J8" s="1309"/>
      <c r="K8" s="1309"/>
      <c r="L8" s="1309"/>
      <c r="M8" s="1309"/>
      <c r="N8" s="1309"/>
    </row>
    <row r="9" spans="1:14" x14ac:dyDescent="0.25">
      <c r="A9" s="1309"/>
      <c r="B9" s="1309"/>
      <c r="C9" s="1309"/>
      <c r="D9" s="1309"/>
      <c r="E9" s="1309"/>
      <c r="F9" s="1309"/>
      <c r="G9" s="1309"/>
      <c r="H9" s="1309"/>
      <c r="I9" s="1309"/>
      <c r="J9" s="1309"/>
      <c r="K9" s="1309"/>
      <c r="L9" s="1309"/>
      <c r="M9" s="1309"/>
      <c r="N9" s="1309"/>
    </row>
    <row r="10" spans="1:14" ht="14.45" customHeight="1" x14ac:dyDescent="0.25">
      <c r="A10" s="1297" t="s">
        <v>1894</v>
      </c>
      <c r="B10" s="1298"/>
      <c r="C10" s="1298"/>
      <c r="D10" s="1299"/>
      <c r="E10" s="463"/>
      <c r="F10" s="1306" t="s">
        <v>4751</v>
      </c>
      <c r="G10" s="1306"/>
      <c r="H10" s="1306"/>
      <c r="I10" s="1306"/>
      <c r="K10" s="1307" t="s">
        <v>1202</v>
      </c>
      <c r="L10" s="1307"/>
      <c r="M10" s="1307"/>
      <c r="N10" s="1307"/>
    </row>
    <row r="11" spans="1:14" ht="14.45" customHeight="1" x14ac:dyDescent="0.25">
      <c r="A11" s="1300"/>
      <c r="B11" s="1301"/>
      <c r="C11" s="1301"/>
      <c r="D11" s="1302"/>
      <c r="E11" s="464"/>
      <c r="F11" s="1306"/>
      <c r="G11" s="1306"/>
      <c r="H11" s="1306"/>
      <c r="I11" s="1306"/>
      <c r="K11" s="1307"/>
      <c r="L11" s="1307"/>
      <c r="M11" s="1307"/>
      <c r="N11" s="1307"/>
    </row>
    <row r="12" spans="1:14" ht="14.45" customHeight="1" x14ac:dyDescent="0.25">
      <c r="A12" s="1303"/>
      <c r="B12" s="1304"/>
      <c r="C12" s="1304"/>
      <c r="D12" s="1305"/>
      <c r="E12" s="465"/>
      <c r="F12" s="1306"/>
      <c r="G12" s="1306"/>
      <c r="H12" s="1306"/>
      <c r="I12" s="1306"/>
      <c r="K12" s="1307"/>
      <c r="L12" s="1307"/>
      <c r="M12" s="1307"/>
      <c r="N12" s="1307"/>
    </row>
    <row r="13" spans="1:14" ht="27" thickBot="1" x14ac:dyDescent="0.3">
      <c r="A13" s="1288" t="s">
        <v>4590</v>
      </c>
      <c r="B13" s="1289"/>
      <c r="C13" s="1289"/>
      <c r="D13" s="1290"/>
      <c r="E13" s="466"/>
      <c r="F13" s="1291" t="s">
        <v>4590</v>
      </c>
      <c r="G13" s="1292"/>
      <c r="H13" s="1292"/>
      <c r="I13" s="1293"/>
      <c r="K13" s="1291" t="s">
        <v>4590</v>
      </c>
      <c r="L13" s="1292"/>
      <c r="M13" s="1292"/>
      <c r="N13" s="1293"/>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94" t="s">
        <v>4596</v>
      </c>
      <c r="B39" s="1294"/>
      <c r="C39" s="1294"/>
      <c r="D39" s="205">
        <f>SUM(D15:D38)</f>
        <v>6567291</v>
      </c>
      <c r="E39" s="472"/>
      <c r="F39" s="1295" t="s">
        <v>4596</v>
      </c>
      <c r="G39" s="1295"/>
      <c r="H39" s="1296"/>
      <c r="I39" s="429">
        <f>SUM(I15:I38)</f>
        <v>6374135</v>
      </c>
      <c r="K39" s="1295" t="s">
        <v>4596</v>
      </c>
      <c r="L39" s="1295"/>
      <c r="M39" s="1296"/>
      <c r="N39" s="429">
        <f>SUM(N15:N38)</f>
        <v>6374135</v>
      </c>
    </row>
    <row r="40" spans="1:14" x14ac:dyDescent="0.25">
      <c r="D40" s="50"/>
      <c r="E40" s="472"/>
      <c r="I40" s="50"/>
    </row>
    <row r="41" spans="1:14" x14ac:dyDescent="0.25">
      <c r="D41" s="50"/>
      <c r="E41" s="472"/>
      <c r="I41" s="50"/>
    </row>
    <row r="42" spans="1:14" x14ac:dyDescent="0.25">
      <c r="A42" s="1308" t="s">
        <v>6137</v>
      </c>
      <c r="B42" s="1308"/>
      <c r="C42" s="1308"/>
      <c r="D42" s="1308"/>
      <c r="E42" s="1308"/>
      <c r="F42" s="1308"/>
      <c r="G42" s="1308"/>
      <c r="H42" s="1308"/>
      <c r="I42" s="1308"/>
      <c r="J42" s="1308"/>
      <c r="K42" s="1308"/>
      <c r="L42" s="1308"/>
      <c r="M42" s="1308"/>
      <c r="N42" s="1308"/>
    </row>
    <row r="43" spans="1:14" x14ac:dyDescent="0.25">
      <c r="A43" s="1308"/>
      <c r="B43" s="1308"/>
      <c r="C43" s="1308"/>
      <c r="D43" s="1308"/>
      <c r="E43" s="1308"/>
      <c r="F43" s="1308"/>
      <c r="G43" s="1308"/>
      <c r="H43" s="1308"/>
      <c r="I43" s="1308"/>
      <c r="J43" s="1308"/>
      <c r="K43" s="1308"/>
      <c r="L43" s="1308"/>
      <c r="M43" s="1308"/>
      <c r="N43" s="1308"/>
    </row>
    <row r="44" spans="1:14" x14ac:dyDescent="0.25">
      <c r="A44" s="1309" t="s">
        <v>6138</v>
      </c>
      <c r="B44" s="1309"/>
      <c r="C44" s="1309"/>
      <c r="D44" s="1309"/>
      <c r="E44" s="1309"/>
      <c r="F44" s="1309"/>
      <c r="G44" s="1309"/>
      <c r="H44" s="1309"/>
      <c r="I44" s="1309"/>
      <c r="J44" s="1309"/>
      <c r="K44" s="1309"/>
      <c r="L44" s="1309"/>
      <c r="M44" s="1309"/>
      <c r="N44" s="1309"/>
    </row>
    <row r="45" spans="1:14" x14ac:dyDescent="0.25">
      <c r="A45" s="1309"/>
      <c r="B45" s="1309"/>
      <c r="C45" s="1309"/>
      <c r="D45" s="1309"/>
      <c r="E45" s="1309"/>
      <c r="F45" s="1309"/>
      <c r="G45" s="1309"/>
      <c r="H45" s="1309"/>
      <c r="I45" s="1309"/>
      <c r="J45" s="1309"/>
      <c r="K45" s="1309"/>
      <c r="L45" s="1309"/>
      <c r="M45" s="1309"/>
      <c r="N45" s="1309"/>
    </row>
    <row r="46" spans="1:14" ht="14.45" customHeight="1" x14ac:dyDescent="0.25">
      <c r="A46" s="1297" t="s">
        <v>1894</v>
      </c>
      <c r="B46" s="1298"/>
      <c r="C46" s="1298"/>
      <c r="D46" s="1299"/>
      <c r="E46" s="463"/>
      <c r="F46" s="1306" t="s">
        <v>4751</v>
      </c>
      <c r="G46" s="1306"/>
      <c r="H46" s="1306"/>
      <c r="I46" s="1306"/>
      <c r="K46" s="1307" t="s">
        <v>1202</v>
      </c>
      <c r="L46" s="1307"/>
      <c r="M46" s="1307"/>
      <c r="N46" s="1307"/>
    </row>
    <row r="47" spans="1:14" ht="14.45" customHeight="1" x14ac:dyDescent="0.25">
      <c r="A47" s="1300"/>
      <c r="B47" s="1301"/>
      <c r="C47" s="1301"/>
      <c r="D47" s="1302"/>
      <c r="E47" s="464"/>
      <c r="F47" s="1306"/>
      <c r="G47" s="1306"/>
      <c r="H47" s="1306"/>
      <c r="I47" s="1306"/>
      <c r="K47" s="1307"/>
      <c r="L47" s="1307"/>
      <c r="M47" s="1307"/>
      <c r="N47" s="1307"/>
    </row>
    <row r="48" spans="1:14" ht="14.45" customHeight="1" x14ac:dyDescent="0.25">
      <c r="A48" s="1303"/>
      <c r="B48" s="1304"/>
      <c r="C48" s="1304"/>
      <c r="D48" s="1305"/>
      <c r="E48" s="465"/>
      <c r="F48" s="1306"/>
      <c r="G48" s="1306"/>
      <c r="H48" s="1306"/>
      <c r="I48" s="1306"/>
      <c r="K48" s="1307"/>
      <c r="L48" s="1307"/>
      <c r="M48" s="1307"/>
      <c r="N48" s="1307"/>
    </row>
    <row r="49" spans="1:14" ht="27" thickBot="1" x14ac:dyDescent="0.3">
      <c r="A49" s="1288" t="s">
        <v>4590</v>
      </c>
      <c r="B49" s="1289"/>
      <c r="C49" s="1289"/>
      <c r="D49" s="1290"/>
      <c r="E49" s="466"/>
      <c r="F49" s="1291" t="s">
        <v>4590</v>
      </c>
      <c r="G49" s="1292"/>
      <c r="H49" s="1292"/>
      <c r="I49" s="1293"/>
      <c r="K49" s="1291" t="s">
        <v>4590</v>
      </c>
      <c r="L49" s="1292"/>
      <c r="M49" s="1292"/>
      <c r="N49" s="1293"/>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94" t="s">
        <v>4596</v>
      </c>
      <c r="B79" s="1294"/>
      <c r="C79" s="1294"/>
      <c r="D79" s="205">
        <f>SUM(D51:D78)</f>
        <v>4135000</v>
      </c>
      <c r="E79" s="472"/>
      <c r="F79" s="1295" t="s">
        <v>4596</v>
      </c>
      <c r="G79" s="1295"/>
      <c r="H79" s="1296"/>
      <c r="I79" s="205">
        <f>SUM(I51:I78)</f>
        <v>4012280</v>
      </c>
      <c r="K79" s="1295" t="s">
        <v>4596</v>
      </c>
      <c r="L79" s="1295"/>
      <c r="M79" s="1296"/>
      <c r="N79" s="205">
        <f>SUM(N51:N78)</f>
        <v>4012280</v>
      </c>
    </row>
    <row r="82" spans="1:14" ht="27.75" customHeight="1" x14ac:dyDescent="0.25">
      <c r="A82" s="1308" t="s">
        <v>7091</v>
      </c>
      <c r="B82" s="1308"/>
      <c r="C82" s="1308"/>
      <c r="D82" s="1308"/>
      <c r="E82" s="1308"/>
      <c r="F82" s="1308"/>
      <c r="G82" s="1308"/>
      <c r="H82" s="1308"/>
      <c r="I82" s="1308"/>
      <c r="J82" s="1308"/>
      <c r="K82" s="1308"/>
      <c r="L82" s="1308"/>
      <c r="M82" s="1308"/>
      <c r="N82" s="1308"/>
    </row>
    <row r="83" spans="1:14" ht="15" customHeight="1" x14ac:dyDescent="0.25">
      <c r="A83" s="1309" t="s">
        <v>7092</v>
      </c>
      <c r="B83" s="1309"/>
      <c r="C83" s="1309"/>
      <c r="D83" s="1309"/>
      <c r="E83" s="1309"/>
      <c r="F83" s="1309"/>
      <c r="G83" s="1309"/>
      <c r="H83" s="1309"/>
      <c r="I83" s="1309"/>
      <c r="J83" s="1309"/>
      <c r="K83" s="1309"/>
      <c r="L83" s="1309"/>
      <c r="M83" s="1309"/>
      <c r="N83" s="1309"/>
    </row>
    <row r="84" spans="1:14" ht="15" customHeight="1" x14ac:dyDescent="0.25">
      <c r="A84" s="1309"/>
      <c r="B84" s="1309"/>
      <c r="C84" s="1309"/>
      <c r="D84" s="1309"/>
      <c r="E84" s="1309"/>
      <c r="F84" s="1309"/>
      <c r="G84" s="1309"/>
      <c r="H84" s="1309"/>
      <c r="I84" s="1309"/>
      <c r="J84" s="1309"/>
      <c r="K84" s="1309"/>
      <c r="L84" s="1309"/>
      <c r="M84" s="1309"/>
      <c r="N84" s="1309"/>
    </row>
    <row r="85" spans="1:14" ht="14.45" customHeight="1" x14ac:dyDescent="0.25">
      <c r="A85" s="1297" t="s">
        <v>1894</v>
      </c>
      <c r="B85" s="1298"/>
      <c r="C85" s="1298"/>
      <c r="D85" s="1299"/>
      <c r="E85" s="463"/>
      <c r="F85" s="1306" t="s">
        <v>4751</v>
      </c>
      <c r="G85" s="1306"/>
      <c r="H85" s="1306"/>
      <c r="I85" s="1306"/>
      <c r="K85" s="1307" t="s">
        <v>1202</v>
      </c>
      <c r="L85" s="1307"/>
      <c r="M85" s="1307"/>
      <c r="N85" s="1307"/>
    </row>
    <row r="86" spans="1:14" ht="14.45" customHeight="1" x14ac:dyDescent="0.25">
      <c r="A86" s="1300"/>
      <c r="B86" s="1301"/>
      <c r="C86" s="1301"/>
      <c r="D86" s="1302"/>
      <c r="E86" s="464"/>
      <c r="F86" s="1306"/>
      <c r="G86" s="1306"/>
      <c r="H86" s="1306"/>
      <c r="I86" s="1306"/>
      <c r="K86" s="1307"/>
      <c r="L86" s="1307"/>
      <c r="M86" s="1307"/>
      <c r="N86" s="1307"/>
    </row>
    <row r="87" spans="1:14" ht="14.45" customHeight="1" x14ac:dyDescent="0.25">
      <c r="A87" s="1303"/>
      <c r="B87" s="1304"/>
      <c r="C87" s="1304"/>
      <c r="D87" s="1305"/>
      <c r="E87" s="465"/>
      <c r="F87" s="1306"/>
      <c r="G87" s="1306"/>
      <c r="H87" s="1306"/>
      <c r="I87" s="1306"/>
      <c r="K87" s="1307"/>
      <c r="L87" s="1307"/>
      <c r="M87" s="1307"/>
      <c r="N87" s="1307"/>
    </row>
    <row r="88" spans="1:14" ht="27" thickBot="1" x14ac:dyDescent="0.3">
      <c r="A88" s="1288" t="s">
        <v>4590</v>
      </c>
      <c r="B88" s="1289"/>
      <c r="C88" s="1289"/>
      <c r="D88" s="1290"/>
      <c r="E88" s="466"/>
      <c r="F88" s="1291" t="s">
        <v>4590</v>
      </c>
      <c r="G88" s="1292"/>
      <c r="H88" s="1292"/>
      <c r="I88" s="1293"/>
      <c r="K88" s="1291" t="s">
        <v>4590</v>
      </c>
      <c r="L88" s="1292"/>
      <c r="M88" s="1292"/>
      <c r="N88" s="1293"/>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94" t="s">
        <v>4596</v>
      </c>
      <c r="B109" s="1294"/>
      <c r="C109" s="1294"/>
      <c r="D109" s="205">
        <f>SUM(D90:D108)</f>
        <v>4677000</v>
      </c>
      <c r="E109" s="472"/>
      <c r="F109" s="1295" t="s">
        <v>4596</v>
      </c>
      <c r="G109" s="1295"/>
      <c r="H109" s="1296"/>
      <c r="I109" s="429">
        <f>SUM(I90:I107)</f>
        <v>4531000</v>
      </c>
      <c r="K109" s="1295" t="s">
        <v>4596</v>
      </c>
      <c r="L109" s="1295"/>
      <c r="M109" s="1296"/>
      <c r="N109" s="429">
        <f>SUM(N90:N107)</f>
        <v>4531779</v>
      </c>
    </row>
    <row r="112" spans="1:14" ht="27.75" customHeight="1" x14ac:dyDescent="0.25">
      <c r="A112" s="1308" t="s">
        <v>10437</v>
      </c>
      <c r="B112" s="1308"/>
      <c r="C112" s="1308"/>
      <c r="D112" s="1308"/>
      <c r="E112" s="1308"/>
      <c r="F112" s="1308"/>
      <c r="G112" s="1308"/>
      <c r="H112" s="1308"/>
      <c r="I112" s="1308"/>
      <c r="J112" s="1308"/>
      <c r="K112" s="1308"/>
      <c r="L112" s="1308"/>
      <c r="M112" s="1308"/>
      <c r="N112" s="1308"/>
    </row>
    <row r="113" spans="1:14" ht="15" customHeight="1" x14ac:dyDescent="0.25">
      <c r="A113" s="1309" t="s">
        <v>10438</v>
      </c>
      <c r="B113" s="1309"/>
      <c r="C113" s="1309"/>
      <c r="D113" s="1309"/>
      <c r="E113" s="1309"/>
      <c r="F113" s="1309"/>
      <c r="G113" s="1309"/>
      <c r="H113" s="1309"/>
      <c r="I113" s="1309"/>
      <c r="J113" s="1309"/>
      <c r="K113" s="1309"/>
      <c r="L113" s="1309"/>
      <c r="M113" s="1309"/>
      <c r="N113" s="1309"/>
    </row>
    <row r="114" spans="1:14" ht="15" customHeight="1" x14ac:dyDescent="0.25">
      <c r="A114" s="1309"/>
      <c r="B114" s="1309"/>
      <c r="C114" s="1309"/>
      <c r="D114" s="1309"/>
      <c r="E114" s="1309"/>
      <c r="F114" s="1309"/>
      <c r="G114" s="1309"/>
      <c r="H114" s="1309"/>
      <c r="I114" s="1309"/>
      <c r="J114" s="1309"/>
      <c r="K114" s="1309"/>
      <c r="L114" s="1309"/>
      <c r="M114" s="1309"/>
      <c r="N114" s="1309"/>
    </row>
    <row r="115" spans="1:14" ht="14.45" customHeight="1" x14ac:dyDescent="0.25">
      <c r="A115" s="1297" t="s">
        <v>1894</v>
      </c>
      <c r="B115" s="1298"/>
      <c r="C115" s="1298"/>
      <c r="D115" s="1299"/>
      <c r="E115" s="463"/>
      <c r="F115" s="1306" t="s">
        <v>4751</v>
      </c>
      <c r="G115" s="1306"/>
      <c r="H115" s="1306"/>
      <c r="I115" s="1306"/>
      <c r="K115" s="1307" t="s">
        <v>1202</v>
      </c>
      <c r="L115" s="1307"/>
      <c r="M115" s="1307"/>
      <c r="N115" s="1307"/>
    </row>
    <row r="116" spans="1:14" ht="14.45" customHeight="1" x14ac:dyDescent="0.25">
      <c r="A116" s="1300"/>
      <c r="B116" s="1301"/>
      <c r="C116" s="1301"/>
      <c r="D116" s="1302"/>
      <c r="E116" s="464"/>
      <c r="F116" s="1306"/>
      <c r="G116" s="1306"/>
      <c r="H116" s="1306"/>
      <c r="I116" s="1306"/>
      <c r="K116" s="1307"/>
      <c r="L116" s="1307"/>
      <c r="M116" s="1307"/>
      <c r="N116" s="1307"/>
    </row>
    <row r="117" spans="1:14" ht="14.45" customHeight="1" x14ac:dyDescent="0.25">
      <c r="A117" s="1303"/>
      <c r="B117" s="1304"/>
      <c r="C117" s="1304"/>
      <c r="D117" s="1305"/>
      <c r="E117" s="465"/>
      <c r="F117" s="1306"/>
      <c r="G117" s="1306"/>
      <c r="H117" s="1306"/>
      <c r="I117" s="1306"/>
      <c r="K117" s="1307"/>
      <c r="L117" s="1307"/>
      <c r="M117" s="1307"/>
      <c r="N117" s="1307"/>
    </row>
    <row r="118" spans="1:14" ht="27" thickBot="1" x14ac:dyDescent="0.3">
      <c r="A118" s="1288" t="s">
        <v>4590</v>
      </c>
      <c r="B118" s="1289"/>
      <c r="C118" s="1289"/>
      <c r="D118" s="1290"/>
      <c r="E118" s="466"/>
      <c r="F118" s="1291" t="s">
        <v>4590</v>
      </c>
      <c r="G118" s="1292"/>
      <c r="H118" s="1292"/>
      <c r="I118" s="1293"/>
      <c r="K118" s="1291" t="s">
        <v>4590</v>
      </c>
      <c r="L118" s="1292"/>
      <c r="M118" s="1292"/>
      <c r="N118" s="1293"/>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12604</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94" t="s">
        <v>4596</v>
      </c>
      <c r="B139" s="1294"/>
      <c r="C139" s="1294"/>
      <c r="D139" s="205">
        <f>SUM(D120:D138)</f>
        <v>3885000</v>
      </c>
      <c r="E139" s="472"/>
      <c r="F139" s="1295" t="s">
        <v>4596</v>
      </c>
      <c r="G139" s="1295"/>
      <c r="H139" s="1296"/>
      <c r="I139" s="429">
        <f>SUM(I120:I137)</f>
        <v>11609683</v>
      </c>
      <c r="K139" s="1295" t="s">
        <v>4596</v>
      </c>
      <c r="L139" s="1295"/>
      <c r="M139" s="1296"/>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31" t="s">
        <v>9502</v>
      </c>
      <c r="C1" s="1332"/>
      <c r="D1" s="1332"/>
      <c r="E1" s="1333"/>
      <c r="H1" s="1318" t="s">
        <v>11403</v>
      </c>
      <c r="I1" s="1319"/>
      <c r="J1" s="1319"/>
      <c r="K1" s="1320"/>
      <c r="N1" s="1318" t="s">
        <v>11403</v>
      </c>
      <c r="O1" s="1319"/>
      <c r="P1" s="1319"/>
      <c r="Q1" s="1320"/>
      <c r="S1" s="1339" t="s">
        <v>9502</v>
      </c>
      <c r="T1" s="1340"/>
      <c r="U1" s="1340"/>
      <c r="V1" s="1341"/>
      <c r="Z1" s="1331" t="s">
        <v>9502</v>
      </c>
      <c r="AA1" s="1332"/>
      <c r="AB1" s="1332"/>
      <c r="AC1" s="1333"/>
    </row>
    <row r="2" spans="2:29" ht="21" x14ac:dyDescent="0.35">
      <c r="B2" s="1334" t="s">
        <v>10401</v>
      </c>
      <c r="C2" s="1335"/>
      <c r="D2" s="1335"/>
      <c r="E2" s="1336"/>
      <c r="H2" s="1318" t="s">
        <v>11402</v>
      </c>
      <c r="I2" s="1319"/>
      <c r="J2" s="1319"/>
      <c r="K2" s="1320"/>
      <c r="N2" s="1318" t="s">
        <v>11402</v>
      </c>
      <c r="O2" s="1319"/>
      <c r="P2" s="1319"/>
      <c r="Q2" s="1320"/>
      <c r="S2" s="1334" t="s">
        <v>8164</v>
      </c>
      <c r="T2" s="1335"/>
      <c r="U2" s="1335"/>
      <c r="V2" s="1336"/>
      <c r="Z2" s="1334" t="s">
        <v>7170</v>
      </c>
      <c r="AA2" s="1335"/>
      <c r="AB2" s="1335"/>
      <c r="AC2" s="1336"/>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12" t="s">
        <v>9495</v>
      </c>
      <c r="C4" s="1313"/>
      <c r="D4" s="1313"/>
      <c r="E4" s="933">
        <f ca="1">'Main Summary'!B19-K5-K10</f>
        <v>206799779.31776047</v>
      </c>
      <c r="H4" s="1318" t="s">
        <v>11404</v>
      </c>
      <c r="I4" s="1319"/>
      <c r="J4" s="1319"/>
      <c r="K4" s="1320"/>
      <c r="N4" s="1318" t="s">
        <v>11404</v>
      </c>
      <c r="O4" s="1319"/>
      <c r="P4" s="1319"/>
      <c r="Q4" s="1320"/>
      <c r="S4" s="1312" t="s">
        <v>9495</v>
      </c>
      <c r="T4" s="1313"/>
      <c r="U4" s="1313"/>
      <c r="V4" s="933">
        <f ca="1">'Main Summary'!F19-Q5-Q10</f>
        <v>137668700.60426268</v>
      </c>
      <c r="Z4" s="1312" t="s">
        <v>9495</v>
      </c>
      <c r="AA4" s="1313"/>
      <c r="AB4" s="1313"/>
      <c r="AC4" s="933">
        <f>'Main Summary'!J19</f>
        <v>66512286.479166672</v>
      </c>
    </row>
    <row r="5" spans="2:29" ht="19.5" thickBot="1" x14ac:dyDescent="0.35">
      <c r="B5" s="1312" t="s">
        <v>9496</v>
      </c>
      <c r="C5" s="1313"/>
      <c r="D5" s="1313"/>
      <c r="E5" s="933">
        <f ca="1">'Main Summary'!C19-K6-K11</f>
        <v>267391255</v>
      </c>
      <c r="H5" s="1312" t="s">
        <v>9495</v>
      </c>
      <c r="I5" s="1313"/>
      <c r="J5" s="1313"/>
      <c r="K5" s="1035">
        <f ca="1">SUMIF(Posting!$B17317:$E27768,"Meezan Bank Head Office",Posting!$E17317:$E27768)</f>
        <v>10761170</v>
      </c>
      <c r="N5" s="1312" t="s">
        <v>9495</v>
      </c>
      <c r="O5" s="1313"/>
      <c r="P5" s="1313"/>
      <c r="Q5" s="1035">
        <f ca="1">SUMIF(Posting!$B1:$E17316,"Meezan Bank Head Office",Posting!$E1:$E17316)</f>
        <v>13034925</v>
      </c>
      <c r="S5" s="1312" t="s">
        <v>9496</v>
      </c>
      <c r="T5" s="1313"/>
      <c r="U5" s="1313"/>
      <c r="V5" s="933">
        <f ca="1">'Main Summary'!G19-Q6-Q11</f>
        <v>176831246.42000002</v>
      </c>
      <c r="Z5" s="1312" t="s">
        <v>9496</v>
      </c>
      <c r="AA5" s="1313"/>
      <c r="AB5" s="1313"/>
      <c r="AC5" s="933">
        <f>'Main Summary'!K19</f>
        <v>82215394.510000005</v>
      </c>
    </row>
    <row r="6" spans="2:29" ht="18.75" x14ac:dyDescent="0.3">
      <c r="B6" s="1312" t="s">
        <v>2613</v>
      </c>
      <c r="C6" s="1313"/>
      <c r="D6" s="1313"/>
      <c r="E6" s="933">
        <f ca="1">E5-E4</f>
        <v>60591475.682239532</v>
      </c>
      <c r="H6" s="1312" t="s">
        <v>9496</v>
      </c>
      <c r="I6" s="1313"/>
      <c r="J6" s="1313"/>
      <c r="K6" s="1020">
        <f ca="1">SUMIF(Posting!$B17317:$F27768,"Meezan Bank Head Office",Posting!$F17317:$F27768)</f>
        <v>0</v>
      </c>
      <c r="N6" s="1312" t="s">
        <v>9496</v>
      </c>
      <c r="O6" s="1313"/>
      <c r="P6" s="1313"/>
      <c r="Q6" s="1020">
        <f ca="1">SUMIF(Posting!$B1:$F17316,"Meezan Bank Head Office",Posting!$F1:$F17316)</f>
        <v>19830000</v>
      </c>
      <c r="S6" s="1312" t="s">
        <v>2613</v>
      </c>
      <c r="T6" s="1313"/>
      <c r="U6" s="1313"/>
      <c r="V6" s="933">
        <f ca="1">V5-V4</f>
        <v>39162545.815737337</v>
      </c>
      <c r="Z6" s="1312" t="s">
        <v>2613</v>
      </c>
      <c r="AA6" s="1313"/>
      <c r="AB6" s="1313"/>
      <c r="AC6" s="933">
        <f>AC5-AC4</f>
        <v>15703108.030833334</v>
      </c>
    </row>
    <row r="7" spans="2:29" ht="18.75" x14ac:dyDescent="0.3">
      <c r="B7" s="1312"/>
      <c r="C7" s="1313"/>
      <c r="D7" s="1313"/>
      <c r="E7" s="933"/>
      <c r="H7" s="1312" t="s">
        <v>2613</v>
      </c>
      <c r="I7" s="1313"/>
      <c r="J7" s="1313"/>
      <c r="K7" s="933">
        <f ca="1">K6-K5</f>
        <v>-10761170</v>
      </c>
      <c r="N7" s="1312" t="s">
        <v>2613</v>
      </c>
      <c r="O7" s="1313"/>
      <c r="P7" s="1313"/>
      <c r="Q7" s="933">
        <f ca="1">Q6-Q5</f>
        <v>6795075</v>
      </c>
      <c r="S7" s="1312"/>
      <c r="T7" s="1313"/>
      <c r="U7" s="1313"/>
      <c r="V7" s="933"/>
      <c r="Z7" s="1312"/>
      <c r="AA7" s="1313"/>
      <c r="AB7" s="1313"/>
      <c r="AC7" s="933"/>
    </row>
    <row r="8" spans="2:29" ht="19.5" thickBot="1" x14ac:dyDescent="0.35">
      <c r="B8" s="1314" t="s">
        <v>11050</v>
      </c>
      <c r="C8" s="1294"/>
      <c r="D8" s="1294"/>
      <c r="E8" s="933"/>
      <c r="H8" s="1312"/>
      <c r="I8" s="1313"/>
      <c r="J8" s="1313"/>
      <c r="K8" s="933"/>
      <c r="N8" s="1312"/>
      <c r="O8" s="1313"/>
      <c r="P8" s="1313"/>
      <c r="Q8" s="933"/>
      <c r="S8" s="1314" t="s">
        <v>11050</v>
      </c>
      <c r="T8" s="1294"/>
      <c r="U8" s="1294"/>
      <c r="V8" s="933"/>
      <c r="Z8" s="1312" t="s">
        <v>9497</v>
      </c>
      <c r="AA8" s="1313"/>
      <c r="AB8" s="1313"/>
      <c r="AC8" s="933">
        <v>300000</v>
      </c>
    </row>
    <row r="9" spans="2:29" ht="21.75" thickBot="1" x14ac:dyDescent="0.4">
      <c r="B9" s="1312" t="s">
        <v>9499</v>
      </c>
      <c r="C9" s="1313"/>
      <c r="D9" s="1313"/>
      <c r="E9" s="934">
        <v>500000</v>
      </c>
      <c r="H9" s="1318" t="s">
        <v>11405</v>
      </c>
      <c r="I9" s="1319"/>
      <c r="J9" s="1319"/>
      <c r="K9" s="1320"/>
      <c r="N9" s="1318" t="s">
        <v>11405</v>
      </c>
      <c r="O9" s="1319"/>
      <c r="P9" s="1319"/>
      <c r="Q9" s="1320"/>
      <c r="S9" s="1312" t="s">
        <v>9499</v>
      </c>
      <c r="T9" s="1313"/>
      <c r="U9" s="1313"/>
      <c r="V9" s="934">
        <v>526260</v>
      </c>
      <c r="Z9" s="1312" t="s">
        <v>9498</v>
      </c>
      <c r="AA9" s="1313"/>
      <c r="AB9" s="1313"/>
      <c r="AC9" s="933">
        <v>526260</v>
      </c>
    </row>
    <row r="10" spans="2:29" s="930" customFormat="1" ht="19.5" thickBot="1" x14ac:dyDescent="0.35">
      <c r="B10" s="1312"/>
      <c r="C10" s="1313"/>
      <c r="D10" s="1313"/>
      <c r="E10" s="934"/>
      <c r="H10" s="1312" t="s">
        <v>9495</v>
      </c>
      <c r="I10" s="1313"/>
      <c r="J10" s="1313"/>
      <c r="K10" s="1035">
        <f ca="1">SUMIF(Posting!$B17317:$E27768,"Saifee Hospital",Posting!$E17317:$E27768)</f>
        <v>1162910</v>
      </c>
      <c r="N10" s="1312" t="s">
        <v>9495</v>
      </c>
      <c r="O10" s="1313"/>
      <c r="P10" s="1313"/>
      <c r="Q10" s="1035">
        <f ca="1">SUMIF(Posting!$B1:$E17316,"Saifee Hospital",Posting!$E1:$E17316)</f>
        <v>1591330</v>
      </c>
      <c r="S10" s="1312"/>
      <c r="T10" s="1313"/>
      <c r="U10" s="1313"/>
      <c r="V10" s="934"/>
      <c r="Z10" s="1312" t="s">
        <v>9499</v>
      </c>
      <c r="AA10" s="1313"/>
      <c r="AB10" s="1313"/>
      <c r="AC10" s="934">
        <v>1314656</v>
      </c>
    </row>
    <row r="11" spans="2:29" ht="18.75" x14ac:dyDescent="0.3">
      <c r="B11" s="1314" t="s">
        <v>2613</v>
      </c>
      <c r="C11" s="1294"/>
      <c r="D11" s="1294"/>
      <c r="E11" s="933">
        <f ca="1">E9+E6</f>
        <v>61091475.682239532</v>
      </c>
      <c r="H11" s="1312" t="s">
        <v>9496</v>
      </c>
      <c r="I11" s="1313"/>
      <c r="J11" s="1313"/>
      <c r="K11" s="1020">
        <f ca="1">SUMIF(Posting!$B17317:$F27768,"Saifee Hospital",Posting!$F17317:$F27768)</f>
        <v>1900000</v>
      </c>
      <c r="N11" s="1312" t="s">
        <v>9496</v>
      </c>
      <c r="O11" s="1313"/>
      <c r="P11" s="1313"/>
      <c r="Q11" s="1020">
        <f ca="1">SUMIF(Posting!$B1:$F17316,"Saifee Hospital",Posting!$F1:$F17316)</f>
        <v>2434251</v>
      </c>
      <c r="S11" s="1314" t="s">
        <v>2613</v>
      </c>
      <c r="T11" s="1294"/>
      <c r="U11" s="1294"/>
      <c r="V11" s="933">
        <f ca="1">V9+V6</f>
        <v>39688805.815737337</v>
      </c>
      <c r="Z11" s="1312" t="s">
        <v>2615</v>
      </c>
      <c r="AA11" s="1313"/>
      <c r="AB11" s="1313"/>
      <c r="AC11" s="933">
        <f>AC6-AC8-AC9+AC10</f>
        <v>16191504.030833334</v>
      </c>
    </row>
    <row r="12" spans="2:29" ht="21" x14ac:dyDescent="0.35">
      <c r="B12" s="1315"/>
      <c r="C12" s="1316"/>
      <c r="D12" s="1317"/>
      <c r="E12" s="933"/>
      <c r="H12" s="1312" t="s">
        <v>2613</v>
      </c>
      <c r="I12" s="1313"/>
      <c r="J12" s="1313"/>
      <c r="K12" s="933">
        <f ca="1">K11-K10</f>
        <v>737090</v>
      </c>
      <c r="N12" s="1312" t="s">
        <v>2613</v>
      </c>
      <c r="O12" s="1313"/>
      <c r="P12" s="1313"/>
      <c r="Q12" s="933">
        <f ca="1">Q11-Q10</f>
        <v>842921</v>
      </c>
      <c r="S12" s="1315"/>
      <c r="T12" s="1316"/>
      <c r="U12" s="1317"/>
      <c r="V12" s="933"/>
      <c r="Z12" s="1337" t="s">
        <v>9500</v>
      </c>
      <c r="AA12" s="1338"/>
      <c r="AB12" s="1338"/>
      <c r="AC12" s="937">
        <v>2434251</v>
      </c>
    </row>
    <row r="13" spans="2:29" s="970" customFormat="1" ht="21.75" thickBot="1" x14ac:dyDescent="0.4">
      <c r="B13" s="1328" t="s">
        <v>11049</v>
      </c>
      <c r="C13" s="1329"/>
      <c r="D13" s="1330"/>
      <c r="E13" s="933"/>
      <c r="H13" s="1314"/>
      <c r="I13" s="1294"/>
      <c r="J13" s="1294"/>
      <c r="K13" s="933"/>
      <c r="N13" s="1314"/>
      <c r="O13" s="1294"/>
      <c r="P13" s="1294"/>
      <c r="Q13" s="933"/>
      <c r="S13" s="1328" t="s">
        <v>11049</v>
      </c>
      <c r="T13" s="1329"/>
      <c r="U13" s="1330"/>
      <c r="V13" s="933"/>
      <c r="Z13" s="1321" t="s">
        <v>2615</v>
      </c>
      <c r="AA13" s="1322"/>
      <c r="AB13" s="1322"/>
      <c r="AC13" s="969">
        <f>AC11-AC12</f>
        <v>13757253.030833334</v>
      </c>
    </row>
    <row r="14" spans="2:29" ht="18.75" x14ac:dyDescent="0.3">
      <c r="B14" s="1315" t="s">
        <v>9497</v>
      </c>
      <c r="C14" s="1316"/>
      <c r="D14" s="1317"/>
      <c r="E14" s="933">
        <v>300000</v>
      </c>
      <c r="H14" s="1315"/>
      <c r="I14" s="1316"/>
      <c r="J14" s="1317"/>
      <c r="K14" s="933"/>
      <c r="N14" s="1315"/>
      <c r="O14" s="1316"/>
      <c r="P14" s="1317"/>
      <c r="Q14" s="933"/>
      <c r="S14" s="1315" t="s">
        <v>9497</v>
      </c>
      <c r="T14" s="1316"/>
      <c r="U14" s="1317"/>
      <c r="V14" s="933">
        <v>300000</v>
      </c>
      <c r="Z14" s="935"/>
      <c r="AA14" s="935"/>
      <c r="AB14" s="935"/>
      <c r="AC14" s="936"/>
    </row>
    <row r="15" spans="2:29" ht="18.75" x14ac:dyDescent="0.3">
      <c r="B15" s="1315" t="s">
        <v>9498</v>
      </c>
      <c r="C15" s="1316"/>
      <c r="D15" s="1317"/>
      <c r="E15" s="933">
        <v>500000</v>
      </c>
      <c r="F15" s="302"/>
      <c r="G15" s="302"/>
      <c r="L15" s="302"/>
      <c r="M15" s="302"/>
      <c r="R15" s="302"/>
      <c r="S15" s="1315" t="s">
        <v>9498</v>
      </c>
      <c r="T15" s="1316"/>
      <c r="U15" s="1317"/>
      <c r="V15" s="933">
        <v>500000</v>
      </c>
      <c r="W15" s="302"/>
      <c r="X15" s="302"/>
      <c r="Y15" s="302"/>
      <c r="Z15" s="935"/>
      <c r="AA15" s="935"/>
      <c r="AB15" s="935"/>
      <c r="AC15" s="936"/>
    </row>
    <row r="16" spans="2:29" ht="18.75" x14ac:dyDescent="0.3">
      <c r="B16" s="1315" t="s">
        <v>12751</v>
      </c>
      <c r="C16" s="1316"/>
      <c r="D16" s="1317"/>
      <c r="E16" s="933"/>
      <c r="F16" s="302"/>
      <c r="G16" s="302"/>
      <c r="L16" s="302"/>
      <c r="M16" s="302"/>
      <c r="R16" s="302"/>
      <c r="S16" s="1315" t="s">
        <v>11052</v>
      </c>
      <c r="T16" s="1316"/>
      <c r="U16" s="1317"/>
      <c r="V16" s="1098">
        <v>0</v>
      </c>
      <c r="W16" s="302"/>
      <c r="X16" s="302"/>
      <c r="Y16" s="302"/>
      <c r="Z16" s="935"/>
      <c r="AA16" s="935"/>
      <c r="AB16" s="935"/>
      <c r="AC16" s="936"/>
    </row>
    <row r="17" spans="2:29" ht="21" x14ac:dyDescent="0.35">
      <c r="B17" s="1326"/>
      <c r="C17" s="1327"/>
      <c r="D17" s="1327"/>
      <c r="E17" s="1047"/>
      <c r="F17" s="302"/>
      <c r="G17" s="302"/>
      <c r="K17" s="3">
        <f ca="1">K12+K7</f>
        <v>-10024080</v>
      </c>
      <c r="L17" s="302"/>
      <c r="M17" s="302"/>
      <c r="Q17" s="3">
        <f ca="1">Q12+Q7</f>
        <v>7637996</v>
      </c>
      <c r="R17" s="302"/>
      <c r="S17" s="1326" t="s">
        <v>11406</v>
      </c>
      <c r="T17" s="1327"/>
      <c r="U17" s="1327"/>
      <c r="V17" s="1047">
        <v>3707947</v>
      </c>
      <c r="W17" s="302"/>
      <c r="X17" s="302"/>
      <c r="Y17" s="302"/>
      <c r="Z17" s="935"/>
      <c r="AA17" s="935"/>
      <c r="AB17" s="935"/>
      <c r="AC17" s="936"/>
    </row>
    <row r="18" spans="2:29" ht="21" x14ac:dyDescent="0.35">
      <c r="B18" s="1326"/>
      <c r="C18" s="1327"/>
      <c r="D18" s="1327"/>
      <c r="E18" s="1047"/>
      <c r="F18" s="302"/>
      <c r="G18" s="302"/>
      <c r="K18" s="3"/>
      <c r="L18" s="302"/>
      <c r="M18" s="302"/>
      <c r="R18" s="302"/>
      <c r="S18" s="1326"/>
      <c r="T18" s="1327"/>
      <c r="U18" s="1327"/>
      <c r="V18" s="1047"/>
      <c r="W18" s="302"/>
      <c r="X18" s="302"/>
      <c r="Y18" s="302"/>
      <c r="Z18" s="935"/>
      <c r="AA18" s="935"/>
      <c r="AB18" s="935"/>
      <c r="AC18" s="936"/>
    </row>
    <row r="19" spans="2:29" ht="19.5" thickBot="1" x14ac:dyDescent="0.35">
      <c r="B19" s="1314"/>
      <c r="C19" s="1294"/>
      <c r="D19" s="1294"/>
      <c r="E19" s="1048"/>
      <c r="F19" s="302"/>
      <c r="G19" s="302"/>
      <c r="K19" s="3"/>
      <c r="L19" s="302"/>
      <c r="M19" s="302"/>
      <c r="R19" s="302"/>
      <c r="S19" s="1314"/>
      <c r="T19" s="1294"/>
      <c r="U19" s="1294"/>
      <c r="V19" s="1048"/>
      <c r="W19" s="302"/>
      <c r="X19" s="302"/>
      <c r="Y19" s="302"/>
      <c r="Z19" s="935"/>
      <c r="AA19" s="935"/>
      <c r="AB19" s="935"/>
      <c r="AC19" s="936"/>
    </row>
    <row r="20" spans="2:29" ht="21" x14ac:dyDescent="0.35">
      <c r="B20" s="1314" t="s">
        <v>11051</v>
      </c>
      <c r="C20" s="1294"/>
      <c r="D20" s="1294"/>
      <c r="E20" s="1047">
        <f>SUM(E14:E19)</f>
        <v>800000</v>
      </c>
      <c r="K20" s="3"/>
      <c r="S20" s="1314" t="s">
        <v>11051</v>
      </c>
      <c r="T20" s="1294"/>
      <c r="U20" s="1294"/>
      <c r="V20" s="1047">
        <f>SUM(V14:V19)</f>
        <v>4507947</v>
      </c>
      <c r="Z20" s="1323" t="s">
        <v>9501</v>
      </c>
      <c r="AA20" s="1324"/>
      <c r="AB20" s="1324"/>
      <c r="AC20" s="1325"/>
    </row>
    <row r="21" spans="2:29" s="930" customFormat="1" ht="21" x14ac:dyDescent="0.35">
      <c r="B21" s="1326"/>
      <c r="C21" s="1327"/>
      <c r="D21" s="1327"/>
      <c r="E21" s="1047"/>
      <c r="H21"/>
      <c r="I21"/>
      <c r="J21"/>
      <c r="K21"/>
      <c r="N21"/>
      <c r="O21"/>
      <c r="P21"/>
      <c r="Q21"/>
      <c r="S21" s="1326"/>
      <c r="T21" s="1327"/>
      <c r="U21" s="1327"/>
      <c r="V21" s="1047"/>
      <c r="Z21" s="971" t="s">
        <v>9503</v>
      </c>
      <c r="AA21" s="967" t="s">
        <v>4751</v>
      </c>
      <c r="AB21" s="967" t="s">
        <v>1202</v>
      </c>
      <c r="AC21" s="973" t="s">
        <v>1894</v>
      </c>
    </row>
    <row r="22" spans="2:29" s="930" customFormat="1" ht="21.75" thickBot="1" x14ac:dyDescent="0.4">
      <c r="B22" s="1321" t="s">
        <v>2615</v>
      </c>
      <c r="C22" s="1322"/>
      <c r="D22" s="1322"/>
      <c r="E22" s="969">
        <f ca="1">E11-E20</f>
        <v>60291475.682239532</v>
      </c>
      <c r="H22"/>
      <c r="I22"/>
      <c r="J22"/>
      <c r="K22"/>
      <c r="N22"/>
      <c r="O22"/>
      <c r="P22"/>
      <c r="Q22"/>
      <c r="S22" s="1321" t="s">
        <v>2615</v>
      </c>
      <c r="T22" s="1322"/>
      <c r="U22" s="1322"/>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23" t="s">
        <v>9501</v>
      </c>
      <c r="C24" s="1324"/>
      <c r="D24" s="1324"/>
      <c r="E24" s="1325"/>
      <c r="H24"/>
      <c r="I24"/>
      <c r="J24"/>
      <c r="K24"/>
      <c r="N24"/>
      <c r="O24"/>
      <c r="P24"/>
      <c r="Q24"/>
      <c r="S24" s="1323" t="s">
        <v>9501</v>
      </c>
      <c r="T24" s="1324"/>
      <c r="U24" s="1324"/>
      <c r="V24" s="1325"/>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19896186.975139048</v>
      </c>
      <c r="D27" s="941">
        <f ca="1">D26*E22</f>
        <v>19896186.975139048</v>
      </c>
      <c r="E27" s="934">
        <f ca="1">E26*E22</f>
        <v>20499101.731961444</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3885000</v>
      </c>
    </row>
    <row r="29" spans="2:29" ht="38.25" thickBot="1" x14ac:dyDescent="0.3">
      <c r="B29" s="939" t="s">
        <v>9506</v>
      </c>
      <c r="C29" s="944">
        <f ca="1">C27-C28</f>
        <v>19896186.975139048</v>
      </c>
      <c r="D29" s="944">
        <f t="shared" ref="D29:E29" ca="1" si="1">D27-D28</f>
        <v>19896186.975139048</v>
      </c>
      <c r="E29" s="945">
        <f t="shared" ca="1" si="1"/>
        <v>20499101.731961444</v>
      </c>
      <c r="S29" s="939" t="s">
        <v>9506</v>
      </c>
      <c r="T29" s="944">
        <f ca="1">T27-T28</f>
        <v>0.40919332206249237</v>
      </c>
      <c r="U29" s="944">
        <f t="shared" ref="U29" ca="1" si="2">U27-U28</f>
        <v>2109683.4091933221</v>
      </c>
      <c r="V29" s="945">
        <f t="shared" ref="V29" ca="1" si="3">V27-V28</f>
        <v>8076491.9973506946</v>
      </c>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51" t="s">
        <v>5474</v>
      </c>
      <c r="B1" s="1351"/>
      <c r="C1" s="1351"/>
      <c r="D1" s="1351"/>
      <c r="E1" s="1351"/>
      <c r="F1" s="1351"/>
      <c r="G1" s="1351"/>
      <c r="H1" s="1351"/>
      <c r="I1" s="1351"/>
      <c r="J1" s="1351"/>
    </row>
    <row r="2" spans="1:11" x14ac:dyDescent="0.25">
      <c r="A2" s="1351"/>
      <c r="B2" s="1351"/>
      <c r="C2" s="1351"/>
      <c r="D2" s="1351"/>
      <c r="E2" s="1351"/>
      <c r="F2" s="1351"/>
      <c r="G2" s="1351"/>
      <c r="H2" s="1351"/>
      <c r="I2" s="1351"/>
      <c r="J2" s="1351"/>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50" t="s">
        <v>5483</v>
      </c>
      <c r="B11" s="1350"/>
      <c r="C11" s="1350"/>
      <c r="D11" s="1350"/>
    </row>
    <row r="12" spans="1:11" x14ac:dyDescent="0.25">
      <c r="A12" s="361" t="s">
        <v>5158</v>
      </c>
      <c r="B12" s="361" t="s">
        <v>939</v>
      </c>
      <c r="C12" s="361" t="s">
        <v>1202</v>
      </c>
      <c r="D12" s="361" t="s">
        <v>1894</v>
      </c>
      <c r="E12" s="3"/>
      <c r="G12" s="1352" t="s">
        <v>5484</v>
      </c>
      <c r="H12" s="1353"/>
      <c r="I12" s="1354"/>
      <c r="J12" s="371">
        <f>H9+I9+J9</f>
        <v>9658438.778794989</v>
      </c>
    </row>
    <row r="13" spans="1:11" x14ac:dyDescent="0.25">
      <c r="A13" s="2" t="s">
        <v>5159</v>
      </c>
      <c r="B13" s="15">
        <v>9323439</v>
      </c>
      <c r="C13" s="15">
        <v>9323439</v>
      </c>
      <c r="D13" s="15">
        <v>9605968</v>
      </c>
      <c r="G13" s="1352" t="s">
        <v>5485</v>
      </c>
      <c r="H13" s="1353"/>
      <c r="I13" s="1354"/>
      <c r="J13" s="371">
        <f>J31</f>
        <v>5549996</v>
      </c>
    </row>
    <row r="14" spans="1:11" x14ac:dyDescent="0.25">
      <c r="A14" s="2" t="s">
        <v>5160</v>
      </c>
      <c r="B14" s="15">
        <v>7575873</v>
      </c>
      <c r="C14" s="15">
        <v>7575873</v>
      </c>
      <c r="D14" s="15">
        <v>7805445</v>
      </c>
      <c r="G14" s="1352" t="s">
        <v>5486</v>
      </c>
      <c r="H14" s="1353"/>
      <c r="I14" s="1354"/>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55" t="s">
        <v>5487</v>
      </c>
      <c r="G18" s="1355"/>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50" t="s">
        <v>5491</v>
      </c>
      <c r="J22" s="1350"/>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4" t="s">
        <v>7877</v>
      </c>
      <c r="B40" s="1265"/>
      <c r="C40" s="1265"/>
      <c r="D40" s="1265"/>
      <c r="E40" s="1265"/>
      <c r="F40" s="1265"/>
      <c r="G40" s="1265"/>
      <c r="H40" s="1265"/>
      <c r="I40" s="1265"/>
      <c r="J40" s="1265"/>
      <c r="K40" s="1266"/>
    </row>
    <row r="41" spans="1:12" ht="15.75" thickBot="1" x14ac:dyDescent="0.3">
      <c r="A41" s="1270"/>
      <c r="B41" s="1271"/>
      <c r="C41" s="1271"/>
      <c r="D41" s="1271"/>
      <c r="E41" s="1271"/>
      <c r="F41" s="1271"/>
      <c r="G41" s="1271"/>
      <c r="H41" s="1271"/>
      <c r="I41" s="1271"/>
      <c r="J41" s="1271"/>
      <c r="K41" s="1272"/>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4" t="s">
        <v>7169</v>
      </c>
      <c r="B51" s="1265"/>
      <c r="C51" s="1265"/>
      <c r="D51" s="1265"/>
      <c r="E51" s="1265"/>
      <c r="F51" s="1265"/>
      <c r="G51" s="1265"/>
      <c r="H51" s="1265"/>
      <c r="I51" s="1265"/>
      <c r="J51" s="1265"/>
      <c r="K51" s="1266"/>
    </row>
    <row r="52" spans="1:14" ht="15.75" thickBot="1" x14ac:dyDescent="0.3">
      <c r="A52" s="1270"/>
      <c r="B52" s="1271"/>
      <c r="C52" s="1271"/>
      <c r="D52" s="1271"/>
      <c r="E52" s="1271"/>
      <c r="F52" s="1271"/>
      <c r="G52" s="1271"/>
      <c r="H52" s="1271"/>
      <c r="I52" s="1271"/>
      <c r="J52" s="1271"/>
      <c r="K52" s="1272"/>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7" t="s">
        <v>7170</v>
      </c>
      <c r="B59" s="1268"/>
      <c r="C59" s="1268"/>
      <c r="D59" s="1268"/>
      <c r="E59" s="1268"/>
      <c r="F59" s="1268"/>
      <c r="G59" s="1268"/>
      <c r="H59" s="1268"/>
      <c r="I59" s="1268"/>
      <c r="J59" s="1268"/>
      <c r="K59" s="1268"/>
      <c r="L59" s="966"/>
      <c r="M59" s="966"/>
    </row>
    <row r="60" spans="1:14" ht="15.75" customHeight="1" x14ac:dyDescent="0.25">
      <c r="A60" s="1348"/>
      <c r="B60" s="1349"/>
      <c r="C60" s="1349"/>
      <c r="D60" s="1349"/>
      <c r="E60" s="1349"/>
      <c r="F60" s="1349"/>
      <c r="G60" s="1349"/>
      <c r="H60" s="1349"/>
      <c r="I60" s="1349"/>
      <c r="J60" s="1349"/>
      <c r="K60" s="1349"/>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45" t="s">
        <v>10399</v>
      </c>
      <c r="F66" s="1346"/>
      <c r="G66" s="1347"/>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4" t="s">
        <v>8164</v>
      </c>
      <c r="B74" s="1265"/>
      <c r="C74" s="1265"/>
      <c r="D74" s="1265"/>
      <c r="E74" s="1265"/>
      <c r="F74" s="1265"/>
      <c r="G74" s="1265"/>
      <c r="H74" s="1265"/>
      <c r="I74" s="1265"/>
      <c r="J74" s="1265"/>
      <c r="K74" s="1265"/>
      <c r="L74" s="1266"/>
    </row>
    <row r="75" spans="1:20" ht="15.75" customHeight="1" thickBot="1" x14ac:dyDescent="0.3">
      <c r="A75" s="1270"/>
      <c r="B75" s="1271"/>
      <c r="C75" s="1271"/>
      <c r="D75" s="1271"/>
      <c r="E75" s="1271"/>
      <c r="F75" s="1271"/>
      <c r="G75" s="1271"/>
      <c r="H75" s="1271"/>
      <c r="I75" s="1271"/>
      <c r="J75" s="1271"/>
      <c r="K75" s="1271"/>
      <c r="L75" s="1272"/>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2" t="s">
        <v>10498</v>
      </c>
      <c r="D82" s="1343"/>
      <c r="E82" s="1343"/>
      <c r="F82" s="1343"/>
      <c r="G82" s="1343"/>
      <c r="H82" s="1344"/>
      <c r="I82" s="977"/>
      <c r="J82" s="977">
        <f>19830000/3</f>
        <v>6610000</v>
      </c>
      <c r="K82" s="977">
        <f>19830000/3</f>
        <v>6610000</v>
      </c>
      <c r="L82" s="977">
        <f>19830000/3</f>
        <v>6610000</v>
      </c>
      <c r="M82" s="949"/>
    </row>
    <row r="83" spans="1:17" x14ac:dyDescent="0.25">
      <c r="M83" s="3"/>
    </row>
    <row r="84" spans="1:17" s="930" customFormat="1" ht="26.25" customHeight="1" x14ac:dyDescent="0.25">
      <c r="C84" s="1342" t="s">
        <v>10536</v>
      </c>
      <c r="D84" s="1343"/>
      <c r="E84" s="1343"/>
      <c r="F84" s="1343"/>
      <c r="G84" s="1343"/>
      <c r="H84" s="1344"/>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64" t="s">
        <v>10401</v>
      </c>
      <c r="B89" s="1265"/>
      <c r="C89" s="1265"/>
      <c r="D89" s="1265"/>
      <c r="E89" s="1265"/>
      <c r="F89" s="1265"/>
      <c r="G89" s="1265"/>
      <c r="H89" s="1265"/>
      <c r="I89" s="1265"/>
      <c r="J89" s="1265"/>
      <c r="K89" s="1266"/>
      <c r="L89" s="3"/>
      <c r="M89" s="3"/>
    </row>
    <row r="90" spans="1:17" ht="15.75" thickBot="1" x14ac:dyDescent="0.3">
      <c r="A90" s="1270"/>
      <c r="B90" s="1271"/>
      <c r="C90" s="1271"/>
      <c r="D90" s="1271"/>
      <c r="E90" s="1271"/>
      <c r="F90" s="1271"/>
      <c r="G90" s="1271"/>
      <c r="H90" s="1271"/>
      <c r="I90" s="1271"/>
      <c r="J90" s="1271"/>
      <c r="K90" s="1272"/>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218723859.31776047</v>
      </c>
      <c r="C92" s="367">
        <f>'Main Summary'!C19</f>
        <v>269291255</v>
      </c>
      <c r="D92" s="367">
        <f>C92-B92</f>
        <v>50567395.682239532</v>
      </c>
      <c r="E92" s="367"/>
      <c r="F92" s="367"/>
      <c r="G92" s="511"/>
      <c r="H92" s="512">
        <f>D92-E92+F92-G92</f>
        <v>50567395.682239532</v>
      </c>
      <c r="I92" s="367">
        <f>H92*33%</f>
        <v>16687240.575139046</v>
      </c>
      <c r="J92" s="367">
        <f>H92*33%</f>
        <v>16687240.575139046</v>
      </c>
      <c r="K92" s="367">
        <f>H92*34%</f>
        <v>17192914.531961441</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14687240.575139046</v>
      </c>
      <c r="J94" s="284">
        <f t="shared" ref="J94:K94" si="5">J92-J93</f>
        <v>16687240.575139046</v>
      </c>
      <c r="K94" s="284">
        <f t="shared" si="5"/>
        <v>16942914.531961441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6" t="s">
        <v>2611</v>
      </c>
      <c r="B2" s="1366"/>
      <c r="C2" s="1366"/>
      <c r="D2" s="1366"/>
      <c r="E2" s="1366"/>
      <c r="F2" s="1366"/>
      <c r="G2" s="1366"/>
      <c r="H2" s="1366"/>
      <c r="I2" s="1366"/>
      <c r="J2" s="1366"/>
      <c r="K2" s="1366"/>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64">
        <v>28459027</v>
      </c>
      <c r="B4" s="1364">
        <v>35457479</v>
      </c>
      <c r="C4" s="1364">
        <f>B4-A4</f>
        <v>6998452</v>
      </c>
      <c r="D4" s="1364" t="s">
        <v>2619</v>
      </c>
      <c r="E4" s="226"/>
      <c r="F4" s="226"/>
      <c r="G4" s="226"/>
      <c r="H4" s="1364">
        <f>C4</f>
        <v>6998452</v>
      </c>
      <c r="I4" s="1364">
        <f>H4*25%</f>
        <v>1749613</v>
      </c>
      <c r="J4" s="1364">
        <f>H4*25%</f>
        <v>1749613</v>
      </c>
      <c r="K4" s="1364">
        <f>H4*50%</f>
        <v>3499226</v>
      </c>
    </row>
    <row r="5" spans="1:11" ht="21" customHeight="1" x14ac:dyDescent="0.25">
      <c r="A5" s="1364"/>
      <c r="B5" s="1364"/>
      <c r="C5" s="1364"/>
      <c r="D5" s="1364"/>
      <c r="E5" s="226"/>
      <c r="F5" s="226"/>
      <c r="G5" s="226"/>
      <c r="H5" s="1364"/>
      <c r="I5" s="1364"/>
      <c r="J5" s="1364"/>
      <c r="K5" s="1364"/>
    </row>
    <row r="6" spans="1:11" ht="15.75" x14ac:dyDescent="0.25">
      <c r="A6" s="1365" t="s">
        <v>2620</v>
      </c>
      <c r="B6" s="1365"/>
      <c r="C6" s="1365"/>
      <c r="D6" s="1365"/>
      <c r="E6" s="1365"/>
      <c r="F6" s="1365"/>
      <c r="G6" s="1365"/>
      <c r="H6" s="1365"/>
      <c r="I6" s="187" t="s">
        <v>158</v>
      </c>
      <c r="J6" s="187" t="s">
        <v>2621</v>
      </c>
      <c r="K6" s="187" t="s">
        <v>2621</v>
      </c>
    </row>
    <row r="7" spans="1:11" ht="15.75" x14ac:dyDescent="0.25">
      <c r="A7" s="1365" t="s">
        <v>2622</v>
      </c>
      <c r="B7" s="1365"/>
      <c r="C7" s="1365"/>
      <c r="D7" s="1365"/>
      <c r="E7" s="1365"/>
      <c r="F7" s="1365"/>
      <c r="G7" s="1365"/>
      <c r="H7" s="1365"/>
      <c r="I7" s="187" t="s">
        <v>2623</v>
      </c>
      <c r="J7" s="188">
        <f>J4</f>
        <v>1749613</v>
      </c>
      <c r="K7" s="188">
        <f>K4</f>
        <v>3499226</v>
      </c>
    </row>
    <row r="9" spans="1:11" ht="18" x14ac:dyDescent="0.25">
      <c r="A9" s="1366" t="s">
        <v>2624</v>
      </c>
      <c r="B9" s="1366"/>
      <c r="C9" s="1366"/>
      <c r="D9" s="1366"/>
      <c r="E9" s="1366"/>
      <c r="F9" s="1366"/>
      <c r="G9" s="1366"/>
      <c r="H9" s="1366"/>
      <c r="I9" s="1366"/>
      <c r="J9" s="1366"/>
      <c r="K9" s="1366"/>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64">
        <v>42596884</v>
      </c>
      <c r="B11" s="1364">
        <v>51367818</v>
      </c>
      <c r="C11" s="1364">
        <f>B11-A11</f>
        <v>8770934</v>
      </c>
      <c r="D11" s="1364" t="s">
        <v>2619</v>
      </c>
      <c r="E11" s="226"/>
      <c r="F11" s="226"/>
      <c r="G11" s="226"/>
      <c r="H11" s="1364">
        <f>C11</f>
        <v>8770934</v>
      </c>
      <c r="I11" s="1364">
        <f>H11*25%</f>
        <v>2192733.5</v>
      </c>
      <c r="J11" s="1364">
        <f>H11*25%</f>
        <v>2192733.5</v>
      </c>
      <c r="K11" s="1364">
        <f>H11*50%</f>
        <v>4385467</v>
      </c>
    </row>
    <row r="12" spans="1:11" ht="12.75" customHeight="1" x14ac:dyDescent="0.25">
      <c r="A12" s="1364"/>
      <c r="B12" s="1364"/>
      <c r="C12" s="1364"/>
      <c r="D12" s="1364"/>
      <c r="E12" s="226"/>
      <c r="F12" s="226"/>
      <c r="G12" s="226"/>
      <c r="H12" s="1364"/>
      <c r="I12" s="1364"/>
      <c r="J12" s="1364"/>
      <c r="K12" s="1364"/>
    </row>
    <row r="13" spans="1:11" ht="15.75" x14ac:dyDescent="0.25">
      <c r="A13" s="1365" t="s">
        <v>2625</v>
      </c>
      <c r="B13" s="1365"/>
      <c r="C13" s="1365"/>
      <c r="D13" s="1365"/>
      <c r="E13" s="1365"/>
      <c r="F13" s="1365"/>
      <c r="G13" s="1365"/>
      <c r="H13" s="1365"/>
      <c r="I13" s="187" t="s">
        <v>158</v>
      </c>
      <c r="J13" s="189">
        <v>84775</v>
      </c>
      <c r="K13" s="187" t="s">
        <v>2621</v>
      </c>
    </row>
    <row r="14" spans="1:11" ht="15.75" x14ac:dyDescent="0.25">
      <c r="A14" s="1365" t="s">
        <v>2622</v>
      </c>
      <c r="B14" s="1365"/>
      <c r="C14" s="1365"/>
      <c r="D14" s="1365"/>
      <c r="E14" s="1365"/>
      <c r="F14" s="1365"/>
      <c r="G14" s="1365"/>
      <c r="H14" s="1365"/>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6" t="s">
        <v>2626</v>
      </c>
      <c r="B17" s="1366"/>
      <c r="C17" s="1366"/>
      <c r="D17" s="1366"/>
      <c r="E17" s="1366"/>
      <c r="F17" s="1366"/>
      <c r="G17" s="1366"/>
      <c r="H17" s="1366"/>
      <c r="I17" s="1366"/>
      <c r="J17" s="1366"/>
      <c r="K17" s="1366"/>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64">
        <v>91625888</v>
      </c>
      <c r="B19" s="1364">
        <v>130688607</v>
      </c>
      <c r="C19" s="1364">
        <f>B19-A19</f>
        <v>39062719</v>
      </c>
      <c r="D19" s="1364">
        <v>7500000</v>
      </c>
      <c r="E19" s="226"/>
      <c r="F19" s="226"/>
      <c r="G19" s="226"/>
      <c r="H19" s="1364">
        <f>C19</f>
        <v>39062719</v>
      </c>
      <c r="I19" s="1364">
        <f>H19*25%</f>
        <v>9765679.75</v>
      </c>
      <c r="J19" s="1364">
        <f>H19*25%</f>
        <v>9765679.75</v>
      </c>
      <c r="K19" s="1364">
        <f>H19*50%</f>
        <v>19531359.5</v>
      </c>
    </row>
    <row r="20" spans="1:11" ht="12.75" customHeight="1" x14ac:dyDescent="0.25">
      <c r="A20" s="1364"/>
      <c r="B20" s="1364"/>
      <c r="C20" s="1364"/>
      <c r="D20" s="1364"/>
      <c r="E20" s="226"/>
      <c r="F20" s="226"/>
      <c r="G20" s="226"/>
      <c r="H20" s="1364"/>
      <c r="I20" s="1364"/>
      <c r="J20" s="1364"/>
      <c r="K20" s="1364"/>
    </row>
    <row r="21" spans="1:11" ht="15.75" x14ac:dyDescent="0.25">
      <c r="A21" s="1365" t="s">
        <v>2625</v>
      </c>
      <c r="B21" s="1365"/>
      <c r="C21" s="1365"/>
      <c r="D21" s="1365"/>
      <c r="E21" s="1365"/>
      <c r="F21" s="1365"/>
      <c r="G21" s="1365"/>
      <c r="H21" s="1365"/>
      <c r="I21" s="189">
        <v>13000000</v>
      </c>
      <c r="J21" s="187"/>
      <c r="K21" s="187"/>
    </row>
    <row r="22" spans="1:11" ht="15.75" x14ac:dyDescent="0.25">
      <c r="A22" s="1365" t="s">
        <v>2622</v>
      </c>
      <c r="B22" s="1365"/>
      <c r="C22" s="1365"/>
      <c r="D22" s="1365"/>
      <c r="E22" s="1365"/>
      <c r="F22" s="1365"/>
      <c r="G22" s="1365"/>
      <c r="H22" s="1365"/>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9" t="s">
        <v>2636</v>
      </c>
      <c r="B36" s="1359"/>
      <c r="C36" s="1359"/>
      <c r="D36" s="1359"/>
      <c r="E36" s="1359"/>
      <c r="F36" s="1359"/>
      <c r="G36" s="1359"/>
      <c r="H36" s="1359"/>
      <c r="I36" s="1359"/>
      <c r="J36" s="1359"/>
      <c r="K36" s="1359"/>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68">
        <f>'Main Summary'!$AG$73</f>
        <v>31688154.002880182</v>
      </c>
      <c r="B38" s="1368">
        <f>'Main Summary'!$AH$73</f>
        <v>37164776</v>
      </c>
      <c r="C38" s="1368">
        <f>B38-A38</f>
        <v>5476621.9971198179</v>
      </c>
      <c r="D38" s="1368">
        <v>6000000</v>
      </c>
      <c r="E38" s="1371"/>
      <c r="F38" s="1371"/>
      <c r="G38" s="1368">
        <v>300000</v>
      </c>
      <c r="H38" s="1368">
        <f>C38-D38-G38</f>
        <v>-823378.00288018212</v>
      </c>
      <c r="I38" s="1368">
        <f>H38*33%</f>
        <v>-271714.74095046014</v>
      </c>
      <c r="J38" s="1368">
        <f>H38*33%</f>
        <v>-271714.74095046014</v>
      </c>
      <c r="K38" s="1368">
        <f>H38*34%</f>
        <v>-279948.52097926196</v>
      </c>
    </row>
    <row r="39" spans="1:13" ht="16.899999999999999" customHeight="1" x14ac:dyDescent="0.25">
      <c r="A39" s="1368"/>
      <c r="B39" s="1368"/>
      <c r="C39" s="1368"/>
      <c r="D39" s="1368"/>
      <c r="E39" s="1372"/>
      <c r="F39" s="1372"/>
      <c r="G39" s="1368"/>
      <c r="H39" s="1368"/>
      <c r="I39" s="1368"/>
      <c r="J39" s="1368"/>
      <c r="K39" s="1368"/>
    </row>
    <row r="40" spans="1:13" ht="16.5" x14ac:dyDescent="0.25">
      <c r="A40" s="1370" t="s">
        <v>2637</v>
      </c>
      <c r="B40" s="1370"/>
      <c r="C40" s="1370"/>
      <c r="D40" s="1370"/>
      <c r="E40" s="1370"/>
      <c r="F40" s="1370"/>
      <c r="G40" s="1370"/>
      <c r="H40" s="1370"/>
      <c r="I40" s="232">
        <v>3234320</v>
      </c>
      <c r="J40" s="232"/>
      <c r="K40" s="232"/>
    </row>
    <row r="41" spans="1:13" ht="16.5" x14ac:dyDescent="0.25">
      <c r="A41" s="1370" t="s">
        <v>2865</v>
      </c>
      <c r="B41" s="1370"/>
      <c r="C41" s="1370"/>
      <c r="D41" s="1370"/>
      <c r="E41" s="1370"/>
      <c r="F41" s="1370"/>
      <c r="G41" s="1370"/>
      <c r="H41" s="1370"/>
      <c r="I41" s="232"/>
      <c r="J41" s="232">
        <v>1676486</v>
      </c>
      <c r="K41" s="232">
        <v>6090000</v>
      </c>
    </row>
    <row r="42" spans="1:13" ht="16.5" x14ac:dyDescent="0.25">
      <c r="A42" s="1370" t="s">
        <v>2638</v>
      </c>
      <c r="B42" s="1370"/>
      <c r="C42" s="1370"/>
      <c r="D42" s="1370"/>
      <c r="E42" s="1370"/>
      <c r="F42" s="1370"/>
      <c r="G42" s="1370"/>
      <c r="H42" s="1370"/>
      <c r="I42" s="232">
        <v>1568356</v>
      </c>
      <c r="J42" s="232"/>
      <c r="K42" s="232"/>
    </row>
    <row r="43" spans="1:13" ht="16.5" x14ac:dyDescent="0.25">
      <c r="A43" s="1369" t="s">
        <v>2639</v>
      </c>
      <c r="B43" s="1369"/>
      <c r="C43" s="1369"/>
      <c r="D43" s="1369"/>
      <c r="E43" s="1369"/>
      <c r="F43" s="1369"/>
      <c r="G43" s="1369"/>
      <c r="H43" s="1369"/>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67" t="s">
        <v>2774</v>
      </c>
      <c r="B45" s="1367"/>
      <c r="C45" s="1367"/>
      <c r="D45" s="1367"/>
      <c r="E45" s="1367"/>
      <c r="F45" s="1367"/>
      <c r="G45" s="1367"/>
      <c r="H45" s="1367"/>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59" t="s">
        <v>3294</v>
      </c>
      <c r="B49" s="1359"/>
      <c r="C49" s="1359"/>
      <c r="D49" s="1359"/>
      <c r="E49" s="1359"/>
      <c r="F49" s="1359"/>
      <c r="G49" s="1359"/>
      <c r="H49" s="1359"/>
      <c r="I49" s="1359"/>
      <c r="J49" s="1359"/>
      <c r="K49" s="1359"/>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60">
        <f>'Main Summary'!Z19</f>
        <v>113012540.90419273</v>
      </c>
      <c r="B51" s="1360">
        <f>'Main Summary'!AA19</f>
        <v>164353252</v>
      </c>
      <c r="C51" s="1360">
        <f>B51-A51</f>
        <v>51340711.095807269</v>
      </c>
      <c r="D51" s="1360">
        <v>7000000</v>
      </c>
      <c r="E51" s="1362">
        <f>15000000+6000000</f>
        <v>21000000</v>
      </c>
      <c r="F51" s="345"/>
      <c r="G51" s="1360">
        <v>500000</v>
      </c>
      <c r="H51" s="1360">
        <f>C51-D51-G51-E51</f>
        <v>22840711.095807269</v>
      </c>
      <c r="I51" s="1360">
        <f>H51*33%</f>
        <v>7537434.661616399</v>
      </c>
      <c r="J51" s="1360">
        <f>H51*33%</f>
        <v>7537434.661616399</v>
      </c>
      <c r="K51" s="1360">
        <f>H51*34%</f>
        <v>7765841.7725744722</v>
      </c>
    </row>
    <row r="52" spans="1:13" ht="16.899999999999999" customHeight="1" x14ac:dyDescent="0.25">
      <c r="A52" s="1360"/>
      <c r="B52" s="1360"/>
      <c r="C52" s="1360"/>
      <c r="D52" s="1360"/>
      <c r="E52" s="1363"/>
      <c r="F52" s="346"/>
      <c r="G52" s="1360"/>
      <c r="H52" s="1360"/>
      <c r="I52" s="1360"/>
      <c r="J52" s="1360"/>
      <c r="K52" s="1360"/>
    </row>
    <row r="53" spans="1:13" ht="15.75" x14ac:dyDescent="0.25">
      <c r="A53" s="1361" t="s">
        <v>2637</v>
      </c>
      <c r="B53" s="1361"/>
      <c r="C53" s="1361"/>
      <c r="D53" s="1361"/>
      <c r="E53" s="1361"/>
      <c r="F53" s="1361"/>
      <c r="G53" s="1361"/>
      <c r="H53" s="1361"/>
      <c r="I53" s="226"/>
      <c r="J53" s="226"/>
      <c r="K53" s="226"/>
      <c r="M53" s="1">
        <v>1682985</v>
      </c>
    </row>
    <row r="54" spans="1:13" ht="15.75" x14ac:dyDescent="0.25">
      <c r="A54" s="1361" t="s">
        <v>2865</v>
      </c>
      <c r="B54" s="1361"/>
      <c r="C54" s="1361"/>
      <c r="D54" s="1361"/>
      <c r="E54" s="1361"/>
      <c r="F54" s="1361"/>
      <c r="G54" s="1361"/>
      <c r="H54" s="1361"/>
      <c r="I54" s="226">
        <f>450000+3000000+1300000+200000+6000000</f>
        <v>10950000</v>
      </c>
      <c r="J54" s="226">
        <f>3800000+300000+1500000+89000+1000000+1300000</f>
        <v>7989000</v>
      </c>
      <c r="K54" s="226">
        <f>150000+500000+500000+5000000</f>
        <v>6150000</v>
      </c>
      <c r="M54" s="1">
        <v>26656</v>
      </c>
    </row>
    <row r="55" spans="1:13" ht="15.75" x14ac:dyDescent="0.25">
      <c r="A55" s="1361" t="s">
        <v>4275</v>
      </c>
      <c r="B55" s="1361"/>
      <c r="C55" s="1361"/>
      <c r="D55" s="1361"/>
      <c r="E55" s="1361"/>
      <c r="F55" s="1361"/>
      <c r="G55" s="1361"/>
      <c r="H55" s="1361"/>
      <c r="I55" s="226"/>
      <c r="J55" s="226">
        <v>493250</v>
      </c>
      <c r="K55" s="226"/>
      <c r="M55" s="1">
        <v>7143</v>
      </c>
    </row>
    <row r="56" spans="1:13" ht="15.75" x14ac:dyDescent="0.25">
      <c r="A56" s="1357" t="s">
        <v>2639</v>
      </c>
      <c r="B56" s="1357"/>
      <c r="C56" s="1357"/>
      <c r="D56" s="1357"/>
      <c r="E56" s="1357"/>
      <c r="F56" s="1357"/>
      <c r="G56" s="1357"/>
      <c r="H56" s="1357"/>
      <c r="I56" s="264">
        <f>I51-I53-I54-I55</f>
        <v>-3412565.338383601</v>
      </c>
      <c r="J56" s="264">
        <f>J51+J55-J54</f>
        <v>41684.661616398953</v>
      </c>
      <c r="K56" s="264">
        <f>K51-K53-K54-K55</f>
        <v>1615841.7725744722</v>
      </c>
      <c r="M56" s="1">
        <v>7257</v>
      </c>
    </row>
    <row r="57" spans="1:13" ht="15.75" x14ac:dyDescent="0.25">
      <c r="A57" s="1358" t="s">
        <v>2774</v>
      </c>
      <c r="B57" s="1358"/>
      <c r="C57" s="1358"/>
      <c r="D57" s="1358"/>
      <c r="E57" s="1358"/>
      <c r="F57" s="1358"/>
      <c r="G57" s="1358"/>
      <c r="H57" s="1358"/>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59" t="s">
        <v>3670</v>
      </c>
      <c r="B61" s="1359"/>
      <c r="C61" s="1359"/>
      <c r="D61" s="1359"/>
      <c r="E61" s="1359"/>
      <c r="F61" s="1359"/>
      <c r="G61" s="1359"/>
      <c r="H61" s="1359"/>
      <c r="I61" s="1359"/>
      <c r="J61" s="1359"/>
      <c r="K61" s="1359"/>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60">
        <f>'Main Summary'!V19</f>
        <v>138622950.11069509</v>
      </c>
      <c r="B63" s="1360">
        <f>'Main Summary'!W19</f>
        <v>174948764</v>
      </c>
      <c r="C63" s="1360">
        <f>B63-A63</f>
        <v>36325813.889304906</v>
      </c>
      <c r="D63" s="1360">
        <v>2000000</v>
      </c>
      <c r="E63" s="1362">
        <v>4500000</v>
      </c>
      <c r="F63" s="1362">
        <v>889800</v>
      </c>
      <c r="G63" s="1360">
        <v>500000</v>
      </c>
      <c r="H63" s="1360">
        <f>C63-D63-G63-E63-F63</f>
        <v>28436013.889304906</v>
      </c>
      <c r="I63" s="1360">
        <f>H63*33%</f>
        <v>9383884.5834706202</v>
      </c>
      <c r="J63" s="1360">
        <f>H63*33%</f>
        <v>9383884.5834706202</v>
      </c>
      <c r="K63" s="1360">
        <f>H63*34%</f>
        <v>9668244.7223636694</v>
      </c>
    </row>
    <row r="64" spans="1:13" ht="15" customHeight="1" x14ac:dyDescent="0.25">
      <c r="A64" s="1360"/>
      <c r="B64" s="1360"/>
      <c r="C64" s="1360"/>
      <c r="D64" s="1360"/>
      <c r="E64" s="1363"/>
      <c r="F64" s="1363"/>
      <c r="G64" s="1360"/>
      <c r="H64" s="1360"/>
      <c r="I64" s="1360"/>
      <c r="J64" s="1360"/>
      <c r="K64" s="1360"/>
    </row>
    <row r="65" spans="1:18" ht="27" customHeight="1" x14ac:dyDescent="0.25">
      <c r="A65" s="1361" t="s">
        <v>2865</v>
      </c>
      <c r="B65" s="1361"/>
      <c r="C65" s="1361"/>
      <c r="D65" s="1361"/>
      <c r="E65" s="1361"/>
      <c r="F65" s="1361"/>
      <c r="G65" s="1361"/>
      <c r="H65" s="1361"/>
      <c r="I65" s="226">
        <f>'old Sharing details'!H30</f>
        <v>20909127</v>
      </c>
      <c r="J65" s="226">
        <f>'old Sharing details'!H65</f>
        <v>20630910</v>
      </c>
      <c r="K65" s="226">
        <f>'old Sharing details'!D125</f>
        <v>17742859</v>
      </c>
    </row>
    <row r="66" spans="1:18" ht="27" customHeight="1" x14ac:dyDescent="0.25">
      <c r="A66" s="1357" t="s">
        <v>2639</v>
      </c>
      <c r="B66" s="1357"/>
      <c r="C66" s="1357"/>
      <c r="D66" s="1357"/>
      <c r="E66" s="1357"/>
      <c r="F66" s="1357"/>
      <c r="G66" s="1357"/>
      <c r="H66" s="1357"/>
      <c r="I66" s="264">
        <f>I63-I65</f>
        <v>-11525242.41652938</v>
      </c>
      <c r="J66" s="264">
        <f t="shared" ref="J66:K66" si="0">J63-J65</f>
        <v>-11247025.41652938</v>
      </c>
      <c r="K66" s="264">
        <f t="shared" si="0"/>
        <v>-8074614.2776363306</v>
      </c>
    </row>
    <row r="67" spans="1:18" ht="15.75" x14ac:dyDescent="0.25">
      <c r="A67" s="1358" t="s">
        <v>2774</v>
      </c>
      <c r="B67" s="1358"/>
      <c r="C67" s="1358"/>
      <c r="D67" s="1358"/>
      <c r="E67" s="1358"/>
      <c r="F67" s="1358"/>
      <c r="G67" s="1358"/>
      <c r="H67" s="1358"/>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73" t="s">
        <v>5164</v>
      </c>
      <c r="B69" s="1373"/>
      <c r="C69" s="1373"/>
      <c r="D69" s="1373"/>
      <c r="E69" s="284">
        <v>3118282</v>
      </c>
      <c r="M69"/>
      <c r="N69" s="1">
        <v>4629646</v>
      </c>
      <c r="O69" s="1">
        <v>7330193</v>
      </c>
      <c r="P69" s="1">
        <v>1850440</v>
      </c>
      <c r="R69" s="1"/>
    </row>
    <row r="70" spans="1:18" x14ac:dyDescent="0.25">
      <c r="A70" s="1373" t="s">
        <v>5162</v>
      </c>
      <c r="B70" s="1373"/>
      <c r="C70" s="1373"/>
      <c r="D70" s="1373"/>
      <c r="E70" s="15">
        <v>1000000</v>
      </c>
      <c r="M70"/>
      <c r="N70" s="3"/>
      <c r="R70" s="1"/>
    </row>
    <row r="71" spans="1:18" ht="26.25" x14ac:dyDescent="0.25">
      <c r="A71" s="1373" t="s">
        <v>5163</v>
      </c>
      <c r="B71" s="1373"/>
      <c r="C71" s="1373"/>
      <c r="D71" s="1373"/>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56" t="s">
        <v>4712</v>
      </c>
      <c r="O73" s="1356"/>
      <c r="P73" s="1356"/>
    </row>
    <row r="74" spans="1:18" x14ac:dyDescent="0.25">
      <c r="A74">
        <f>139220029+2000000</f>
        <v>141220029</v>
      </c>
      <c r="B74" s="3">
        <f>B63-A74</f>
        <v>33728735</v>
      </c>
      <c r="M74"/>
      <c r="N74" s="1356"/>
      <c r="O74" s="1356"/>
      <c r="P74" s="1356"/>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7" t="s">
        <v>1767</v>
      </c>
      <c r="D1" s="1147"/>
      <c r="E1" s="1147"/>
    </row>
    <row r="2" spans="1:8" x14ac:dyDescent="0.25">
      <c r="C2" s="1147"/>
      <c r="D2" s="1147"/>
      <c r="E2" s="1147"/>
    </row>
    <row r="3" spans="1:8" x14ac:dyDescent="0.25">
      <c r="C3" s="1311" t="s">
        <v>4713</v>
      </c>
      <c r="D3" s="1311"/>
      <c r="E3" s="1311"/>
    </row>
    <row r="4" spans="1:8" x14ac:dyDescent="0.25">
      <c r="C4" s="1311"/>
      <c r="D4" s="1311"/>
      <c r="E4" s="1311"/>
    </row>
    <row r="6" spans="1:8" ht="14.45" customHeight="1" x14ac:dyDescent="0.25">
      <c r="A6" s="1374" t="s">
        <v>1894</v>
      </c>
      <c r="B6" s="1375"/>
      <c r="C6" s="1375"/>
      <c r="D6" s="1376"/>
      <c r="E6" s="1383" t="s">
        <v>4751</v>
      </c>
      <c r="F6" s="1383"/>
      <c r="G6" s="1383"/>
      <c r="H6" s="1383"/>
    </row>
    <row r="7" spans="1:8" ht="14.45" customHeight="1" x14ac:dyDescent="0.25">
      <c r="A7" s="1377"/>
      <c r="B7" s="1378"/>
      <c r="C7" s="1378"/>
      <c r="D7" s="1379"/>
      <c r="E7" s="1383"/>
      <c r="F7" s="1383"/>
      <c r="G7" s="1383"/>
      <c r="H7" s="1383"/>
    </row>
    <row r="8" spans="1:8" ht="14.45" customHeight="1" x14ac:dyDescent="0.25">
      <c r="A8" s="1380"/>
      <c r="B8" s="1381"/>
      <c r="C8" s="1381"/>
      <c r="D8" s="1382"/>
      <c r="E8" s="1383"/>
      <c r="F8" s="1383"/>
      <c r="G8" s="1383"/>
      <c r="H8" s="1383"/>
    </row>
    <row r="9" spans="1:8" ht="27" thickBot="1" x14ac:dyDescent="0.3">
      <c r="A9" s="1288" t="s">
        <v>4590</v>
      </c>
      <c r="B9" s="1289"/>
      <c r="C9" s="1289"/>
      <c r="D9" s="1290"/>
      <c r="E9" s="1291" t="s">
        <v>4590</v>
      </c>
      <c r="F9" s="1292"/>
      <c r="G9" s="1292"/>
      <c r="H9" s="1293"/>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95" t="s">
        <v>4596</v>
      </c>
      <c r="F30" s="1295"/>
      <c r="G30" s="1296"/>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97" t="s">
        <v>4748</v>
      </c>
      <c r="F37" s="1292"/>
      <c r="G37" s="1292"/>
      <c r="H37" s="1293"/>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94" t="s">
        <v>4596</v>
      </c>
      <c r="B54" s="1294"/>
      <c r="C54" s="1294"/>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87" t="s">
        <v>4600</v>
      </c>
      <c r="B58" s="1388"/>
      <c r="C58" s="1388"/>
      <c r="D58" s="1388"/>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94" t="s">
        <v>4596</v>
      </c>
      <c r="F65" s="1294"/>
      <c r="G65" s="1294"/>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93" t="s">
        <v>4745</v>
      </c>
      <c r="F73" s="1393"/>
      <c r="G73" s="1393"/>
      <c r="H73" s="1393"/>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94" t="s">
        <v>4596</v>
      </c>
      <c r="F87" s="1395"/>
      <c r="G87" s="1396"/>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89" t="s">
        <v>4596</v>
      </c>
      <c r="B102" s="1329"/>
      <c r="C102" s="1330"/>
      <c r="D102" s="314">
        <f>SUM(D60:D101)</f>
        <v>8325000</v>
      </c>
    </row>
    <row r="104" spans="1:4" ht="15.75" thickBot="1" x14ac:dyDescent="0.3">
      <c r="D104" s="50"/>
    </row>
    <row r="105" spans="1:4" ht="21.75" thickBot="1" x14ac:dyDescent="0.3">
      <c r="A105" s="1390" t="s">
        <v>4597</v>
      </c>
      <c r="B105" s="1391"/>
      <c r="C105" s="1391"/>
      <c r="D105" s="1392"/>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28" t="s">
        <v>4596</v>
      </c>
      <c r="B124" s="1329"/>
      <c r="C124" s="1330"/>
      <c r="D124" s="321">
        <f>SUM(D107:D123)</f>
        <v>3665720</v>
      </c>
    </row>
    <row r="125" spans="1:4" ht="19.5" thickBot="1" x14ac:dyDescent="0.35">
      <c r="A125" s="1384" t="s">
        <v>4617</v>
      </c>
      <c r="B125" s="1385"/>
      <c r="C125" s="1386"/>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2024-03-16T11:43:37Z</dcterms:modified>
</cp:coreProperties>
</file>