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CFB049F8-15C1-4061-9E25-28D955DFA9AB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Sheets'!$A$3:$X$116</definedName>
    <definedName name="_xlnm.Print_Area" localSheetId="1">'Salary Record'!$A$749:$L$762</definedName>
    <definedName name="_xlnm.Print_Area" localSheetId="0">'Salary Sheets'!$A$1:$Q$90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J73" i="1" l="1"/>
  <c r="E73" i="1"/>
  <c r="I373" i="8"/>
  <c r="K595" i="8" l="1"/>
  <c r="E66" i="13"/>
  <c r="R74" i="8" l="1"/>
  <c r="R73" i="8"/>
  <c r="Y329" i="8"/>
  <c r="W329" i="8"/>
  <c r="W299" i="8"/>
  <c r="V44" i="8"/>
  <c r="V209" i="8"/>
  <c r="K430" i="8"/>
  <c r="E65" i="13"/>
  <c r="U755" i="8"/>
  <c r="U787" i="8"/>
  <c r="U786" i="8"/>
  <c r="U663" i="8"/>
  <c r="U662" i="8"/>
  <c r="U601" i="8"/>
  <c r="U585" i="8"/>
  <c r="U555" i="8"/>
  <c r="U510" i="8"/>
  <c r="U480" i="8"/>
  <c r="U435" i="8"/>
  <c r="U420" i="8"/>
  <c r="U389" i="8"/>
  <c r="U359" i="8"/>
  <c r="U329" i="8"/>
  <c r="U314" i="8"/>
  <c r="U299" i="8"/>
  <c r="U284" i="8"/>
  <c r="U209" i="8"/>
  <c r="U194" i="8"/>
  <c r="U179" i="8"/>
  <c r="U164" i="8"/>
  <c r="U149" i="8"/>
  <c r="U119" i="8"/>
  <c r="U104" i="8"/>
  <c r="U44" i="8"/>
  <c r="E64" i="13"/>
  <c r="K114" i="8"/>
  <c r="E81" i="1"/>
  <c r="B81" i="1"/>
  <c r="U873" i="8"/>
  <c r="W873" i="8" s="1"/>
  <c r="Y873" i="8" s="1"/>
  <c r="R873" i="8"/>
  <c r="U872" i="8"/>
  <c r="W872" i="8" s="1"/>
  <c r="Y872" i="8" s="1"/>
  <c r="R872" i="8"/>
  <c r="U871" i="8"/>
  <c r="W871" i="8" s="1"/>
  <c r="Y871" i="8" s="1"/>
  <c r="R871" i="8"/>
  <c r="U870" i="8"/>
  <c r="W870" i="8" s="1"/>
  <c r="Y870" i="8" s="1"/>
  <c r="R870" i="8"/>
  <c r="U869" i="8"/>
  <c r="W869" i="8" s="1"/>
  <c r="Y869" i="8" s="1"/>
  <c r="R869" i="8"/>
  <c r="G869" i="8"/>
  <c r="K869" i="8" s="1"/>
  <c r="C869" i="8"/>
  <c r="R868" i="8"/>
  <c r="C868" i="8"/>
  <c r="C870" i="8"/>
  <c r="I866" i="8" s="1"/>
  <c r="K866" i="8" s="1"/>
  <c r="K867" i="8"/>
  <c r="G867" i="8"/>
  <c r="R864" i="8"/>
  <c r="U863" i="8"/>
  <c r="W863" i="8" s="1"/>
  <c r="Y863" i="8" s="1"/>
  <c r="U864" i="8" s="1"/>
  <c r="W864" i="8" s="1"/>
  <c r="Y864" i="8" s="1"/>
  <c r="U865" i="8" s="1"/>
  <c r="W865" i="8" s="1"/>
  <c r="Y865" i="8" s="1"/>
  <c r="U866" i="8" s="1"/>
  <c r="R863" i="8"/>
  <c r="Y862" i="8"/>
  <c r="W862" i="8"/>
  <c r="H861" i="8"/>
  <c r="G861" i="8"/>
  <c r="E63" i="13"/>
  <c r="K580" i="8"/>
  <c r="K868" i="8" l="1"/>
  <c r="K870" i="8" s="1"/>
  <c r="W866" i="8"/>
  <c r="R197" i="8"/>
  <c r="R196" i="8"/>
  <c r="R195" i="8"/>
  <c r="R194" i="8"/>
  <c r="K673" i="8"/>
  <c r="E62" i="13"/>
  <c r="Y866" i="8" l="1"/>
  <c r="K851" i="8"/>
  <c r="J72" i="1" s="1"/>
  <c r="K835" i="8"/>
  <c r="J65" i="1" s="1"/>
  <c r="H72" i="1"/>
  <c r="E72" i="1"/>
  <c r="B72" i="1"/>
  <c r="U857" i="8"/>
  <c r="W857" i="8" s="1"/>
  <c r="Y857" i="8" s="1"/>
  <c r="R857" i="8"/>
  <c r="U856" i="8"/>
  <c r="W856" i="8" s="1"/>
  <c r="Y856" i="8" s="1"/>
  <c r="R856" i="8"/>
  <c r="U855" i="8"/>
  <c r="W855" i="8" s="1"/>
  <c r="Y855" i="8" s="1"/>
  <c r="R855" i="8"/>
  <c r="U854" i="8"/>
  <c r="W854" i="8" s="1"/>
  <c r="Y854" i="8" s="1"/>
  <c r="R854" i="8"/>
  <c r="U853" i="8"/>
  <c r="W853" i="8" s="1"/>
  <c r="Y853" i="8" s="1"/>
  <c r="R853" i="8"/>
  <c r="G853" i="8"/>
  <c r="O72" i="1" s="1"/>
  <c r="C853" i="8"/>
  <c r="G72" i="1" s="1"/>
  <c r="R852" i="8"/>
  <c r="C852" i="8"/>
  <c r="F72" i="1" s="1"/>
  <c r="R851" i="8"/>
  <c r="C854" i="8" s="1"/>
  <c r="I850" i="8" s="1"/>
  <c r="K850" i="8" s="1"/>
  <c r="G851" i="8"/>
  <c r="M72" i="1" s="1"/>
  <c r="R848" i="8"/>
  <c r="R847" i="8"/>
  <c r="W846" i="8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U850" i="8" s="1"/>
  <c r="H845" i="8"/>
  <c r="G845" i="8"/>
  <c r="H65" i="1"/>
  <c r="E65" i="1"/>
  <c r="B65" i="1"/>
  <c r="E61" i="13"/>
  <c r="K520" i="8"/>
  <c r="K852" i="8" l="1"/>
  <c r="I72" i="1"/>
  <c r="U867" i="8"/>
  <c r="K853" i="8"/>
  <c r="K854" i="8" s="1"/>
  <c r="Q72" i="1" s="1"/>
  <c r="K72" i="1"/>
  <c r="W850" i="8"/>
  <c r="W867" i="8" l="1"/>
  <c r="G866" i="8"/>
  <c r="Y850" i="8"/>
  <c r="U38" i="1"/>
  <c r="Y867" i="8" l="1"/>
  <c r="G868" i="8"/>
  <c r="U851" i="8"/>
  <c r="R441" i="8"/>
  <c r="R440" i="8"/>
  <c r="R439" i="8"/>
  <c r="R438" i="8"/>
  <c r="R437" i="8"/>
  <c r="R436" i="8"/>
  <c r="R435" i="8"/>
  <c r="R434" i="8"/>
  <c r="W724" i="8"/>
  <c r="W851" i="8" l="1"/>
  <c r="G850" i="8"/>
  <c r="L72" i="1" s="1"/>
  <c r="U868" i="8"/>
  <c r="W868" i="8" s="1"/>
  <c r="Y868" i="8" s="1"/>
  <c r="G870" i="8"/>
  <c r="V661" i="8"/>
  <c r="V208" i="8"/>
  <c r="V785" i="8"/>
  <c r="Y851" i="8" l="1"/>
  <c r="G852" i="8"/>
  <c r="N72" i="1" s="1"/>
  <c r="E60" i="13"/>
  <c r="E59" i="13"/>
  <c r="K565" i="8"/>
  <c r="K99" i="8"/>
  <c r="U852" i="8" l="1"/>
  <c r="W852" i="8" s="1"/>
  <c r="Y852" i="8" s="1"/>
  <c r="G854" i="8"/>
  <c r="P72" i="1" s="1"/>
  <c r="R580" i="8"/>
  <c r="K159" i="8" l="1"/>
  <c r="E58" i="13"/>
  <c r="R433" i="8"/>
  <c r="R222" i="8" l="1"/>
  <c r="R72" i="8"/>
  <c r="R71" i="8"/>
  <c r="V660" i="8" l="1"/>
  <c r="V207" i="8" l="1"/>
  <c r="K798" i="8"/>
  <c r="K294" i="8"/>
  <c r="E57" i="13"/>
  <c r="E56" i="13"/>
  <c r="E55" i="13"/>
  <c r="K626" i="8" l="1"/>
  <c r="R129" i="8" l="1"/>
  <c r="K129" i="8" l="1"/>
  <c r="E54" i="13"/>
  <c r="K657" i="8" l="1"/>
  <c r="E53" i="13"/>
  <c r="E52" i="13"/>
  <c r="H69" i="1" l="1"/>
  <c r="E69" i="1"/>
  <c r="B69" i="1"/>
  <c r="P816" i="8"/>
  <c r="P296" i="8"/>
  <c r="K756" i="8" l="1"/>
  <c r="K550" i="8"/>
  <c r="V659" i="8" l="1"/>
  <c r="W475" i="8" l="1"/>
  <c r="Y475" i="8" s="1"/>
  <c r="U476" i="8" s="1"/>
  <c r="W476" i="8" s="1"/>
  <c r="Y476" i="8" s="1"/>
  <c r="U477" i="8" s="1"/>
  <c r="W477" i="8" s="1"/>
  <c r="Y477" i="8" s="1"/>
  <c r="U478" i="8" s="1"/>
  <c r="R100" i="8" l="1"/>
  <c r="R101" i="8" s="1"/>
  <c r="R102" i="8" s="1"/>
  <c r="H80" i="1" l="1"/>
  <c r="E80" i="1"/>
  <c r="B80" i="1"/>
  <c r="V658" i="8" l="1"/>
  <c r="V205" i="8"/>
  <c r="R189" i="8" l="1"/>
  <c r="R159" i="8" l="1"/>
  <c r="H79" i="1" l="1"/>
  <c r="E79" i="1"/>
  <c r="V781" i="8"/>
  <c r="B79" i="1"/>
  <c r="V657" i="8" l="1"/>
  <c r="R204" i="8"/>
  <c r="R205" i="8" s="1"/>
  <c r="R206" i="8" s="1"/>
  <c r="R207" i="8" s="1"/>
  <c r="K771" i="8"/>
  <c r="R294" i="8"/>
  <c r="R219" i="8"/>
  <c r="R220" i="8" s="1"/>
  <c r="R279" i="8" l="1"/>
  <c r="R280" i="8" s="1"/>
  <c r="R281" i="8" s="1"/>
  <c r="R282" i="8" s="1"/>
  <c r="R283" i="8" s="1"/>
  <c r="R284" i="8" s="1"/>
  <c r="R285" i="8" s="1"/>
  <c r="R286" i="8" s="1"/>
  <c r="R287" i="8" s="1"/>
  <c r="R288" i="8" s="1"/>
  <c r="R289" i="8" s="1"/>
  <c r="R290" i="8" s="1"/>
  <c r="H51" i="1"/>
  <c r="E51" i="1"/>
  <c r="B51" i="1"/>
  <c r="K234" i="8"/>
  <c r="K249" i="8"/>
  <c r="K641" i="8"/>
  <c r="K279" i="8"/>
  <c r="E51" i="13"/>
  <c r="E50" i="13"/>
  <c r="E49" i="13"/>
  <c r="E48" i="13"/>
  <c r="H68" i="1"/>
  <c r="E68" i="1"/>
  <c r="B68" i="1"/>
  <c r="H71" i="1"/>
  <c r="E71" i="1"/>
  <c r="B71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K14" i="8" s="1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7" i="1" l="1"/>
  <c r="B77" i="1"/>
  <c r="K678" i="8"/>
  <c r="W657" i="8" l="1"/>
  <c r="Y657" i="8" s="1"/>
  <c r="U658" i="8" l="1"/>
  <c r="W658" i="8" s="1"/>
  <c r="Y658" i="8" s="1"/>
  <c r="K535" i="8"/>
  <c r="K505" i="8"/>
  <c r="E26" i="13"/>
  <c r="E25" i="13"/>
  <c r="E24" i="13"/>
  <c r="E23" i="13"/>
  <c r="U659" i="8" l="1"/>
  <c r="W659" i="8" s="1"/>
  <c r="Y659" i="8" s="1"/>
  <c r="B60" i="1"/>
  <c r="G16" i="8"/>
  <c r="K16" i="8" s="1"/>
  <c r="C16" i="8"/>
  <c r="C15" i="8"/>
  <c r="G14" i="8"/>
  <c r="I13" i="8"/>
  <c r="K13" i="8" s="1"/>
  <c r="C634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U660" i="8" l="1"/>
  <c r="W660" i="8" s="1"/>
  <c r="Y660" i="8" s="1"/>
  <c r="G257" i="8"/>
  <c r="K15" i="8"/>
  <c r="K17" i="8" s="1"/>
  <c r="K284" i="8"/>
  <c r="U661" i="8" l="1"/>
  <c r="W661" i="8" s="1"/>
  <c r="Y661" i="8" s="1"/>
  <c r="W662" i="8" s="1"/>
  <c r="Y662" i="8" s="1"/>
  <c r="W663" i="8" s="1"/>
  <c r="Y663" i="8" s="1"/>
  <c r="U664" i="8" s="1"/>
  <c r="W664" i="8" s="1"/>
  <c r="Y664" i="8" s="1"/>
  <c r="U665" i="8" s="1"/>
  <c r="C107" i="8" l="1"/>
  <c r="Y239" i="8"/>
  <c r="U254" i="8"/>
  <c r="W254" i="8" s="1"/>
  <c r="Y254" i="8" s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W359" i="8" s="1"/>
  <c r="Y359" i="8" s="1"/>
  <c r="W339" i="8"/>
  <c r="E22" i="13"/>
  <c r="W340" i="8" l="1"/>
  <c r="Y340" i="8" s="1"/>
  <c r="Y339" i="8"/>
  <c r="U340" i="8" s="1"/>
  <c r="B41" i="1"/>
  <c r="W626" i="8"/>
  <c r="Y626" i="8" s="1"/>
  <c r="U627" i="8" s="1"/>
  <c r="W627" i="8" s="1"/>
  <c r="Y627" i="8" s="1"/>
  <c r="U341" i="8" l="1"/>
  <c r="W341" i="8" s="1"/>
  <c r="Y341" i="8" s="1"/>
  <c r="U628" i="8"/>
  <c r="W628" i="8" s="1"/>
  <c r="Y628" i="8" s="1"/>
  <c r="U629" i="8" s="1"/>
  <c r="W629" i="8" s="1"/>
  <c r="Y629" i="8" s="1"/>
  <c r="W641" i="8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U342" i="8" l="1"/>
  <c r="W342" i="8" s="1"/>
  <c r="Y342" i="8" s="1"/>
  <c r="U343" i="8" s="1"/>
  <c r="W343" i="8" s="1"/>
  <c r="Y343" i="8" s="1"/>
  <c r="U344" i="8" s="1"/>
  <c r="W344" i="8" s="1"/>
  <c r="Y344" i="8" s="1"/>
  <c r="U630" i="8"/>
  <c r="W630" i="8" s="1"/>
  <c r="Y630" i="8" s="1"/>
  <c r="W631" i="8" s="1"/>
  <c r="Y631" i="8" s="1"/>
  <c r="C17" i="8"/>
  <c r="R16" i="8"/>
  <c r="R17" i="8" s="1"/>
  <c r="U649" i="8"/>
  <c r="W649" i="8" s="1"/>
  <c r="Y649" i="8" s="1"/>
  <c r="U650" i="8" s="1"/>
  <c r="C32" i="8"/>
  <c r="U28" i="8"/>
  <c r="W12" i="8"/>
  <c r="W28" i="8" l="1"/>
  <c r="Y12" i="8"/>
  <c r="E6" i="13"/>
  <c r="E5" i="13"/>
  <c r="E4" i="13"/>
  <c r="E3" i="13"/>
  <c r="Y28" i="8" l="1"/>
  <c r="G32" i="8" s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U14" i="8" l="1"/>
  <c r="B70" i="1"/>
  <c r="W14" i="8" l="1"/>
  <c r="K204" i="8"/>
  <c r="Y14" i="8" l="1"/>
  <c r="R478" i="8"/>
  <c r="R479" i="8" s="1"/>
  <c r="R480" i="8" s="1"/>
  <c r="R481" i="8" s="1"/>
  <c r="R482" i="8" s="1"/>
  <c r="R485" i="8"/>
  <c r="R476" i="8"/>
  <c r="R221" i="8"/>
  <c r="R224" i="8" s="1"/>
  <c r="R225" i="8" s="1"/>
  <c r="C712" i="8" l="1"/>
  <c r="R226" i="8"/>
  <c r="C227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7" i="1"/>
  <c r="U139" i="8" l="1"/>
  <c r="W139" i="8" s="1"/>
  <c r="Y139" i="8" s="1"/>
  <c r="U17" i="8"/>
  <c r="B66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190" i="8"/>
  <c r="R191" i="8" s="1"/>
  <c r="R192" i="8" s="1"/>
  <c r="R193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30" i="8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70" i="8"/>
  <c r="R571" i="8" s="1"/>
  <c r="R54" i="8"/>
  <c r="C272" i="8" l="1"/>
  <c r="Y17" i="8"/>
  <c r="R331" i="8"/>
  <c r="R391" i="8"/>
  <c r="C197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49" i="8"/>
  <c r="R650" i="8" s="1"/>
  <c r="R55" i="8"/>
  <c r="R56" i="8" l="1"/>
  <c r="R57" i="8" s="1"/>
  <c r="R58" i="8" s="1"/>
  <c r="R59" i="8" s="1"/>
  <c r="R60" i="8" s="1"/>
  <c r="R61" i="8" s="1"/>
  <c r="R62" i="8" s="1"/>
  <c r="R63" i="8" s="1"/>
  <c r="C62" i="8"/>
  <c r="C619" i="8"/>
  <c r="K374" i="8" l="1"/>
  <c r="J58" i="1" s="1"/>
  <c r="W571" i="8" l="1"/>
  <c r="K74" i="8" l="1"/>
  <c r="B31" i="1" l="1"/>
  <c r="C116" i="1" l="1"/>
  <c r="R552" i="8" l="1"/>
  <c r="C558" i="8" s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U431" i="8" s="1"/>
  <c r="W69" i="8"/>
  <c r="Y69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580" i="8"/>
  <c r="Y580" i="8" s="1"/>
  <c r="U581" i="8" s="1"/>
  <c r="W309" i="8"/>
  <c r="Y309" i="8" s="1"/>
  <c r="U310" i="8" s="1"/>
  <c r="W415" i="8"/>
  <c r="Y415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U612" i="8" s="1"/>
  <c r="W550" i="8"/>
  <c r="Y550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W601" i="8" s="1"/>
  <c r="Y601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384" i="8"/>
  <c r="Y384" i="8" s="1"/>
  <c r="U385" i="8" s="1"/>
  <c r="W324" i="8"/>
  <c r="Y324" i="8" s="1"/>
  <c r="W84" i="8"/>
  <c r="Y84" i="8" s="1"/>
  <c r="U85" i="8" s="1"/>
  <c r="U602" i="8" l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U325" i="8"/>
  <c r="W325" i="8" s="1"/>
  <c r="Y325" i="8" s="1"/>
  <c r="U416" i="8"/>
  <c r="W416" i="8" s="1"/>
  <c r="Y416" i="8" s="1"/>
  <c r="U551" i="8"/>
  <c r="W551" i="8" s="1"/>
  <c r="Y551" i="8" s="1"/>
  <c r="U70" i="8"/>
  <c r="W70" i="8" s="1"/>
  <c r="Y70" i="8" s="1"/>
  <c r="U175" i="8"/>
  <c r="W175" i="8" s="1"/>
  <c r="Y175" i="8" s="1"/>
  <c r="U752" i="8"/>
  <c r="W752" i="8" s="1"/>
  <c r="Y752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W755" i="8"/>
  <c r="Y755" i="8" s="1"/>
  <c r="U756" i="8" s="1"/>
  <c r="W431" i="8"/>
  <c r="Y431" i="8" s="1"/>
  <c r="U432" i="8" s="1"/>
  <c r="W310" i="8"/>
  <c r="Y310" i="8" s="1"/>
  <c r="U311" i="8" s="1"/>
  <c r="U536" i="8"/>
  <c r="W536" i="8" s="1"/>
  <c r="Y536" i="8" s="1"/>
  <c r="W715" i="8"/>
  <c r="Y715" i="8" s="1"/>
  <c r="W500" i="8"/>
  <c r="Y500" i="8" s="1"/>
  <c r="W501" i="8" s="1"/>
  <c r="Y501" i="8" s="1"/>
  <c r="U345" i="8"/>
  <c r="W345" i="8" s="1"/>
  <c r="Y345" i="8" s="1"/>
  <c r="W265" i="8"/>
  <c r="Y265" i="8" s="1"/>
  <c r="U266" i="8" s="1"/>
  <c r="W385" i="8"/>
  <c r="Y385" i="8" s="1"/>
  <c r="U386" i="8" s="1"/>
  <c r="W612" i="8"/>
  <c r="Y612" i="8" s="1"/>
  <c r="W85" i="8"/>
  <c r="Y85" i="8" s="1"/>
  <c r="U86" i="8" s="1"/>
  <c r="W581" i="8"/>
  <c r="Y581" i="8" s="1"/>
  <c r="U582" i="8" s="1"/>
  <c r="D116" i="1"/>
  <c r="U552" i="8" l="1"/>
  <c r="W552" i="8" s="1"/>
  <c r="Y552" i="8" s="1"/>
  <c r="U71" i="8"/>
  <c r="W71" i="8" s="1"/>
  <c r="Y71" i="8" s="1"/>
  <c r="U72" i="8" s="1"/>
  <c r="W72" i="8" s="1"/>
  <c r="Y72" i="8" s="1"/>
  <c r="U73" i="8" s="1"/>
  <c r="W73" i="8" s="1"/>
  <c r="Y73" i="8" s="1"/>
  <c r="U417" i="8"/>
  <c r="W417" i="8" s="1"/>
  <c r="Y417" i="8" s="1"/>
  <c r="U418" i="8" s="1"/>
  <c r="W418" i="8" s="1"/>
  <c r="Y418" i="8" s="1"/>
  <c r="U419" i="8" s="1"/>
  <c r="W419" i="8" s="1"/>
  <c r="Y419" i="8" s="1"/>
  <c r="U176" i="8"/>
  <c r="W176" i="8" s="1"/>
  <c r="Y176" i="8" s="1"/>
  <c r="U177" i="8" s="1"/>
  <c r="W177" i="8" s="1"/>
  <c r="Y177" i="8" s="1"/>
  <c r="U178" i="8" s="1"/>
  <c r="W178" i="8" s="1"/>
  <c r="Y178" i="8" s="1"/>
  <c r="U326" i="8"/>
  <c r="W326" i="8" s="1"/>
  <c r="Y326" i="8" s="1"/>
  <c r="U753" i="8"/>
  <c r="W753" i="8" s="1"/>
  <c r="Y753" i="8" s="1"/>
  <c r="G712" i="8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U346" i="8"/>
  <c r="W346" i="8" s="1"/>
  <c r="Y346" i="8" s="1"/>
  <c r="U347" i="8" s="1"/>
  <c r="W756" i="8"/>
  <c r="Y756" i="8" s="1"/>
  <c r="W555" i="8"/>
  <c r="Y555" i="8" s="1"/>
  <c r="W432" i="8"/>
  <c r="Y432" i="8" s="1"/>
  <c r="U433" i="8" s="1"/>
  <c r="W311" i="8"/>
  <c r="Y311" i="8" s="1"/>
  <c r="U312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W613" i="8"/>
  <c r="Y613" i="8" s="1"/>
  <c r="U614" i="8" s="1"/>
  <c r="W330" i="8"/>
  <c r="Y330" i="8" s="1"/>
  <c r="W266" i="8"/>
  <c r="Y266" i="8" s="1"/>
  <c r="U267" i="8" s="1"/>
  <c r="W86" i="8"/>
  <c r="Y86" i="8" s="1"/>
  <c r="U87" i="8" s="1"/>
  <c r="W386" i="8"/>
  <c r="Y386" i="8" s="1"/>
  <c r="U387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583" i="8" s="1"/>
  <c r="U74" i="8" l="1"/>
  <c r="W74" i="8" s="1"/>
  <c r="Y74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327" i="8"/>
  <c r="W327" i="8" s="1"/>
  <c r="Y327" i="8" s="1"/>
  <c r="U328" i="8" s="1"/>
  <c r="W328" i="8" s="1"/>
  <c r="Y328" i="8" s="1"/>
  <c r="U553" i="8"/>
  <c r="W553" i="8" s="1"/>
  <c r="Y553" i="8" s="1"/>
  <c r="U554" i="8" s="1"/>
  <c r="W554" i="8" s="1"/>
  <c r="Y554" i="8" s="1"/>
  <c r="U754" i="8"/>
  <c r="W754" i="8" s="1"/>
  <c r="Y754" i="8" s="1"/>
  <c r="U635" i="8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W420" i="8"/>
  <c r="Y420" i="8" s="1"/>
  <c r="W179" i="8"/>
  <c r="Y179" i="8" s="1"/>
  <c r="W433" i="8"/>
  <c r="Y433" i="8" s="1"/>
  <c r="U434" i="8" s="1"/>
  <c r="W614" i="8"/>
  <c r="Y614" i="8" s="1"/>
  <c r="U615" i="8" s="1"/>
  <c r="W312" i="8"/>
  <c r="Y312" i="8" s="1"/>
  <c r="U313" i="8" s="1"/>
  <c r="W267" i="8"/>
  <c r="Y267" i="8" s="1"/>
  <c r="W268" i="8" s="1"/>
  <c r="Y268" i="8" s="1"/>
  <c r="U269" i="8" s="1"/>
  <c r="W540" i="8"/>
  <c r="Y540" i="8" s="1"/>
  <c r="W87" i="8"/>
  <c r="Y87" i="8" s="1"/>
  <c r="U88" i="8" s="1"/>
  <c r="W387" i="8"/>
  <c r="Y387" i="8" s="1"/>
  <c r="U388" i="8" s="1"/>
  <c r="W478" i="8"/>
  <c r="Y478" i="8" s="1"/>
  <c r="U479" i="8" s="1"/>
  <c r="W583" i="8"/>
  <c r="Y583" i="8" s="1"/>
  <c r="U584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W421" i="8"/>
  <c r="Y421" i="8" s="1"/>
  <c r="U422" i="8" s="1"/>
  <c r="W434" i="8"/>
  <c r="Y434" i="8" s="1"/>
  <c r="W313" i="8"/>
  <c r="Y313" i="8" s="1"/>
  <c r="W615" i="8"/>
  <c r="Y615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U616" i="8" l="1"/>
  <c r="W616" i="8" s="1"/>
  <c r="Y616" i="8" s="1"/>
  <c r="U617" i="8" s="1"/>
  <c r="W617" i="8" s="1"/>
  <c r="Y617" i="8" s="1"/>
  <c r="U618" i="8" s="1"/>
  <c r="W618" i="8" s="1"/>
  <c r="Y618" i="8" s="1"/>
  <c r="U619" i="8" s="1"/>
  <c r="W80" i="8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181" i="8"/>
  <c r="Y181" i="8" s="1"/>
  <c r="W314" i="8"/>
  <c r="Y314" i="8" s="1"/>
  <c r="W435" i="8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W436" i="8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6" i="1" l="1"/>
  <c r="K709" i="8" l="1"/>
  <c r="B50" i="1" l="1"/>
  <c r="R309" i="8" l="1"/>
  <c r="R310" i="8" s="1"/>
  <c r="R311" i="8" l="1"/>
  <c r="R312" i="8" s="1"/>
  <c r="R313" i="8" s="1"/>
  <c r="R314" i="8" s="1"/>
  <c r="R315" i="8" s="1"/>
  <c r="B83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8" i="1" s="1"/>
  <c r="G374" i="8"/>
  <c r="M58" i="1" s="1"/>
  <c r="H368" i="8"/>
  <c r="G368" i="8"/>
  <c r="G226" i="8"/>
  <c r="C226" i="8"/>
  <c r="C225" i="8"/>
  <c r="F61" i="1" s="1"/>
  <c r="K224" i="8"/>
  <c r="J61" i="1" s="1"/>
  <c r="G224" i="8"/>
  <c r="M61" i="1" s="1"/>
  <c r="W219" i="8"/>
  <c r="Y219" i="8" s="1"/>
  <c r="H218" i="8"/>
  <c r="G218" i="8"/>
  <c r="G467" i="8"/>
  <c r="C467" i="8"/>
  <c r="I464" i="8" s="1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U100" i="8" s="1"/>
  <c r="H98" i="8"/>
  <c r="G98" i="8"/>
  <c r="G271" i="8"/>
  <c r="K271" i="8" s="1"/>
  <c r="C271" i="8"/>
  <c r="C270" i="8"/>
  <c r="F62" i="1" s="1"/>
  <c r="K269" i="8"/>
  <c r="J62" i="1" s="1"/>
  <c r="G269" i="8"/>
  <c r="M62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85" i="1" s="1"/>
  <c r="G435" i="8"/>
  <c r="M85" i="1" s="1"/>
  <c r="H429" i="8"/>
  <c r="G429" i="8"/>
  <c r="G361" i="8"/>
  <c r="O50" i="1" s="1"/>
  <c r="C361" i="8"/>
  <c r="C360" i="8"/>
  <c r="K359" i="8"/>
  <c r="J50" i="1" s="1"/>
  <c r="G359" i="8"/>
  <c r="M50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9" i="1" s="1"/>
  <c r="K344" i="8"/>
  <c r="G344" i="8"/>
  <c r="M49" i="1" s="1"/>
  <c r="H338" i="8"/>
  <c r="G338" i="8"/>
  <c r="U792" i="8"/>
  <c r="W792" i="8" s="1"/>
  <c r="Y792" i="8" s="1"/>
  <c r="R791" i="8"/>
  <c r="R788" i="8"/>
  <c r="G788" i="8"/>
  <c r="C788" i="8"/>
  <c r="G79" i="1" s="1"/>
  <c r="C787" i="8"/>
  <c r="F79" i="1" s="1"/>
  <c r="K786" i="8"/>
  <c r="J79" i="1" s="1"/>
  <c r="G786" i="8"/>
  <c r="M79" i="1" s="1"/>
  <c r="W781" i="8"/>
  <c r="Y781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C406" i="8"/>
  <c r="G51" i="1" s="1"/>
  <c r="R405" i="8"/>
  <c r="C405" i="8"/>
  <c r="F51" i="1" s="1"/>
  <c r="K404" i="8"/>
  <c r="J51" i="1" s="1"/>
  <c r="G404" i="8"/>
  <c r="M51" i="1" s="1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8" i="1" s="1"/>
  <c r="C710" i="8"/>
  <c r="I708" i="8" s="1"/>
  <c r="G709" i="8"/>
  <c r="M78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8" i="1" s="1"/>
  <c r="R772" i="8"/>
  <c r="C772" i="8"/>
  <c r="F68" i="1" s="1"/>
  <c r="R771" i="8"/>
  <c r="J68" i="1"/>
  <c r="G771" i="8"/>
  <c r="M68" i="1" s="1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R769" i="8" s="1"/>
  <c r="R770" i="8" s="1"/>
  <c r="W767" i="8"/>
  <c r="Y767" i="8" s="1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71" i="1" s="1"/>
  <c r="R741" i="8"/>
  <c r="C741" i="8"/>
  <c r="F71" i="1" s="1"/>
  <c r="R740" i="8"/>
  <c r="K740" i="8"/>
  <c r="J71" i="1" s="1"/>
  <c r="G740" i="8"/>
  <c r="M71" i="1" s="1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7" i="1" s="1"/>
  <c r="C725" i="8"/>
  <c r="F77" i="1" s="1"/>
  <c r="R724" i="8"/>
  <c r="K724" i="8"/>
  <c r="J77" i="1" s="1"/>
  <c r="G724" i="8"/>
  <c r="M77" i="1" s="1"/>
  <c r="R720" i="8"/>
  <c r="W719" i="8"/>
  <c r="Y719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66" i="1" s="1"/>
  <c r="C315" i="8"/>
  <c r="K314" i="8"/>
  <c r="J66" i="1" s="1"/>
  <c r="G314" i="8"/>
  <c r="M66" i="1" s="1"/>
  <c r="H308" i="8"/>
  <c r="G308" i="8"/>
  <c r="G422" i="8"/>
  <c r="O84" i="1" s="1"/>
  <c r="C422" i="8"/>
  <c r="C421" i="8"/>
  <c r="K420" i="8"/>
  <c r="J84" i="1" s="1"/>
  <c r="G420" i="8"/>
  <c r="M84" i="1" s="1"/>
  <c r="H414" i="8"/>
  <c r="G414" i="8"/>
  <c r="G97" i="1"/>
  <c r="F97" i="1"/>
  <c r="J97" i="1"/>
  <c r="M97" i="1"/>
  <c r="G527" i="8"/>
  <c r="K527" i="8" s="1"/>
  <c r="C527" i="8"/>
  <c r="I524" i="8" s="1"/>
  <c r="C526" i="8"/>
  <c r="F32" i="1" s="1"/>
  <c r="K525" i="8"/>
  <c r="J32" i="1" s="1"/>
  <c r="G525" i="8"/>
  <c r="M32" i="1" s="1"/>
  <c r="H519" i="8"/>
  <c r="G519" i="8"/>
  <c r="G696" i="8"/>
  <c r="K696" i="8" s="1"/>
  <c r="C696" i="8"/>
  <c r="G56" i="1" s="1"/>
  <c r="C695" i="8"/>
  <c r="R694" i="8"/>
  <c r="K694" i="8"/>
  <c r="J56" i="1" s="1"/>
  <c r="G694" i="8"/>
  <c r="M56" i="1" s="1"/>
  <c r="R692" i="8"/>
  <c r="R693" i="8" s="1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70" i="1" s="1"/>
  <c r="K616" i="8"/>
  <c r="J70" i="1" s="1"/>
  <c r="G616" i="8"/>
  <c r="M70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7" i="1" s="1"/>
  <c r="C601" i="8"/>
  <c r="F67" i="1" s="1"/>
  <c r="K600" i="8"/>
  <c r="J67" i="1" s="1"/>
  <c r="G600" i="8"/>
  <c r="M67" i="1" s="1"/>
  <c r="H594" i="8"/>
  <c r="G594" i="8"/>
  <c r="U841" i="8"/>
  <c r="W841" i="8" s="1"/>
  <c r="Y841" i="8" s="1"/>
  <c r="R841" i="8"/>
  <c r="R840" i="8"/>
  <c r="R839" i="8"/>
  <c r="R838" i="8"/>
  <c r="R837" i="8"/>
  <c r="G837" i="8"/>
  <c r="C837" i="8"/>
  <c r="G65" i="1" s="1"/>
  <c r="R836" i="8"/>
  <c r="C836" i="8"/>
  <c r="F65" i="1" s="1"/>
  <c r="R835" i="8"/>
  <c r="G835" i="8"/>
  <c r="M65" i="1" s="1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H829" i="8"/>
  <c r="G829" i="8"/>
  <c r="G821" i="8"/>
  <c r="C821" i="8"/>
  <c r="C820" i="8"/>
  <c r="K819" i="8"/>
  <c r="G819" i="8"/>
  <c r="H813" i="8"/>
  <c r="G813" i="8"/>
  <c r="R762" i="8"/>
  <c r="G758" i="8"/>
  <c r="K758" i="8" s="1"/>
  <c r="C758" i="8"/>
  <c r="G48" i="1" s="1"/>
  <c r="R757" i="8"/>
  <c r="C757" i="8"/>
  <c r="F48" i="1" s="1"/>
  <c r="J48" i="1"/>
  <c r="G756" i="8"/>
  <c r="M48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C805" i="8"/>
  <c r="G80" i="1" s="1"/>
  <c r="R804" i="8"/>
  <c r="C804" i="8"/>
  <c r="F80" i="1" s="1"/>
  <c r="R803" i="8"/>
  <c r="K803" i="8"/>
  <c r="J80" i="1" s="1"/>
  <c r="G803" i="8"/>
  <c r="M80" i="1" s="1"/>
  <c r="R801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9" i="1"/>
  <c r="G284" i="8"/>
  <c r="M59" i="1" s="1"/>
  <c r="Y279" i="8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2" i="1" s="1"/>
  <c r="J52" i="1"/>
  <c r="G329" i="8"/>
  <c r="M52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6" i="1" s="1"/>
  <c r="C90" i="8"/>
  <c r="I88" i="8" s="1"/>
  <c r="K89" i="8"/>
  <c r="J76" i="1" s="1"/>
  <c r="G89" i="8"/>
  <c r="M76" i="1" s="1"/>
  <c r="H83" i="8"/>
  <c r="G83" i="8"/>
  <c r="G196" i="8"/>
  <c r="K196" i="8" s="1"/>
  <c r="C196" i="8"/>
  <c r="I193" i="8" s="1"/>
  <c r="C195" i="8"/>
  <c r="F86" i="1" s="1"/>
  <c r="K194" i="8"/>
  <c r="J86" i="1" s="1"/>
  <c r="G194" i="8"/>
  <c r="M86" i="1" s="1"/>
  <c r="Y189" i="8"/>
  <c r="U190" i="8" s="1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U506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U160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57" i="1" s="1"/>
  <c r="C300" i="8"/>
  <c r="K299" i="8"/>
  <c r="J57" i="1" s="1"/>
  <c r="G299" i="8"/>
  <c r="M57" i="1" s="1"/>
  <c r="W294" i="8"/>
  <c r="Y294" i="8" s="1"/>
  <c r="R295" i="8"/>
  <c r="H293" i="8"/>
  <c r="G293" i="8"/>
  <c r="G96" i="1"/>
  <c r="F96" i="1"/>
  <c r="J96" i="1"/>
  <c r="M96" i="1"/>
  <c r="G211" i="8"/>
  <c r="O44" i="1" s="1"/>
  <c r="C211" i="8"/>
  <c r="C210" i="8"/>
  <c r="F44" i="1" s="1"/>
  <c r="K209" i="8"/>
  <c r="J44" i="1" s="1"/>
  <c r="G209" i="8"/>
  <c r="M44" i="1" s="1"/>
  <c r="Y204" i="8"/>
  <c r="U205" i="8" s="1"/>
  <c r="H203" i="8"/>
  <c r="G203" i="8"/>
  <c r="R260" i="8"/>
  <c r="C257" i="8" s="1"/>
  <c r="G256" i="8"/>
  <c r="K256" i="8" s="1"/>
  <c r="C256" i="8"/>
  <c r="C255" i="8"/>
  <c r="F64" i="1" s="1"/>
  <c r="K254" i="8"/>
  <c r="J64" i="1" s="1"/>
  <c r="G254" i="8"/>
  <c r="M64" i="1" s="1"/>
  <c r="H248" i="8"/>
  <c r="G248" i="8"/>
  <c r="G241" i="8"/>
  <c r="K241" i="8" s="1"/>
  <c r="C241" i="8"/>
  <c r="G63" i="1" s="1"/>
  <c r="C240" i="8"/>
  <c r="F63" i="1" s="1"/>
  <c r="K239" i="8"/>
  <c r="J63" i="1" s="1"/>
  <c r="G239" i="8"/>
  <c r="M63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60" i="1" s="1"/>
  <c r="C647" i="8"/>
  <c r="K646" i="8"/>
  <c r="J60" i="1" s="1"/>
  <c r="G646" i="8"/>
  <c r="M60" i="1" s="1"/>
  <c r="H640" i="8"/>
  <c r="G640" i="8"/>
  <c r="G151" i="8"/>
  <c r="K151" i="8" s="1"/>
  <c r="C151" i="8"/>
  <c r="G87" i="1" s="1"/>
  <c r="C150" i="8"/>
  <c r="K149" i="8"/>
  <c r="J87" i="1" s="1"/>
  <c r="G149" i="8"/>
  <c r="M87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82" i="1" s="1"/>
  <c r="C120" i="8"/>
  <c r="I118" i="8" s="1"/>
  <c r="K119" i="8"/>
  <c r="J82" i="1" s="1"/>
  <c r="G119" i="8"/>
  <c r="M82" i="1" s="1"/>
  <c r="W114" i="8"/>
  <c r="Y114" i="8" s="1"/>
  <c r="U115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U40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83" i="1" s="1"/>
  <c r="J83" i="1"/>
  <c r="G570" i="8"/>
  <c r="M83" i="1" s="1"/>
  <c r="H564" i="8"/>
  <c r="G564" i="8"/>
  <c r="O18" i="1"/>
  <c r="G18" i="1"/>
  <c r="F18" i="1"/>
  <c r="M18" i="1"/>
  <c r="G16" i="1"/>
  <c r="F16" i="1"/>
  <c r="P16" i="1"/>
  <c r="H62" i="1"/>
  <c r="E62" i="1"/>
  <c r="B62" i="1"/>
  <c r="H84" i="1"/>
  <c r="E84" i="1"/>
  <c r="B84" i="1"/>
  <c r="H64" i="1"/>
  <c r="E64" i="1"/>
  <c r="B64" i="1"/>
  <c r="H99" i="1"/>
  <c r="E99" i="1"/>
  <c r="J78" i="1"/>
  <c r="H78" i="1"/>
  <c r="E78" i="1"/>
  <c r="B78" i="1"/>
  <c r="H76" i="1"/>
  <c r="E76" i="1"/>
  <c r="H33" i="1"/>
  <c r="E33" i="1"/>
  <c r="B33" i="1"/>
  <c r="H66" i="1"/>
  <c r="E66" i="1"/>
  <c r="H50" i="1"/>
  <c r="E50" i="1"/>
  <c r="H86" i="1"/>
  <c r="E86" i="1"/>
  <c r="H96" i="1"/>
  <c r="E96" i="1"/>
  <c r="E25" i="1"/>
  <c r="B25" i="1"/>
  <c r="H41" i="1"/>
  <c r="E41" i="1"/>
  <c r="H47" i="1"/>
  <c r="E47" i="1"/>
  <c r="H70" i="1"/>
  <c r="E70" i="1"/>
  <c r="H59" i="1"/>
  <c r="E59" i="1"/>
  <c r="B59" i="1"/>
  <c r="H48" i="1"/>
  <c r="E48" i="1"/>
  <c r="B48" i="1"/>
  <c r="H52" i="1"/>
  <c r="E52" i="1"/>
  <c r="B52" i="1"/>
  <c r="H49" i="1"/>
  <c r="E49" i="1"/>
  <c r="B49" i="1"/>
  <c r="H97" i="1"/>
  <c r="E97" i="1"/>
  <c r="H56" i="1"/>
  <c r="E56" i="1"/>
  <c r="H44" i="1"/>
  <c r="E44" i="1"/>
  <c r="B44" i="1"/>
  <c r="H31" i="1"/>
  <c r="E31" i="1"/>
  <c r="H60" i="1"/>
  <c r="E60" i="1"/>
  <c r="H43" i="1"/>
  <c r="E43" i="1"/>
  <c r="B43" i="1"/>
  <c r="H57" i="1"/>
  <c r="E57" i="1"/>
  <c r="H87" i="1"/>
  <c r="E87" i="1"/>
  <c r="H85" i="1"/>
  <c r="E85" i="1"/>
  <c r="B85" i="1"/>
  <c r="H39" i="1"/>
  <c r="E39" i="1"/>
  <c r="H38" i="1"/>
  <c r="E38" i="1"/>
  <c r="H82" i="1"/>
  <c r="E82" i="1"/>
  <c r="B82" i="1"/>
  <c r="H37" i="1"/>
  <c r="E37" i="1"/>
  <c r="H30" i="1"/>
  <c r="E30" i="1"/>
  <c r="B30" i="1"/>
  <c r="H58" i="1"/>
  <c r="E58" i="1"/>
  <c r="B58" i="1"/>
  <c r="H61" i="1"/>
  <c r="E61" i="1"/>
  <c r="B61" i="1"/>
  <c r="H24" i="1"/>
  <c r="E24" i="1"/>
  <c r="B24" i="1"/>
  <c r="H23" i="1"/>
  <c r="E23" i="1"/>
  <c r="B23" i="1"/>
  <c r="H67" i="1"/>
  <c r="E67" i="1"/>
  <c r="B67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3" i="1"/>
  <c r="E63" i="1"/>
  <c r="B63" i="1"/>
  <c r="H14" i="1"/>
  <c r="E14" i="1"/>
  <c r="B14" i="1"/>
  <c r="H83" i="1"/>
  <c r="E83" i="1"/>
  <c r="O16" i="1"/>
  <c r="M16" i="1"/>
  <c r="L16" i="1"/>
  <c r="I16" i="1"/>
  <c r="H16" i="1"/>
  <c r="H15" i="1"/>
  <c r="E15" i="1"/>
  <c r="E11" i="1"/>
  <c r="D5" i="1"/>
  <c r="D4" i="1"/>
  <c r="P1" i="1"/>
  <c r="N1" i="1"/>
  <c r="E101" i="1" s="1"/>
  <c r="K837" i="8" l="1"/>
  <c r="O65" i="1"/>
  <c r="W220" i="8"/>
  <c r="Y220" i="8" s="1"/>
  <c r="W221" i="8" s="1"/>
  <c r="Y221" i="8" s="1"/>
  <c r="U222" i="8" s="1"/>
  <c r="U280" i="8"/>
  <c r="W280" i="8" s="1"/>
  <c r="Y280" i="8" s="1"/>
  <c r="U281" i="8" s="1"/>
  <c r="W281" i="8" s="1"/>
  <c r="Y281" i="8" s="1"/>
  <c r="U282" i="8" s="1"/>
  <c r="U782" i="8"/>
  <c r="W782" i="8" s="1"/>
  <c r="Y782" i="8" s="1"/>
  <c r="R296" i="8"/>
  <c r="R297" i="8" s="1"/>
  <c r="U720" i="8"/>
  <c r="W720" i="8" s="1"/>
  <c r="Y720" i="8" s="1"/>
  <c r="U295" i="8"/>
  <c r="W295" i="8" s="1"/>
  <c r="Y295" i="8" s="1"/>
  <c r="G99" i="1"/>
  <c r="G69" i="1"/>
  <c r="K821" i="8"/>
  <c r="O69" i="1"/>
  <c r="M99" i="1"/>
  <c r="M69" i="1"/>
  <c r="M90" i="1" s="1"/>
  <c r="F99" i="1"/>
  <c r="F69" i="1"/>
  <c r="J99" i="1"/>
  <c r="J69" i="1"/>
  <c r="K805" i="8"/>
  <c r="O80" i="1"/>
  <c r="F78" i="1"/>
  <c r="K406" i="8"/>
  <c r="O51" i="1"/>
  <c r="K788" i="8"/>
  <c r="O79" i="1"/>
  <c r="K742" i="8"/>
  <c r="O71" i="1"/>
  <c r="K773" i="8"/>
  <c r="O68" i="1"/>
  <c r="F40" i="1"/>
  <c r="K178" i="8"/>
  <c r="C759" i="8"/>
  <c r="I755" i="8" s="1"/>
  <c r="K755" i="8" s="1"/>
  <c r="K757" i="8" s="1"/>
  <c r="K759" i="8" s="1"/>
  <c r="F15" i="1"/>
  <c r="I58" i="8"/>
  <c r="C47" i="8"/>
  <c r="I43" i="8" s="1"/>
  <c r="F57" i="1"/>
  <c r="C789" i="8"/>
  <c r="I785" i="8" s="1"/>
  <c r="I79" i="1" s="1"/>
  <c r="R456" i="8"/>
  <c r="C453" i="8" s="1"/>
  <c r="I449" i="8" s="1"/>
  <c r="C697" i="8"/>
  <c r="I693" i="8" s="1"/>
  <c r="G83" i="1"/>
  <c r="I569" i="8"/>
  <c r="I83" i="1" s="1"/>
  <c r="G59" i="1"/>
  <c r="K283" i="8"/>
  <c r="K285" i="8" s="1"/>
  <c r="K287" i="8" s="1"/>
  <c r="G70" i="1"/>
  <c r="I615" i="8"/>
  <c r="G39" i="1"/>
  <c r="I584" i="8"/>
  <c r="I677" i="8"/>
  <c r="K677" i="8" s="1"/>
  <c r="G64" i="1"/>
  <c r="I253" i="8"/>
  <c r="K253" i="8" s="1"/>
  <c r="K255" i="8" s="1"/>
  <c r="K257" i="8" s="1"/>
  <c r="G31" i="1"/>
  <c r="I509" i="8"/>
  <c r="K509" i="8" s="1"/>
  <c r="K511" i="8" s="1"/>
  <c r="K513" i="8" s="1"/>
  <c r="G33" i="1"/>
  <c r="I554" i="8"/>
  <c r="K554" i="8" s="1"/>
  <c r="K556" i="8" s="1"/>
  <c r="K558" i="8" s="1"/>
  <c r="G62" i="1"/>
  <c r="I268" i="8"/>
  <c r="K268" i="8" s="1"/>
  <c r="K270" i="8" s="1"/>
  <c r="K272" i="8" s="1"/>
  <c r="G30" i="1"/>
  <c r="I539" i="8"/>
  <c r="K539" i="8" s="1"/>
  <c r="K541" i="8" s="1"/>
  <c r="G32" i="1"/>
  <c r="G61" i="1"/>
  <c r="G86" i="1"/>
  <c r="G41" i="1"/>
  <c r="I630" i="8"/>
  <c r="G40" i="1"/>
  <c r="G23" i="1"/>
  <c r="I494" i="8"/>
  <c r="I23" i="1" s="1"/>
  <c r="G25" i="1"/>
  <c r="I479" i="8"/>
  <c r="G24" i="1"/>
  <c r="G26" i="1"/>
  <c r="G47" i="1"/>
  <c r="I388" i="8"/>
  <c r="G58" i="1"/>
  <c r="G50" i="1"/>
  <c r="I358" i="8"/>
  <c r="K358" i="8" s="1"/>
  <c r="K360" i="8" s="1"/>
  <c r="G52" i="1"/>
  <c r="I328" i="8"/>
  <c r="G85" i="1"/>
  <c r="G49" i="1"/>
  <c r="I343" i="8"/>
  <c r="G84" i="1"/>
  <c r="I419" i="8"/>
  <c r="G44" i="1"/>
  <c r="I208" i="8"/>
  <c r="K208" i="8" s="1"/>
  <c r="K210" i="8" s="1"/>
  <c r="K61" i="8"/>
  <c r="O15" i="1"/>
  <c r="J34" i="1"/>
  <c r="R317" i="8"/>
  <c r="R318" i="8" s="1"/>
  <c r="K726" i="8"/>
  <c r="O77" i="1"/>
  <c r="F42" i="1"/>
  <c r="O42" i="1"/>
  <c r="K664" i="8"/>
  <c r="F56" i="1"/>
  <c r="I645" i="8"/>
  <c r="K645" i="8" s="1"/>
  <c r="K647" i="8" s="1"/>
  <c r="K649" i="8" s="1"/>
  <c r="C438" i="8"/>
  <c r="I434" i="8" s="1"/>
  <c r="U788" i="8"/>
  <c r="W788" i="8" s="1"/>
  <c r="Y788" i="8" s="1"/>
  <c r="F85" i="1"/>
  <c r="W100" i="8"/>
  <c r="Y100" i="8" s="1"/>
  <c r="U101" i="8" s="1"/>
  <c r="E45" i="1"/>
  <c r="F17" i="1"/>
  <c r="E34" i="1"/>
  <c r="F14" i="1"/>
  <c r="K75" i="8"/>
  <c r="K77" i="8" s="1"/>
  <c r="J27" i="1"/>
  <c r="E27" i="1"/>
  <c r="W506" i="8"/>
  <c r="Y506" i="8" s="1"/>
  <c r="U507" i="8" s="1"/>
  <c r="F76" i="1"/>
  <c r="F59" i="1"/>
  <c r="J88" i="1"/>
  <c r="E53" i="1"/>
  <c r="J42" i="1"/>
  <c r="U1" i="8"/>
  <c r="C727" i="8"/>
  <c r="I723" i="8" s="1"/>
  <c r="C665" i="8"/>
  <c r="I661" i="8" s="1"/>
  <c r="C774" i="8"/>
  <c r="I770" i="8" s="1"/>
  <c r="K770" i="8" s="1"/>
  <c r="C838" i="8"/>
  <c r="I834" i="8" s="1"/>
  <c r="K133" i="8"/>
  <c r="K135" i="8" s="1"/>
  <c r="W40" i="8"/>
  <c r="Y40" i="8" s="1"/>
  <c r="U41" i="8" s="1"/>
  <c r="C407" i="8"/>
  <c r="I403" i="8" s="1"/>
  <c r="C743" i="8"/>
  <c r="I739" i="8" s="1"/>
  <c r="F60" i="1"/>
  <c r="F38" i="1"/>
  <c r="F84" i="1"/>
  <c r="F50" i="1"/>
  <c r="F43" i="1"/>
  <c r="C603" i="8"/>
  <c r="I599" i="8" s="1"/>
  <c r="K599" i="8" s="1"/>
  <c r="K601" i="8" s="1"/>
  <c r="U447" i="8"/>
  <c r="W447" i="8" s="1"/>
  <c r="Y447" i="8" s="1"/>
  <c r="W190" i="8"/>
  <c r="Y190" i="8" s="1"/>
  <c r="U191" i="8" s="1"/>
  <c r="N16" i="1"/>
  <c r="W55" i="8"/>
  <c r="Y55" i="8" s="1"/>
  <c r="U56" i="8" s="1"/>
  <c r="W160" i="8"/>
  <c r="Y160" i="8" s="1"/>
  <c r="U161" i="8" s="1"/>
  <c r="W115" i="8"/>
  <c r="Y115" i="8" s="1"/>
  <c r="U116" i="8" s="1"/>
  <c r="W205" i="8"/>
  <c r="Y205" i="8" s="1"/>
  <c r="U206" i="8" s="1"/>
  <c r="U692" i="8"/>
  <c r="W692" i="8" s="1"/>
  <c r="Y692" i="8" s="1"/>
  <c r="K708" i="8"/>
  <c r="O48" i="1"/>
  <c r="F87" i="1"/>
  <c r="Y299" i="8"/>
  <c r="C806" i="8"/>
  <c r="L97" i="1"/>
  <c r="C822" i="8"/>
  <c r="I818" i="8" s="1"/>
  <c r="I69" i="1" s="1"/>
  <c r="O97" i="1"/>
  <c r="P97" i="1"/>
  <c r="O67" i="1"/>
  <c r="O49" i="1"/>
  <c r="G586" i="8"/>
  <c r="N39" i="1" s="1"/>
  <c r="F82" i="1"/>
  <c r="O39" i="1"/>
  <c r="O78" i="1"/>
  <c r="O66" i="1"/>
  <c r="O59" i="1"/>
  <c r="O33" i="1"/>
  <c r="O40" i="1"/>
  <c r="O61" i="1"/>
  <c r="K226" i="8"/>
  <c r="K542" i="8"/>
  <c r="O30" i="1"/>
  <c r="O38" i="1"/>
  <c r="K467" i="8"/>
  <c r="O24" i="1"/>
  <c r="O32" i="1"/>
  <c r="K106" i="8"/>
  <c r="O17" i="1"/>
  <c r="K482" i="8"/>
  <c r="O25" i="1"/>
  <c r="O63" i="1"/>
  <c r="O23" i="1"/>
  <c r="O82" i="1"/>
  <c r="O56" i="1"/>
  <c r="O64" i="1"/>
  <c r="F66" i="1"/>
  <c r="O31" i="1"/>
  <c r="O19" i="1"/>
  <c r="O41" i="1"/>
  <c r="O70" i="1"/>
  <c r="O87" i="1"/>
  <c r="K680" i="8"/>
  <c r="O43" i="1"/>
  <c r="K376" i="8"/>
  <c r="O58" i="1"/>
  <c r="O96" i="1"/>
  <c r="P39" i="1"/>
  <c r="O99" i="1"/>
  <c r="G524" i="8"/>
  <c r="L32" i="1" s="1"/>
  <c r="O76" i="1"/>
  <c r="O26" i="1"/>
  <c r="O57" i="1"/>
  <c r="O52" i="1"/>
  <c r="O86" i="1"/>
  <c r="K422" i="8"/>
  <c r="O37" i="1"/>
  <c r="O14" i="1"/>
  <c r="J49" i="1"/>
  <c r="J53" i="1" s="1"/>
  <c r="K361" i="8"/>
  <c r="K391" i="8"/>
  <c r="O60" i="1"/>
  <c r="O62" i="1"/>
  <c r="O85" i="1"/>
  <c r="G770" i="8"/>
  <c r="L68" i="1" s="1"/>
  <c r="W776" i="8"/>
  <c r="Y776" i="8" s="1"/>
  <c r="G834" i="8"/>
  <c r="L65" i="1" s="1"/>
  <c r="W840" i="8"/>
  <c r="W699" i="8"/>
  <c r="O83" i="1"/>
  <c r="G88" i="8"/>
  <c r="L76" i="1" s="1"/>
  <c r="G403" i="8"/>
  <c r="L51" i="1" s="1"/>
  <c r="W409" i="8"/>
  <c r="G328" i="8"/>
  <c r="L52" i="1" s="1"/>
  <c r="K211" i="8"/>
  <c r="G178" i="8"/>
  <c r="L40" i="1" s="1"/>
  <c r="G802" i="8"/>
  <c r="L80" i="1" s="1"/>
  <c r="W808" i="8"/>
  <c r="G755" i="8"/>
  <c r="L48" i="1" s="1"/>
  <c r="G584" i="8"/>
  <c r="L39" i="1" s="1"/>
  <c r="N97" i="1"/>
  <c r="G494" i="8"/>
  <c r="L23" i="1" s="1"/>
  <c r="W745" i="8"/>
  <c r="G739" i="8"/>
  <c r="L71" i="1" s="1"/>
  <c r="G343" i="8"/>
  <c r="L49" i="1" s="1"/>
  <c r="G661" i="8"/>
  <c r="L42" i="1" s="1"/>
  <c r="G708" i="8"/>
  <c r="L78" i="1" s="1"/>
  <c r="U296" i="8" l="1"/>
  <c r="W296" i="8" s="1"/>
  <c r="Y296" i="8" s="1"/>
  <c r="U297" i="8" s="1"/>
  <c r="W297" i="8" s="1"/>
  <c r="Y297" i="8" s="1"/>
  <c r="U298" i="8" s="1"/>
  <c r="W298" i="8" s="1"/>
  <c r="Y298" i="8" s="1"/>
  <c r="U721" i="8"/>
  <c r="W721" i="8" s="1"/>
  <c r="Y721" i="8" s="1"/>
  <c r="R298" i="8"/>
  <c r="R299" i="8" s="1"/>
  <c r="R300" i="8" s="1"/>
  <c r="R301" i="8" s="1"/>
  <c r="R302" i="8" s="1"/>
  <c r="R303" i="8" s="1"/>
  <c r="U783" i="8"/>
  <c r="W783" i="8" s="1"/>
  <c r="Y783" i="8" s="1"/>
  <c r="I65" i="1"/>
  <c r="K693" i="8"/>
  <c r="K695" i="8" s="1"/>
  <c r="I802" i="8"/>
  <c r="K802" i="8" s="1"/>
  <c r="K804" i="8" s="1"/>
  <c r="K785" i="8"/>
  <c r="K787" i="8" s="1"/>
  <c r="K789" i="8" s="1"/>
  <c r="I71" i="1"/>
  <c r="K739" i="8"/>
  <c r="K741" i="8" s="1"/>
  <c r="K403" i="8"/>
  <c r="K405" i="8" s="1"/>
  <c r="I51" i="1"/>
  <c r="I68" i="1"/>
  <c r="K772" i="8"/>
  <c r="K67" i="1"/>
  <c r="K603" i="8"/>
  <c r="R319" i="8"/>
  <c r="R320" i="8" s="1"/>
  <c r="C317" i="8" s="1"/>
  <c r="I313" i="8" s="1"/>
  <c r="K313" i="8" s="1"/>
  <c r="K315" i="8" s="1"/>
  <c r="K723" i="8"/>
  <c r="E77" i="1" s="1"/>
  <c r="E88" i="1" s="1"/>
  <c r="U789" i="8"/>
  <c r="K212" i="8"/>
  <c r="K543" i="8"/>
  <c r="K362" i="8"/>
  <c r="K38" i="1"/>
  <c r="K137" i="8"/>
  <c r="W300" i="8"/>
  <c r="Y300" i="8" s="1"/>
  <c r="U301" i="8" s="1"/>
  <c r="W301" i="8" s="1"/>
  <c r="K62" i="1"/>
  <c r="W101" i="8"/>
  <c r="Y101" i="8" s="1"/>
  <c r="U102" i="8" s="1"/>
  <c r="I42" i="1"/>
  <c r="K103" i="8"/>
  <c r="K105" i="8" s="1"/>
  <c r="K107" i="8" s="1"/>
  <c r="K449" i="8"/>
  <c r="K451" i="8" s="1"/>
  <c r="K453" i="8" s="1"/>
  <c r="W507" i="8"/>
  <c r="Y507" i="8" s="1"/>
  <c r="U508" i="8" s="1"/>
  <c r="W282" i="8"/>
  <c r="Y282" i="8" s="1"/>
  <c r="U283" i="8" s="1"/>
  <c r="J45" i="1"/>
  <c r="K43" i="8"/>
  <c r="K45" i="8" s="1"/>
  <c r="K47" i="8" s="1"/>
  <c r="K524" i="8"/>
  <c r="K526" i="8" s="1"/>
  <c r="K528" i="8" s="1"/>
  <c r="K373" i="8"/>
  <c r="K375" i="8" s="1"/>
  <c r="K377" i="8" s="1"/>
  <c r="K223" i="8"/>
  <c r="K225" i="8" s="1"/>
  <c r="K227" i="8" s="1"/>
  <c r="K59" i="1"/>
  <c r="K615" i="8"/>
  <c r="K617" i="8" s="1"/>
  <c r="K619" i="8" s="1"/>
  <c r="K343" i="8"/>
  <c r="K345" i="8" s="1"/>
  <c r="K347" i="8" s="1"/>
  <c r="O90" i="1"/>
  <c r="K118" i="8"/>
  <c r="K120" i="8" s="1"/>
  <c r="K122" i="8" s="1"/>
  <c r="K679" i="8"/>
  <c r="K681" i="8" s="1"/>
  <c r="K44" i="1"/>
  <c r="W41" i="8"/>
  <c r="Y41" i="8" s="1"/>
  <c r="U42" i="8" s="1"/>
  <c r="I163" i="8"/>
  <c r="K163" i="8" s="1"/>
  <c r="K165" i="8" s="1"/>
  <c r="K167" i="8" s="1"/>
  <c r="K33" i="1"/>
  <c r="I84" i="1"/>
  <c r="K710" i="8"/>
  <c r="K712" i="8" s="1"/>
  <c r="K630" i="8"/>
  <c r="K632" i="8" s="1"/>
  <c r="U448" i="8"/>
  <c r="I18" i="1"/>
  <c r="W206" i="8"/>
  <c r="Y206" i="8" s="1"/>
  <c r="U207" i="8" s="1"/>
  <c r="W116" i="8"/>
  <c r="Y116" i="8" s="1"/>
  <c r="U117" i="8" s="1"/>
  <c r="W191" i="8"/>
  <c r="Y191" i="8" s="1"/>
  <c r="U192" i="8" s="1"/>
  <c r="W56" i="8"/>
  <c r="Y56" i="8" s="1"/>
  <c r="U57" i="8" s="1"/>
  <c r="W161" i="8"/>
  <c r="Y161" i="8" s="1"/>
  <c r="U162" i="8" s="1"/>
  <c r="K18" i="1"/>
  <c r="I85" i="1"/>
  <c r="K14" i="1"/>
  <c r="Q14" i="1"/>
  <c r="K193" i="8"/>
  <c r="K195" i="8" s="1"/>
  <c r="K197" i="8" s="1"/>
  <c r="K328" i="8"/>
  <c r="K330" i="8" s="1"/>
  <c r="K332" i="8" s="1"/>
  <c r="I52" i="1"/>
  <c r="U693" i="8"/>
  <c r="W693" i="8" s="1"/>
  <c r="Y693" i="8" s="1"/>
  <c r="W240" i="8"/>
  <c r="Y240" i="8" s="1"/>
  <c r="K818" i="8"/>
  <c r="K820" i="8" s="1"/>
  <c r="K148" i="8"/>
  <c r="K150" i="8" s="1"/>
  <c r="G603" i="8"/>
  <c r="P67" i="1" s="1"/>
  <c r="K180" i="8"/>
  <c r="K182" i="8" s="1"/>
  <c r="I30" i="1"/>
  <c r="I50" i="1"/>
  <c r="I14" i="1"/>
  <c r="I19" i="1"/>
  <c r="K569" i="8"/>
  <c r="K571" i="8" s="1"/>
  <c r="K573" i="8" s="1"/>
  <c r="W222" i="8"/>
  <c r="K494" i="8"/>
  <c r="K496" i="8" s="1"/>
  <c r="K498" i="8" s="1"/>
  <c r="I70" i="1"/>
  <c r="I64" i="1"/>
  <c r="I82" i="1"/>
  <c r="I38" i="1"/>
  <c r="I62" i="1"/>
  <c r="I60" i="1"/>
  <c r="I31" i="1"/>
  <c r="I44" i="1"/>
  <c r="I56" i="1"/>
  <c r="I59" i="1"/>
  <c r="I87" i="1"/>
  <c r="I26" i="1"/>
  <c r="I49" i="1"/>
  <c r="I67" i="1"/>
  <c r="I33" i="1"/>
  <c r="I24" i="1"/>
  <c r="K464" i="8"/>
  <c r="K466" i="8" s="1"/>
  <c r="K468" i="8" s="1"/>
  <c r="I78" i="1"/>
  <c r="K419" i="8"/>
  <c r="K421" i="8" s="1"/>
  <c r="W777" i="8"/>
  <c r="I43" i="1"/>
  <c r="P32" i="1"/>
  <c r="G526" i="8"/>
  <c r="N32" i="1" s="1"/>
  <c r="K50" i="1"/>
  <c r="I96" i="1"/>
  <c r="Q31" i="1"/>
  <c r="K31" i="1"/>
  <c r="K60" i="1"/>
  <c r="K30" i="1"/>
  <c r="G804" i="8"/>
  <c r="N80" i="1" s="1"/>
  <c r="Y808" i="8"/>
  <c r="G806" i="8" s="1"/>
  <c r="P80" i="1" s="1"/>
  <c r="G180" i="8"/>
  <c r="N40" i="1" s="1"/>
  <c r="P40" i="1"/>
  <c r="G836" i="8"/>
  <c r="N65" i="1" s="1"/>
  <c r="Y840" i="8"/>
  <c r="G838" i="8" s="1"/>
  <c r="P65" i="1" s="1"/>
  <c r="P49" i="1"/>
  <c r="G345" i="8"/>
  <c r="N49" i="1" s="1"/>
  <c r="P23" i="1"/>
  <c r="G496" i="8"/>
  <c r="N23" i="1" s="1"/>
  <c r="P52" i="1"/>
  <c r="G330" i="8"/>
  <c r="N52" i="1" s="1"/>
  <c r="G405" i="8"/>
  <c r="N51" i="1" s="1"/>
  <c r="Y409" i="8"/>
  <c r="G407" i="8" s="1"/>
  <c r="P51" i="1" s="1"/>
  <c r="G665" i="8"/>
  <c r="P42" i="1" s="1"/>
  <c r="G663" i="8"/>
  <c r="N42" i="1" s="1"/>
  <c r="P48" i="1"/>
  <c r="G757" i="8"/>
  <c r="N48" i="1" s="1"/>
  <c r="Q64" i="1"/>
  <c r="K64" i="1"/>
  <c r="Y745" i="8"/>
  <c r="G743" i="8" s="1"/>
  <c r="P71" i="1" s="1"/>
  <c r="G741" i="8"/>
  <c r="N71" i="1" s="1"/>
  <c r="Y699" i="8"/>
  <c r="U784" i="8" l="1"/>
  <c r="W784" i="8" s="1"/>
  <c r="Y784" i="8" s="1"/>
  <c r="U722" i="8"/>
  <c r="W722" i="8" s="1"/>
  <c r="Y722" i="8" s="1"/>
  <c r="U723" i="8" s="1"/>
  <c r="W723" i="8" s="1"/>
  <c r="Y723" i="8" s="1"/>
  <c r="K834" i="8"/>
  <c r="K836" i="8" s="1"/>
  <c r="K79" i="1"/>
  <c r="K80" i="1"/>
  <c r="K806" i="8"/>
  <c r="Q80" i="1" s="1"/>
  <c r="K697" i="8"/>
  <c r="K56" i="1"/>
  <c r="I80" i="1"/>
  <c r="K822" i="8"/>
  <c r="Q99" i="1" s="1"/>
  <c r="K69" i="1"/>
  <c r="Q67" i="1"/>
  <c r="Q79" i="1"/>
  <c r="K71" i="1"/>
  <c r="K743" i="8"/>
  <c r="K407" i="8"/>
  <c r="K51" i="1"/>
  <c r="K68" i="1"/>
  <c r="K774" i="8"/>
  <c r="I66" i="1"/>
  <c r="R304" i="8"/>
  <c r="K317" i="8"/>
  <c r="K66" i="1"/>
  <c r="K725" i="8"/>
  <c r="K77" i="1" s="1"/>
  <c r="I77" i="1"/>
  <c r="W789" i="8"/>
  <c r="C242" i="8"/>
  <c r="I238" i="8" s="1"/>
  <c r="AB132" i="8"/>
  <c r="Y301" i="8"/>
  <c r="U302" i="8" s="1"/>
  <c r="K634" i="8"/>
  <c r="K635" i="8" s="1"/>
  <c r="K84" i="1"/>
  <c r="K423" i="8"/>
  <c r="K152" i="8"/>
  <c r="W102" i="8"/>
  <c r="Y102" i="8" s="1"/>
  <c r="U103" i="8" s="1"/>
  <c r="I48" i="1"/>
  <c r="K48" i="1"/>
  <c r="Q48" i="1"/>
  <c r="K661" i="8"/>
  <c r="K663" i="8" s="1"/>
  <c r="I17" i="1"/>
  <c r="K17" i="1"/>
  <c r="Q17" i="1"/>
  <c r="K26" i="1"/>
  <c r="K58" i="1"/>
  <c r="Q58" i="1"/>
  <c r="W283" i="8"/>
  <c r="Y283" i="8" s="1"/>
  <c r="I76" i="1"/>
  <c r="Q30" i="1"/>
  <c r="Q19" i="1"/>
  <c r="K19" i="1"/>
  <c r="K96" i="1"/>
  <c r="I32" i="1"/>
  <c r="Q37" i="1"/>
  <c r="K32" i="1"/>
  <c r="K34" i="1" s="1"/>
  <c r="I58" i="1"/>
  <c r="W42" i="8"/>
  <c r="Y42" i="8" s="1"/>
  <c r="U43" i="8" s="1"/>
  <c r="K78" i="1"/>
  <c r="Q60" i="1"/>
  <c r="Q61" i="1"/>
  <c r="K61" i="1"/>
  <c r="I61" i="1"/>
  <c r="Q44" i="1"/>
  <c r="I15" i="1"/>
  <c r="K70" i="1"/>
  <c r="Q70" i="1"/>
  <c r="K49" i="1"/>
  <c r="Q49" i="1"/>
  <c r="Q59" i="1"/>
  <c r="K82" i="1"/>
  <c r="K43" i="1"/>
  <c r="Q43" i="1"/>
  <c r="K24" i="1"/>
  <c r="Q50" i="1"/>
  <c r="K37" i="1"/>
  <c r="I37" i="1"/>
  <c r="Q62" i="1"/>
  <c r="K83" i="1"/>
  <c r="W448" i="8"/>
  <c r="Q11" i="1"/>
  <c r="I41" i="1"/>
  <c r="D7" i="1"/>
  <c r="W162" i="8"/>
  <c r="Y162" i="8" s="1"/>
  <c r="U163" i="8" s="1"/>
  <c r="W57" i="8"/>
  <c r="Y57" i="8" s="1"/>
  <c r="U58" i="8" s="1"/>
  <c r="W58" i="8" s="1"/>
  <c r="W207" i="8"/>
  <c r="Y207" i="8" s="1"/>
  <c r="U208" i="8" s="1"/>
  <c r="W192" i="8"/>
  <c r="Y192" i="8" s="1"/>
  <c r="U193" i="8" s="1"/>
  <c r="W117" i="8"/>
  <c r="Y117" i="8" s="1"/>
  <c r="U118" i="8" s="1"/>
  <c r="Y777" i="8"/>
  <c r="G774" i="8" s="1"/>
  <c r="P68" i="1" s="1"/>
  <c r="G772" i="8"/>
  <c r="N68" i="1" s="1"/>
  <c r="K434" i="8"/>
  <c r="K436" i="8" s="1"/>
  <c r="K438" i="8" s="1"/>
  <c r="Q96" i="1"/>
  <c r="I86" i="1"/>
  <c r="K52" i="1"/>
  <c r="K86" i="1"/>
  <c r="G599" i="8"/>
  <c r="L67" i="1" s="1"/>
  <c r="I97" i="1"/>
  <c r="K97" i="1"/>
  <c r="Q97" i="1"/>
  <c r="G601" i="8"/>
  <c r="N67" i="1" s="1"/>
  <c r="W241" i="8"/>
  <c r="Y241" i="8" s="1"/>
  <c r="U694" i="8"/>
  <c r="W694" i="8" s="1"/>
  <c r="Y694" i="8" s="1"/>
  <c r="K87" i="1"/>
  <c r="K99" i="1"/>
  <c r="I99" i="1"/>
  <c r="Q82" i="1"/>
  <c r="Q38" i="1"/>
  <c r="K23" i="1"/>
  <c r="I40" i="1"/>
  <c r="K40" i="1"/>
  <c r="Q40" i="1"/>
  <c r="Y222" i="8"/>
  <c r="W700" i="8"/>
  <c r="Y700" i="8" s="1"/>
  <c r="Q33" i="1"/>
  <c r="K41" i="1"/>
  <c r="U785" i="8" l="1"/>
  <c r="W785" i="8" s="1"/>
  <c r="Y785" i="8" s="1"/>
  <c r="W786" i="8" s="1"/>
  <c r="Y786" i="8" s="1"/>
  <c r="W787" i="8" s="1"/>
  <c r="Y787" i="8" s="1"/>
  <c r="K838" i="8"/>
  <c r="Q65" i="1" s="1"/>
  <c r="K65" i="1"/>
  <c r="Q56" i="1"/>
  <c r="Q69" i="1"/>
  <c r="Q87" i="1"/>
  <c r="Q71" i="1"/>
  <c r="Q68" i="1"/>
  <c r="Q66" i="1"/>
  <c r="Q51" i="1"/>
  <c r="Q41" i="1"/>
  <c r="X3" i="8"/>
  <c r="C302" i="8"/>
  <c r="I298" i="8" s="1"/>
  <c r="I63" i="1"/>
  <c r="K727" i="8"/>
  <c r="W302" i="8"/>
  <c r="Y302" i="8" s="1"/>
  <c r="U303" i="8" s="1"/>
  <c r="U242" i="8"/>
  <c r="W242" i="8" s="1"/>
  <c r="Y242" i="8" s="1"/>
  <c r="Y789" i="8"/>
  <c r="K42" i="1"/>
  <c r="K665" i="8"/>
  <c r="W103" i="8"/>
  <c r="Y103" i="8" s="1"/>
  <c r="K479" i="8"/>
  <c r="K481" i="8" s="1"/>
  <c r="K483" i="8" s="1"/>
  <c r="Q32" i="1"/>
  <c r="Q34" i="1" s="1"/>
  <c r="Q26" i="1"/>
  <c r="W284" i="8"/>
  <c r="Y284" i="8" s="1"/>
  <c r="W508" i="8"/>
  <c r="Y508" i="8" s="1"/>
  <c r="U509" i="8" s="1"/>
  <c r="Q52" i="1"/>
  <c r="K88" i="8"/>
  <c r="K90" i="8" s="1"/>
  <c r="Q86" i="1"/>
  <c r="Q23" i="1"/>
  <c r="D49" i="1"/>
  <c r="W43" i="8"/>
  <c r="Y43" i="8" s="1"/>
  <c r="I39" i="1"/>
  <c r="K58" i="8"/>
  <c r="K60" i="8" s="1"/>
  <c r="K62" i="8" s="1"/>
  <c r="Q78" i="1"/>
  <c r="Q24" i="1"/>
  <c r="P64" i="1"/>
  <c r="Q84" i="1"/>
  <c r="K584" i="8"/>
  <c r="K586" i="8" s="1"/>
  <c r="K588" i="8" s="1"/>
  <c r="Q83" i="1"/>
  <c r="Y448" i="8"/>
  <c r="U449" i="8" s="1"/>
  <c r="Y58" i="8"/>
  <c r="U59" i="8" s="1"/>
  <c r="G73" i="8"/>
  <c r="L14" i="1" s="1"/>
  <c r="G90" i="8"/>
  <c r="N76" i="1" s="1"/>
  <c r="W118" i="8"/>
  <c r="Y118" i="8" s="1"/>
  <c r="W193" i="8"/>
  <c r="Y193" i="8" s="1"/>
  <c r="W208" i="8"/>
  <c r="Y208" i="8" s="1"/>
  <c r="W163" i="8"/>
  <c r="Y163" i="8" s="1"/>
  <c r="P78" i="1"/>
  <c r="G710" i="8"/>
  <c r="N78" i="1" s="1"/>
  <c r="K85" i="1"/>
  <c r="Q85" i="1"/>
  <c r="G464" i="8"/>
  <c r="L24" i="1" s="1"/>
  <c r="D99" i="1"/>
  <c r="U695" i="8"/>
  <c r="W695" i="8" s="1"/>
  <c r="Y695" i="8" s="1"/>
  <c r="Y724" i="8"/>
  <c r="U725" i="8" s="1"/>
  <c r="U223" i="8"/>
  <c r="Q42" i="1" l="1"/>
  <c r="S36" i="1" s="1"/>
  <c r="Q77" i="1"/>
  <c r="K298" i="8"/>
  <c r="K300" i="8" s="1"/>
  <c r="K302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15" i="1"/>
  <c r="S17" i="1" s="1"/>
  <c r="W104" i="8"/>
  <c r="Y104" i="8" s="1"/>
  <c r="I25" i="1"/>
  <c r="E114" i="1"/>
  <c r="Q25" i="1"/>
  <c r="Q27" i="1" s="1"/>
  <c r="K25" i="1"/>
  <c r="K27" i="1" s="1"/>
  <c r="W285" i="8"/>
  <c r="Y285" i="8" s="1"/>
  <c r="K76" i="1"/>
  <c r="K88" i="1" s="1"/>
  <c r="K388" i="8"/>
  <c r="K390" i="8" s="1"/>
  <c r="W44" i="8"/>
  <c r="Y44" i="8" s="1"/>
  <c r="Q39" i="1"/>
  <c r="K15" i="1"/>
  <c r="G255" i="8"/>
  <c r="N64" i="1" s="1"/>
  <c r="G253" i="8"/>
  <c r="L64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Q76" i="1" l="1"/>
  <c r="Q88" i="1" s="1"/>
  <c r="S28" i="1"/>
  <c r="I57" i="1"/>
  <c r="K57" i="1"/>
  <c r="Q57" i="1"/>
  <c r="Q45" i="1"/>
  <c r="E108" i="1"/>
  <c r="U304" i="8"/>
  <c r="K63" i="1"/>
  <c r="K73" i="1" s="1"/>
  <c r="K242" i="8"/>
  <c r="W790" i="8"/>
  <c r="K47" i="1"/>
  <c r="K53" i="1" s="1"/>
  <c r="K392" i="8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E113" i="1" l="1"/>
  <c r="Q63" i="1"/>
  <c r="Q73" i="1" s="1"/>
  <c r="R73" i="1" s="1"/>
  <c r="Q47" i="1"/>
  <c r="Q53" i="1" s="1"/>
  <c r="E110" i="1"/>
  <c r="S24" i="1"/>
  <c r="W304" i="8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84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T70" i="1" l="1"/>
  <c r="X4" i="8"/>
  <c r="S52" i="1"/>
  <c r="E111" i="1"/>
  <c r="Y304" i="8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Y450" i="8"/>
  <c r="U451" i="8" s="1"/>
  <c r="G388" i="8"/>
  <c r="L47" i="1" s="1"/>
  <c r="G681" i="8"/>
  <c r="P43" i="1" s="1"/>
  <c r="G679" i="8"/>
  <c r="N43" i="1" s="1"/>
  <c r="G358" i="8"/>
  <c r="L50" i="1" s="1"/>
  <c r="P84" i="1"/>
  <c r="G421" i="8"/>
  <c r="N84" i="1" s="1"/>
  <c r="G539" i="8"/>
  <c r="L30" i="1" s="1"/>
  <c r="G693" i="8"/>
  <c r="L56" i="1" s="1"/>
  <c r="W224" i="8"/>
  <c r="U305" i="8" l="1"/>
  <c r="W289" i="8"/>
  <c r="Y289" i="8" s="1"/>
  <c r="W791" i="8"/>
  <c r="G785" i="8"/>
  <c r="L79" i="1" s="1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60" i="1" s="1"/>
  <c r="G434" i="8"/>
  <c r="L85" i="1" s="1"/>
  <c r="P50" i="1"/>
  <c r="G360" i="8"/>
  <c r="N50" i="1" s="1"/>
  <c r="G268" i="8"/>
  <c r="L62" i="1" s="1"/>
  <c r="P30" i="1"/>
  <c r="G541" i="8"/>
  <c r="N30" i="1" s="1"/>
  <c r="W244" i="8"/>
  <c r="Y244" i="8" s="1"/>
  <c r="P56" i="1"/>
  <c r="G695" i="8"/>
  <c r="N56" i="1" s="1"/>
  <c r="W726" i="8"/>
  <c r="Y224" i="8"/>
  <c r="U225" i="8" s="1"/>
  <c r="W305" i="8" l="1"/>
  <c r="G298" i="8"/>
  <c r="L57" i="1" s="1"/>
  <c r="W49" i="8"/>
  <c r="U199" i="8"/>
  <c r="W199" i="8" s="1"/>
  <c r="Y199" i="8" s="1"/>
  <c r="U200" i="8" s="1"/>
  <c r="Y791" i="8"/>
  <c r="G789" i="8" s="1"/>
  <c r="P79" i="1" s="1"/>
  <c r="G787" i="8"/>
  <c r="N79" i="1" s="1"/>
  <c r="W109" i="8"/>
  <c r="Y109" i="8" s="1"/>
  <c r="Y451" i="8"/>
  <c r="P76" i="1"/>
  <c r="W169" i="8"/>
  <c r="Y169" i="8" s="1"/>
  <c r="G818" i="8"/>
  <c r="G630" i="8"/>
  <c r="L41" i="1" s="1"/>
  <c r="G313" i="8"/>
  <c r="L66" i="1" s="1"/>
  <c r="G615" i="8"/>
  <c r="L70" i="1" s="1"/>
  <c r="P62" i="1"/>
  <c r="G270" i="8"/>
  <c r="N62" i="1" s="1"/>
  <c r="P85" i="1"/>
  <c r="G436" i="8"/>
  <c r="N85" i="1" s="1"/>
  <c r="W245" i="8"/>
  <c r="G238" i="8"/>
  <c r="L63" i="1" s="1"/>
  <c r="G133" i="8"/>
  <c r="L38" i="1" s="1"/>
  <c r="Y726" i="8"/>
  <c r="U727" i="8" s="1"/>
  <c r="L99" i="1" l="1"/>
  <c r="L69" i="1"/>
  <c r="Y305" i="8"/>
  <c r="G302" i="8" s="1"/>
  <c r="P57" i="1" s="1"/>
  <c r="G300" i="8"/>
  <c r="N57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6" i="1" s="1"/>
  <c r="G163" i="8"/>
  <c r="L37" i="1" s="1"/>
  <c r="U452" i="8"/>
  <c r="P70" i="1"/>
  <c r="G617" i="8"/>
  <c r="N70" i="1" s="1"/>
  <c r="P41" i="1"/>
  <c r="G632" i="8"/>
  <c r="N41" i="1" s="1"/>
  <c r="G649" i="8"/>
  <c r="P60" i="1" s="1"/>
  <c r="G647" i="8"/>
  <c r="N60" i="1" s="1"/>
  <c r="P66" i="1"/>
  <c r="G315" i="8"/>
  <c r="N66" i="1" s="1"/>
  <c r="G165" i="8"/>
  <c r="N37" i="1" s="1"/>
  <c r="G822" i="8"/>
  <c r="G820" i="8"/>
  <c r="Y245" i="8"/>
  <c r="G240" i="8"/>
  <c r="N63" i="1" s="1"/>
  <c r="P38" i="1"/>
  <c r="G135" i="8"/>
  <c r="N38" i="1" s="1"/>
  <c r="W225" i="8"/>
  <c r="P99" i="1" l="1"/>
  <c r="P69" i="1"/>
  <c r="N99" i="1"/>
  <c r="N69" i="1"/>
  <c r="G242" i="8"/>
  <c r="P63" i="1" s="1"/>
  <c r="G195" i="8"/>
  <c r="N86" i="1" s="1"/>
  <c r="G197" i="8"/>
  <c r="P86" i="1" s="1"/>
  <c r="G167" i="8"/>
  <c r="P37" i="1" s="1"/>
  <c r="W50" i="8"/>
  <c r="U379" i="8"/>
  <c r="W110" i="8"/>
  <c r="G103" i="8"/>
  <c r="L17" i="1" s="1"/>
  <c r="G283" i="8"/>
  <c r="L59" i="1" s="1"/>
  <c r="Y214" i="8"/>
  <c r="G208" i="8" s="1"/>
  <c r="L44" i="1" s="1"/>
  <c r="W65" i="8"/>
  <c r="L96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8" i="1" s="1"/>
  <c r="Y110" i="8"/>
  <c r="G105" i="8"/>
  <c r="N17" i="1" s="1"/>
  <c r="W215" i="8"/>
  <c r="W290" i="8"/>
  <c r="Y65" i="8"/>
  <c r="G60" i="8"/>
  <c r="N15" i="1" s="1"/>
  <c r="P96" i="1"/>
  <c r="N96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8" i="1" s="1"/>
  <c r="G375" i="8"/>
  <c r="N58" i="1" s="1"/>
  <c r="U453" i="8"/>
  <c r="W453" i="8" s="1"/>
  <c r="Y453" i="8" s="1"/>
  <c r="U454" i="8" s="1"/>
  <c r="Y215" i="8"/>
  <c r="G210" i="8"/>
  <c r="N44" i="1" s="1"/>
  <c r="Y290" i="8"/>
  <c r="G285" i="8"/>
  <c r="N59" i="1" s="1"/>
  <c r="Y124" i="8"/>
  <c r="Y226" i="8"/>
  <c r="G287" i="8" l="1"/>
  <c r="P59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82" i="1" s="1"/>
  <c r="Y728" i="8"/>
  <c r="U729" i="8" s="1"/>
  <c r="W729" i="8" s="1"/>
  <c r="Y125" i="8" l="1"/>
  <c r="G120" i="8"/>
  <c r="N82" i="1" s="1"/>
  <c r="G122" i="8" l="1"/>
  <c r="P82" i="1" s="1"/>
  <c r="Y729" i="8"/>
  <c r="U730" i="8" l="1"/>
  <c r="W730" i="8" s="1"/>
  <c r="G723" i="8"/>
  <c r="L77" i="1" s="1"/>
  <c r="G725" i="8" l="1"/>
  <c r="N77" i="1" s="1"/>
  <c r="Y730" i="8"/>
  <c r="G727" i="8" s="1"/>
  <c r="P77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1" i="1" s="1"/>
  <c r="W568" i="8"/>
  <c r="Y568" i="8" s="1"/>
  <c r="Y230" i="8" l="1"/>
  <c r="G225" i="8"/>
  <c r="N61" i="1" s="1"/>
  <c r="W569" i="8"/>
  <c r="Y569" i="8" s="1"/>
  <c r="W570" i="8" s="1"/>
  <c r="Y570" i="8" s="1"/>
  <c r="W456" i="8"/>
  <c r="G449" i="8"/>
  <c r="L26" i="1" s="1"/>
  <c r="G227" i="8" l="1"/>
  <c r="P61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20" i="1"/>
  <c r="U576" i="8" l="1"/>
  <c r="W576" i="8" l="1"/>
  <c r="G569" i="8"/>
  <c r="L83" i="1" s="1"/>
  <c r="Y576" i="8" l="1"/>
  <c r="G571" i="8"/>
  <c r="N83" i="1" s="1"/>
  <c r="G573" i="8" l="1"/>
  <c r="P83" i="1" s="1"/>
  <c r="P18" i="1"/>
  <c r="N18" i="1"/>
  <c r="E16" i="1"/>
  <c r="E20" i="1" s="1"/>
  <c r="E90" i="1" s="1"/>
  <c r="J16" i="1"/>
  <c r="J20" i="1" l="1"/>
  <c r="J90" i="1" s="1"/>
  <c r="K16" i="1"/>
  <c r="K20" i="1" s="1"/>
  <c r="R1" i="8" l="1"/>
  <c r="Q16" i="1" l="1"/>
  <c r="Q20" i="1" s="1"/>
  <c r="Q90" i="1" s="1"/>
  <c r="E107" i="1" l="1"/>
  <c r="W144" i="8"/>
  <c r="Y144" i="8" s="1"/>
  <c r="U145" i="8" s="1"/>
  <c r="W145" i="8" l="1"/>
  <c r="Y145" i="8" s="1"/>
  <c r="U146" i="8" s="1"/>
  <c r="W146" i="8" l="1"/>
  <c r="Y146" i="8" s="1"/>
  <c r="U147" i="8" s="1"/>
  <c r="W147" i="8" l="1"/>
  <c r="Y147" i="8" l="1"/>
  <c r="U148" i="8" s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7" i="1" s="1"/>
  <c r="W155" i="8" l="1"/>
  <c r="Y155" i="8" l="1"/>
  <c r="G150" i="8"/>
  <c r="N87" i="1" s="1"/>
  <c r="Q13" i="12"/>
  <c r="P13" i="12"/>
  <c r="P16" i="12" s="1"/>
  <c r="G152" i="8" l="1"/>
  <c r="P87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7" i="1"/>
  <c r="E109" i="1"/>
  <c r="W514" i="8" l="1"/>
  <c r="Y514" i="8" s="1"/>
  <c r="E112" i="1"/>
  <c r="I104" i="1"/>
  <c r="E116" i="1" l="1"/>
  <c r="W515" i="8" l="1"/>
  <c r="Y515" i="8" l="1"/>
  <c r="D97" i="1"/>
  <c r="D96" i="1" l="1"/>
  <c r="D70" i="1"/>
  <c r="G509" i="8" l="1"/>
  <c r="L31" i="1" s="1"/>
  <c r="L90" i="1" s="1"/>
  <c r="W516" i="8"/>
  <c r="Y516" i="8" l="1"/>
  <c r="G513" i="8" s="1"/>
  <c r="P31" i="1" s="1"/>
  <c r="P90" i="1" s="1"/>
  <c r="G511" i="8"/>
  <c r="N31" i="1" s="1"/>
  <c r="N9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29" authorId="0" shapeId="0" xr:uid="{79441E09-6420-488B-A8A6-F4AB63AFFA1D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<sst xmlns="http://schemas.openxmlformats.org/spreadsheetml/2006/main" count="3516" uniqueCount="246">
  <si>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</si>
  <si>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</si>
  <si>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</si>
  <si>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</si>
  <si>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</si>
  <si>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</si>
  <si>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</si>
  <si>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</si>
  <si>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</si>
  <si>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</si>
  <si>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</si>
  <si>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</si>
  <si>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</si>
  <si>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</si>
  <si>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</si>
  <si>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</si>
  <si>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</si>
  <si>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</si>
  <si>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</si>
  <si>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</si>
  <si>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</si>
  <si>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</si>
  <si>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</si>
  <si>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</si>
  <si>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</si>
  <si>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</si>
  <si>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</si>
  <si>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</si>
  <si>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</si>
  <si>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</si>
  <si>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</si>
  <si>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</si>
  <si>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</si>
  <si>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</si>
  <si>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</si>
  <si>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</si>
  <si>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</si>
  <si>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</si>
  <si>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</si>
  <si>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</si>
  <si>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</si>
  <si>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</si>
  <si>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</si>
  <si>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</si>
  <si>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</si>
  <si>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</si>
  <si>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</si>
  <si>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</si>
  <si>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</si>
  <si>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</si>
  <si>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</si>
  <si>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</si>
  <si>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</si>
  <si>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</si>
  <si>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</si>
  <si>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</si>
  <si>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</si>
  <si>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</si>
  <si>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</si>
  <si>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</si>
  <si>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</si>
  <si>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</si>
  <si>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</si>
  <si>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</si>
  <si>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</si>
  <si>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</si>
  <si>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</si>
  <si>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</si>
  <si>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</si>
  <si>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</si>
  <si>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</si>
  <si>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</si>
  <si>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</si>
  <si>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</si>
  <si>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</si>
  <si>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</si>
  <si>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</si>
  <si>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</si>
  <si>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</si>
  <si>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</si>
  <si>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</si>
  <si>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</si>
  <si>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</si>
  <si>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</si>
  <si>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</si>
  <si>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</si>
  <si>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</si>
  <si>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</si>
  <si>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</si>
  <si>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</si>
  <si>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</si>
  <si>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</si>
  <si>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</si>
  <si>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</si>
  <si>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</si>
  <si>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</si>
  <si>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</si>
  <si>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</si>
  <si>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</si>
  <si>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</si>
  <si>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</si>
  <si>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</si>
  <si>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</si>
  <si>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</si>
  <si>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</si>
  <si>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</si>
  <si>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</si>
  <si>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</si>
  <si>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</si>
  <si>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</si>
  <si>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</si>
  <si>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</si>
  <si>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</si>
  <si>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</si>
  <si>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</si>
  <si>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</si>
  <si>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</si>
  <si>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</si>
  <si>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</si>
  <si>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</si>
  <si>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</si>
  <si>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</si>
  <si>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</si>
  <si>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</si>
  <si>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</si>
  <si>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</si>
  <si>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</si>
  <si>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</si>
  <si>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</si>
  <si>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</si>
  <si>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</si>
  <si>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</si>
  <si>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</si>
  <si>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</si>
  <si>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</si>
  <si>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</si>
  <si>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</si>
  <si>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</si>
  <si>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</si>
  <si>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</si>
  <si>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</si>
  <si>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</si>
  <si>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</si>
  <si>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</si>
  <si>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</si>
  <si>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</si>
  <si>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</si>
  <si>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</si>
  <si>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</si>
  <si>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</si>
  <si>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</si>
  <si>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</si>
  <si>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</si>
  <si>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</si>
  <si>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</si>
  <si>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</si>
  <si>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</si>
  <si>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</si>
  <si>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</si>
  <si>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</si>
  <si>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</si>
  <si>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</si>
  <si>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</si>
  <si>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</si>
  <si>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</si>
  <si>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</si>
  <si>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</si>
  <si>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</si>
  <si>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</si>
  <si>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</si>
  <si>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</si>
  <si>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</si>
  <si>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</si>
  <si>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</si>
  <si>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</si>
  <si>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</si>
  <si>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</si>
  <si>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</si>
  <si>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</si>
  <si>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</si>
  <si>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</si>
  <si>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</si>
  <si>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</si>
  <si>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</si>
  <si>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</si>
  <si>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</si>
  <si>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</si>
  <si>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</si>
  <si>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</si>
  <si>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</si>
  <si>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</si>
  <si>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</si>
  <si>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</si>
  <si>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</si>
  <si>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</si>
  <si>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Remaining Advance</t>
  </si>
  <si>
    <t>Mohib uz Zaman</t>
  </si>
  <si>
    <t>Aug 23</t>
  </si>
  <si>
    <t>Khushnood</t>
  </si>
  <si>
    <t>Shahzaib ullah</t>
  </si>
  <si>
    <t>Fahad Fareed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</si>
  <si>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</si>
  <si>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</si>
  <si>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</si>
  <si>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</si>
  <si>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</si>
  <si>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</si>
  <si>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</si>
  <si>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</si>
  <si>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</si>
  <si>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</si>
  <si>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</si>
  <si>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</si>
  <si>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</si>
  <si>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</si>
  <si>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</si>
  <si>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M. Raza</t>
  </si>
  <si>
    <t>NASTP</t>
  </si>
  <si>
    <t>Mohib</t>
  </si>
  <si>
    <t>Ibtihaj</t>
  </si>
  <si>
    <t>Affan</t>
  </si>
  <si>
    <t>Zeeshan</t>
  </si>
  <si>
    <t>15000 deduct from sami salary</t>
  </si>
  <si>
    <t>Umair Ali</t>
  </si>
  <si>
    <t xml:space="preserve"> EY, ENGRO, TRIFIT, Bank Al Habib</t>
  </si>
  <si>
    <t>EIDI</t>
  </si>
  <si>
    <t>TOTAL</t>
  </si>
  <si>
    <t>Adeel</t>
  </si>
  <si>
    <t>Noman</t>
  </si>
  <si>
    <t>Nadeem painter</t>
  </si>
  <si>
    <t>M. Imran Feroz</t>
  </si>
  <si>
    <t>Waqas at NASTP</t>
  </si>
  <si>
    <t>Engr Ahsan</t>
  </si>
  <si>
    <t>Engr M. Usman</t>
  </si>
  <si>
    <t>Engr Imran JPMC</t>
  </si>
  <si>
    <t>Ahsan office</t>
  </si>
  <si>
    <t>Shahzaib</t>
  </si>
  <si>
    <t>ADV Waive off by bH</t>
  </si>
  <si>
    <t>Saad</t>
  </si>
  <si>
    <t>Talha</t>
  </si>
  <si>
    <t>Momin</t>
  </si>
  <si>
    <t>Fahad Freed</t>
  </si>
  <si>
    <t>Talha Siddiqui</t>
  </si>
  <si>
    <t>Engr Amir</t>
  </si>
  <si>
    <t>Waseem Tariq</t>
  </si>
  <si>
    <t>Mudassir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</si>
</sst>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6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55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17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3" fillId="0" borderId="0" xfId="0" applyFont="1"/>
    <xf numFmtId="0" fontId="21" fillId="3" borderId="1" xfId="0" applyFont="1" applyFill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0" fontId="36" fillId="0" borderId="1" xfId="0" applyFont="1" applyBorder="1" applyAlignment="1">
      <alignment vertical="center"/>
    </xf>
    <xf numFmtId="0" fontId="20" fillId="0" borderId="0" xfId="0" applyFont="1"/>
    <xf numFmtId="43" fontId="64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5" fontId="20" fillId="0" borderId="0" xfId="0" applyNumberFormat="1" applyFont="1" applyAlignment="1">
      <alignment vertical="center"/>
    </xf>
    <xf numFmtId="165" fontId="25" fillId="8" borderId="1" xfId="0" applyNumberFormat="1" applyFont="1" applyFill="1" applyBorder="1" applyAlignment="1">
      <alignment vertical="center"/>
    </xf>
    <xf numFmtId="165" fontId="55" fillId="0" borderId="13" xfId="0" applyNumberFormat="1" applyFont="1" applyBorder="1"/>
    <xf numFmtId="0" fontId="20" fillId="0" borderId="5" xfId="0" applyFont="1" applyBorder="1" applyAlignment="1">
      <alignment vertical="center"/>
    </xf>
    <xf numFmtId="0" fontId="55" fillId="10" borderId="5" xfId="0" applyFont="1" applyFill="1" applyBorder="1" applyAlignment="1">
      <alignment vertical="center"/>
    </xf>
    <xf numFmtId="165" fontId="55" fillId="0" borderId="5" xfId="1" applyNumberFormat="1" applyFont="1" applyBorder="1" applyAlignment="1">
      <alignment vertical="center"/>
    </xf>
    <xf numFmtId="0" fontId="65" fillId="10" borderId="1" xfId="0" applyFont="1" applyFill="1" applyBorder="1" applyAlignment="1">
      <alignment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7" fillId="0" borderId="0" xfId="0" applyFont="1" applyAlignment="1">
      <alignment horizontal="left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55" fillId="0" borderId="0" xfId="0" applyFont="1" applyAlignment="1">
      <alignment horizontal="right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  <xf numFmtId="17" fontId="4" fillId="0" borderId="3" xfId="0" applyNumberFormat="1" applyFont="1" applyBorder="1" applyAlignment="1">
      <alignment horizontal="center" vertical="center"/>
    </xf>
    <xf numFmtId="17" fontId="4" fillId="0" borderId="37" xfId="0" applyNumberFormat="1" applyFont="1" applyBorder="1" applyAlignment="1">
      <alignment horizontal="center" vertical="center"/>
    </xf>
    <xf numFmtId="17" fontId="4" fillId="0" borderId="7" xfId="0" applyNumberFormat="1" applyFont="1" applyBorder="1" applyAlignment="1">
      <alignment horizontal="center" vertical="center"/>
    </xf>
    <xf numFmtId="17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5" fontId="34" fillId="0" borderId="7" xfId="1" applyNumberFormat="1" applyFont="1" applyFill="1" applyBorder="1" applyAlignment="1">
      <alignment vertical="center"/>
    </xf>
    <xf numFmtId="17" fontId="4" fillId="0" borderId="0" xfId="0" applyNumberFormat="1" applyFont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42"/>
  <sheetViews>
    <sheetView zoomScaleNormal="100" zoomScaleSheetLayoutView="130" workbookViewId="0">
      <pane ySplit="3" topLeftCell="A35" activePane="bottomLeft" state="frozen"/>
      <selection pane="bottomLeft" activeCell="Q90" sqref="Q90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2.57031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14.7109375" style="11" customWidth="1"/>
    <col min="19" max="19" width="13.140625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74" t="s">
        <v>77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2" t="str">
        <f>'Salary Record'!J1</f>
        <v>June</v>
      </c>
      <c r="O1" s="372"/>
      <c r="P1" s="372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76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3"/>
      <c r="O2" s="373"/>
      <c r="P2" s="373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59" t="s">
        <v>84</v>
      </c>
      <c r="B6" s="360"/>
      <c r="C6" s="360"/>
      <c r="D6" s="360"/>
      <c r="E6" s="360"/>
      <c r="F6" s="360"/>
      <c r="G6" s="360"/>
      <c r="H6" s="360"/>
      <c r="I6" s="360"/>
      <c r="J6" s="360"/>
      <c r="K6" s="360"/>
      <c r="L6" s="360"/>
      <c r="M6" s="360"/>
      <c r="N6" s="360"/>
      <c r="O6" s="360"/>
      <c r="P6" s="360"/>
      <c r="Q6" s="361"/>
      <c r="R6" s="78"/>
    </row>
    <row r="7" spans="1:20" s="118" customFormat="1" ht="15.75" x14ac:dyDescent="0.2">
      <c r="A7" s="207">
        <v>1</v>
      </c>
      <c r="B7" s="310" t="s">
        <v>16</v>
      </c>
      <c r="C7" s="383" t="s">
        <v>34</v>
      </c>
      <c r="D7" s="386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10" t="s">
        <v>151</v>
      </c>
      <c r="C8" s="384"/>
      <c r="D8" s="387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10" t="s">
        <v>28</v>
      </c>
      <c r="C9" s="384"/>
      <c r="D9" s="387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10" t="s">
        <v>8</v>
      </c>
      <c r="C10" s="385"/>
      <c r="D10" s="388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62" t="s">
        <v>2</v>
      </c>
      <c r="B11" s="363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67" t="s">
        <v>85</v>
      </c>
      <c r="B13" s="368"/>
      <c r="C13" s="368"/>
      <c r="D13" s="368"/>
      <c r="E13" s="368"/>
      <c r="F13" s="368"/>
      <c r="G13" s="368"/>
      <c r="H13" s="368"/>
      <c r="I13" s="368"/>
      <c r="J13" s="368"/>
      <c r="K13" s="368"/>
      <c r="L13" s="368"/>
      <c r="M13" s="368"/>
      <c r="N13" s="368"/>
      <c r="O13" s="368"/>
      <c r="P13" s="368"/>
      <c r="Q13" s="369"/>
      <c r="R13" s="157"/>
      <c r="T13" s="159"/>
    </row>
    <row r="14" spans="1:20" s="118" customFormat="1" ht="15.75" x14ac:dyDescent="0.2">
      <c r="A14" s="208">
        <v>1</v>
      </c>
      <c r="B14" s="310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28</v>
      </c>
      <c r="G14" s="179">
        <f>'Salary Record'!C76</f>
        <v>2</v>
      </c>
      <c r="H14" s="66">
        <f>'Salary Record'!I74</f>
        <v>0</v>
      </c>
      <c r="I14" s="66">
        <f>'Salary Record'!I73</f>
        <v>30</v>
      </c>
      <c r="J14" s="183">
        <f>'Salary Record'!K74</f>
        <v>0</v>
      </c>
      <c r="K14" s="183">
        <f>'Salary Record'!K75</f>
        <v>80000</v>
      </c>
      <c r="L14" s="184">
        <f>'Salary Record'!G73</f>
        <v>35000</v>
      </c>
      <c r="M14" s="185">
        <f>'Salary Record'!G74</f>
        <v>0</v>
      </c>
      <c r="N14" s="186">
        <f>'Salary Record'!G75</f>
        <v>35000</v>
      </c>
      <c r="O14" s="185">
        <f>'Salary Record'!G76</f>
        <v>1500</v>
      </c>
      <c r="P14" s="186">
        <f>'Salary Record'!G77</f>
        <v>33500</v>
      </c>
      <c r="Q14" s="187">
        <f>'Salary Record'!K77</f>
        <v>78500</v>
      </c>
      <c r="R14" s="117"/>
      <c r="S14" s="117"/>
      <c r="T14" s="125"/>
    </row>
    <row r="15" spans="1:20" s="118" customFormat="1" ht="15.75" x14ac:dyDescent="0.2">
      <c r="A15" s="208">
        <v>2</v>
      </c>
      <c r="B15" s="310" t="s">
        <v>203</v>
      </c>
      <c r="C15" s="121"/>
      <c r="D15" s="122"/>
      <c r="E15" s="66">
        <f>'Salary Record'!K54</f>
        <v>47000</v>
      </c>
      <c r="F15" s="66">
        <f>'Salary Record'!C60</f>
        <v>0</v>
      </c>
      <c r="G15" s="179">
        <f>'Salary Record'!C61</f>
        <v>0</v>
      </c>
      <c r="H15" s="66">
        <f>'Salary Record'!I59</f>
        <v>7</v>
      </c>
      <c r="I15" s="66">
        <f>'Salary Record'!I58</f>
        <v>30</v>
      </c>
      <c r="J15" s="175">
        <f>'Salary Record'!K59</f>
        <v>1370.8333333333335</v>
      </c>
      <c r="K15" s="66">
        <f>'Salary Record'!K60</f>
        <v>48370.833333333336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48370.833333333336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0" t="s">
        <v>70</v>
      </c>
      <c r="C16" s="123" t="s">
        <v>32</v>
      </c>
      <c r="D16" s="124">
        <f>SUM(Q16:Q45)</f>
        <v>1570833.3333333337</v>
      </c>
      <c r="E16" s="66">
        <f>'Salary Record'!K9</f>
        <v>75000</v>
      </c>
      <c r="F16" s="66">
        <f>'Salary Record'!C15</f>
        <v>0</v>
      </c>
      <c r="G16" s="66">
        <f>'Salary Record'!C16</f>
        <v>0</v>
      </c>
      <c r="H16" s="175">
        <f>'Salary Record'!I14</f>
        <v>0</v>
      </c>
      <c r="I16" s="66">
        <f>'Salary Record'!I13</f>
        <v>30</v>
      </c>
      <c r="J16" s="175">
        <f>'Salary Record'!K14</f>
        <v>0</v>
      </c>
      <c r="K16" s="66">
        <f>'Salary Record'!K15</f>
        <v>75000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75000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1" t="str">
        <f>'Salary Record'!C100</f>
        <v>Ahsan Khan</v>
      </c>
      <c r="C17" s="132"/>
      <c r="D17" s="133"/>
      <c r="E17" s="66">
        <f>'Salary Record'!K99</f>
        <v>46000</v>
      </c>
      <c r="F17" s="176">
        <f>'Salary Record'!C105</f>
        <v>0</v>
      </c>
      <c r="G17" s="181">
        <f>'Salary Record'!C106</f>
        <v>0</v>
      </c>
      <c r="H17" s="176">
        <f>'Salary Record'!I104</f>
        <v>0</v>
      </c>
      <c r="I17" s="176">
        <f>'Salary Record'!I103</f>
        <v>0</v>
      </c>
      <c r="J17" s="175">
        <f>'Salary Record'!K104</f>
        <v>0</v>
      </c>
      <c r="K17" s="175">
        <f>'Salary Record'!K105</f>
        <v>0</v>
      </c>
      <c r="L17" s="176">
        <f>'Salary Record'!G103</f>
        <v>35000</v>
      </c>
      <c r="M17" s="176">
        <f>'Salary Record'!G104</f>
        <v>5000</v>
      </c>
      <c r="N17" s="178">
        <f>'Salary Record'!G105</f>
        <v>40000</v>
      </c>
      <c r="O17" s="176">
        <f>'Salary Record'!G106</f>
        <v>5000</v>
      </c>
      <c r="P17" s="178">
        <f>'Salary Record'!G107</f>
        <v>35000</v>
      </c>
      <c r="Q17" s="182">
        <f>'Salary Record'!K107</f>
        <v>-5000</v>
      </c>
      <c r="R17" s="117"/>
      <c r="S17" s="117">
        <f>Q14+Q15+Q17+Q38</f>
        <v>167545.83333333334</v>
      </c>
      <c r="T17" s="119"/>
      <c r="U17" s="117"/>
    </row>
    <row r="18" spans="1:22" s="118" customFormat="1" ht="15.75" x14ac:dyDescent="0.2">
      <c r="A18" s="208">
        <v>5</v>
      </c>
      <c r="B18" s="310" t="str">
        <f>'Salary Record'!C25</f>
        <v>Mossi</v>
      </c>
      <c r="C18" s="126"/>
      <c r="D18" s="127"/>
      <c r="E18" s="66">
        <f>'Salary Record'!K24</f>
        <v>6000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6000</v>
      </c>
      <c r="L18" s="177">
        <f>'Salary Record'!G28</f>
        <v>0</v>
      </c>
      <c r="M18" s="177">
        <f>'Salary Record'!G29</f>
        <v>0</v>
      </c>
      <c r="N18" s="178">
        <f>'Salary Record'!G30</f>
        <v>0</v>
      </c>
      <c r="O18" s="177">
        <f>'Salary Record'!G31</f>
        <v>5000</v>
      </c>
      <c r="P18" s="178">
        <f>'Salary Record'!G32</f>
        <v>-5000</v>
      </c>
      <c r="Q18" s="182">
        <v>6000</v>
      </c>
      <c r="R18" s="117"/>
      <c r="T18" s="119"/>
    </row>
    <row r="19" spans="1:22" s="118" customFormat="1" ht="15.75" x14ac:dyDescent="0.2">
      <c r="A19" s="207">
        <v>6</v>
      </c>
      <c r="B19" s="310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30</v>
      </c>
      <c r="J19" s="188">
        <f>'Salary Record'!K44</f>
        <v>0</v>
      </c>
      <c r="K19" s="188">
        <f>'Salary Record'!K45</f>
        <v>23000</v>
      </c>
      <c r="L19" s="189">
        <f>'Salary Record'!G43</f>
        <v>1000</v>
      </c>
      <c r="M19" s="189">
        <f>'Salary Record'!G44</f>
        <v>9000</v>
      </c>
      <c r="N19" s="190">
        <f>'Salary Record'!G45</f>
        <v>10000</v>
      </c>
      <c r="O19" s="189">
        <f>'Salary Record'!G46</f>
        <v>3000</v>
      </c>
      <c r="P19" s="190">
        <f>'Salary Record'!G47</f>
        <v>7000</v>
      </c>
      <c r="Q19" s="191">
        <f>'Salary Record'!K47</f>
        <v>20000</v>
      </c>
      <c r="R19" s="117"/>
      <c r="S19" s="117"/>
      <c r="T19" s="119"/>
    </row>
    <row r="20" spans="1:22" s="203" customFormat="1" ht="21" x14ac:dyDescent="0.3">
      <c r="A20" s="362" t="s">
        <v>2</v>
      </c>
      <c r="B20" s="363"/>
      <c r="C20" s="227"/>
      <c r="D20" s="227"/>
      <c r="E20" s="229">
        <f>SUM(E14:E19)</f>
        <v>277000</v>
      </c>
      <c r="F20" s="227"/>
      <c r="G20" s="227"/>
      <c r="H20" s="227"/>
      <c r="I20" s="227"/>
      <c r="J20" s="228">
        <f>SUM(J14:J19)</f>
        <v>1370.8333333333335</v>
      </c>
      <c r="K20" s="228">
        <f>SUM(K14:K19)</f>
        <v>232370.83333333334</v>
      </c>
      <c r="L20" s="228"/>
      <c r="M20" s="227"/>
      <c r="N20" s="227"/>
      <c r="O20" s="227"/>
      <c r="P20" s="227"/>
      <c r="Q20" s="229">
        <f>SUM(Q14:Q19)</f>
        <v>222870.83333333334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59" t="s">
        <v>89</v>
      </c>
      <c r="B22" s="360"/>
      <c r="C22" s="360"/>
      <c r="D22" s="360"/>
      <c r="E22" s="360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361"/>
      <c r="R22" s="154"/>
      <c r="S22" s="160"/>
      <c r="T22" s="156"/>
    </row>
    <row r="23" spans="1:22" s="316" customFormat="1" ht="20.25" customHeight="1" x14ac:dyDescent="0.2">
      <c r="A23" s="208">
        <v>1</v>
      </c>
      <c r="B23" s="255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0</v>
      </c>
      <c r="G23" s="195">
        <f>'Salary Record'!C497</f>
        <v>0</v>
      </c>
      <c r="H23" s="194">
        <f>'Salary Record'!I495</f>
        <v>50</v>
      </c>
      <c r="I23" s="194">
        <f>'Salary Record'!I494</f>
        <v>30</v>
      </c>
      <c r="J23" s="168">
        <f>'Salary Record'!K495</f>
        <v>6562.5</v>
      </c>
      <c r="K23" s="194">
        <f>'Salary Record'!K496</f>
        <v>38062.5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38062.5</v>
      </c>
      <c r="R23" s="315" t="s">
        <v>124</v>
      </c>
      <c r="T23" s="317"/>
    </row>
    <row r="24" spans="1:22" s="327" customFormat="1" ht="20.25" customHeight="1" x14ac:dyDescent="0.2">
      <c r="A24" s="318">
        <v>2</v>
      </c>
      <c r="B24" s="310" t="str">
        <f>'Salary Record'!C461</f>
        <v>Hassan Khan</v>
      </c>
      <c r="C24" s="58"/>
      <c r="D24" s="53"/>
      <c r="E24" s="319">
        <f>'Salary Record'!K460</f>
        <v>26500</v>
      </c>
      <c r="F24" s="319">
        <f>'Salary Record'!C466</f>
        <v>0</v>
      </c>
      <c r="G24" s="320">
        <f>'Salary Record'!C467</f>
        <v>0</v>
      </c>
      <c r="H24" s="319">
        <f>'Salary Record'!I465</f>
        <v>66</v>
      </c>
      <c r="I24" s="319">
        <f>'Salary Record'!I464</f>
        <v>30</v>
      </c>
      <c r="J24" s="320">
        <f>'Salary Record'!K465</f>
        <v>7287.5</v>
      </c>
      <c r="K24" s="321">
        <f>'Salary Record'!K466</f>
        <v>33787.5</v>
      </c>
      <c r="L24" s="240">
        <f>'Salary Record'!G464</f>
        <v>0</v>
      </c>
      <c r="M24" s="322">
        <f>'Salary Record'!G465</f>
        <v>0</v>
      </c>
      <c r="N24" s="323">
        <f>'Salary Record'!G466</f>
        <v>0</v>
      </c>
      <c r="O24" s="322">
        <f>'Salary Record'!G467</f>
        <v>0</v>
      </c>
      <c r="P24" s="323">
        <f>'Salary Record'!G468</f>
        <v>0</v>
      </c>
      <c r="Q24" s="180">
        <f>'Salary Record'!K468</f>
        <v>33787.5</v>
      </c>
      <c r="R24" s="324"/>
      <c r="S24" s="325">
        <f>65000+Q27+30000</f>
        <v>232479.16666666666</v>
      </c>
      <c r="T24" s="326"/>
    </row>
    <row r="25" spans="1:22" s="328" customFormat="1" ht="21" customHeight="1" x14ac:dyDescent="0.2">
      <c r="A25" s="208">
        <v>3</v>
      </c>
      <c r="B25" s="310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0</v>
      </c>
      <c r="G25" s="179">
        <f>'Salary Record'!C482</f>
        <v>0</v>
      </c>
      <c r="H25" s="66">
        <f>'Salary Record'!I480</f>
        <v>18</v>
      </c>
      <c r="I25" s="66">
        <f>'Salary Record'!I479</f>
        <v>30</v>
      </c>
      <c r="J25" s="179">
        <f>'Salary Record'!K480</f>
        <v>2400</v>
      </c>
      <c r="K25" s="175">
        <f>'Salary Record'!K481</f>
        <v>34400</v>
      </c>
      <c r="L25" s="176">
        <f>'Salary Record'!G479</f>
        <v>15000</v>
      </c>
      <c r="M25" s="177">
        <f>'Salary Record'!G480</f>
        <v>0</v>
      </c>
      <c r="N25" s="178">
        <f>'Salary Record'!G481</f>
        <v>15000</v>
      </c>
      <c r="O25" s="177">
        <f>'Salary Record'!G482</f>
        <v>3000</v>
      </c>
      <c r="P25" s="178">
        <f>'Salary Record'!G483</f>
        <v>12000</v>
      </c>
      <c r="Q25" s="180">
        <f>'Salary Record'!K483</f>
        <v>31400</v>
      </c>
      <c r="R25" s="315"/>
      <c r="T25" s="329"/>
      <c r="U25" s="315"/>
    </row>
    <row r="26" spans="1:22" s="328" customFormat="1" ht="20.25" customHeight="1" x14ac:dyDescent="0.2">
      <c r="A26" s="318">
        <v>4</v>
      </c>
      <c r="B26" s="311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0</v>
      </c>
      <c r="G26" s="241">
        <f>'Salary Record'!C452</f>
        <v>0</v>
      </c>
      <c r="H26" s="66">
        <f>'Salary Record'!I450</f>
        <v>70</v>
      </c>
      <c r="I26" s="176">
        <f>'Salary Record'!I449</f>
        <v>30</v>
      </c>
      <c r="J26" s="175">
        <f>'Salary Record'!K450</f>
        <v>7729.166666666667</v>
      </c>
      <c r="K26" s="66">
        <f>'Salary Record'!K451</f>
        <v>34229.166666666664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34229.166666666664</v>
      </c>
      <c r="R26" s="315"/>
      <c r="T26" s="329"/>
      <c r="V26" s="315"/>
    </row>
    <row r="27" spans="1:22" s="203" customFormat="1" ht="21" x14ac:dyDescent="0.3">
      <c r="A27" s="362" t="s">
        <v>2</v>
      </c>
      <c r="B27" s="363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23979.166666666668</v>
      </c>
      <c r="K27" s="238">
        <f>SUM(K23:K26)</f>
        <v>140479.16666666666</v>
      </c>
      <c r="L27" s="227"/>
      <c r="M27" s="227"/>
      <c r="N27" s="227"/>
      <c r="O27" s="227"/>
      <c r="P27" s="227"/>
      <c r="Q27" s="201">
        <f>SUM(Q23:Q26)</f>
        <v>137479.16666666666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S28" s="225">
        <f>Q27+Q34+Q37+Q39+Q40+Q77+Q78+Q79+Q84+Q85+Q48+Q86</f>
        <v>724814.58333333337</v>
      </c>
      <c r="T28" s="226"/>
    </row>
    <row r="29" spans="1:22" s="158" customFormat="1" ht="21" customHeight="1" x14ac:dyDescent="0.2">
      <c r="A29" s="367" t="s">
        <v>88</v>
      </c>
      <c r="B29" s="368"/>
      <c r="C29" s="368"/>
      <c r="D29" s="368"/>
      <c r="E29" s="368"/>
      <c r="F29" s="368"/>
      <c r="G29" s="368"/>
      <c r="H29" s="368"/>
      <c r="I29" s="368"/>
      <c r="J29" s="368"/>
      <c r="K29" s="368"/>
      <c r="L29" s="368"/>
      <c r="M29" s="368"/>
      <c r="N29" s="368"/>
      <c r="O29" s="368"/>
      <c r="P29" s="368"/>
      <c r="Q29" s="369"/>
      <c r="R29" s="245"/>
      <c r="T29" s="159"/>
    </row>
    <row r="30" spans="1:22" s="118" customFormat="1" ht="21" customHeight="1" x14ac:dyDescent="0.2">
      <c r="A30" s="207">
        <v>1</v>
      </c>
      <c r="B30" s="311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0</v>
      </c>
      <c r="G30" s="179">
        <f>'Salary Record'!C542</f>
        <v>0</v>
      </c>
      <c r="H30" s="66">
        <f>'Salary Record'!I540</f>
        <v>51</v>
      </c>
      <c r="I30" s="66">
        <f>'Salary Record'!I539</f>
        <v>30</v>
      </c>
      <c r="J30" s="179">
        <f>'Salary Record'!K540</f>
        <v>6268.75</v>
      </c>
      <c r="K30" s="179">
        <f>'Salary Record'!K541</f>
        <v>35768.75</v>
      </c>
      <c r="L30" s="198">
        <f>'Salary Record'!G539</f>
        <v>0</v>
      </c>
      <c r="M30" s="66">
        <f>'Salary Record'!G540</f>
        <v>30000</v>
      </c>
      <c r="N30" s="193">
        <f>'Salary Record'!G541</f>
        <v>30000</v>
      </c>
      <c r="O30" s="66">
        <f>'Salary Record'!G542</f>
        <v>3000</v>
      </c>
      <c r="P30" s="193">
        <f>'Salary Record'!G543</f>
        <v>27000</v>
      </c>
      <c r="Q30" s="180">
        <f>'Salary Record'!K543</f>
        <v>32768.75</v>
      </c>
      <c r="R30" s="117" t="s">
        <v>124</v>
      </c>
      <c r="S30" s="117"/>
      <c r="T30" s="125"/>
    </row>
    <row r="31" spans="1:22" s="118" customFormat="1" ht="21" customHeight="1" x14ac:dyDescent="0.2">
      <c r="A31" s="207">
        <v>2</v>
      </c>
      <c r="B31" s="311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0</v>
      </c>
      <c r="G31" s="179">
        <f>'Salary Record'!C512</f>
        <v>0</v>
      </c>
      <c r="H31" s="66">
        <f>'Salary Record'!I510</f>
        <v>53</v>
      </c>
      <c r="I31" s="66">
        <f>'Salary Record'!I509</f>
        <v>30</v>
      </c>
      <c r="J31" s="175">
        <f>'Salary Record'!K510</f>
        <v>6625</v>
      </c>
      <c r="K31" s="175">
        <f>'Salary Record'!K511</f>
        <v>36625</v>
      </c>
      <c r="L31" s="176">
        <f>'Salary Record'!G509</f>
        <v>35000</v>
      </c>
      <c r="M31" s="177">
        <f>'Salary Record'!G510</f>
        <v>0</v>
      </c>
      <c r="N31" s="178">
        <f>'Salary Record'!G511</f>
        <v>35000</v>
      </c>
      <c r="O31" s="177">
        <f>'Salary Record'!G512</f>
        <v>5000</v>
      </c>
      <c r="P31" s="178">
        <f>'Salary Record'!G513</f>
        <v>30000</v>
      </c>
      <c r="Q31" s="180">
        <f>'Salary Record'!K513</f>
        <v>31625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11" t="str">
        <f>'Salary Record'!C521</f>
        <v>Mumtaz Ali Chakar</v>
      </c>
      <c r="C32" s="132"/>
      <c r="D32" s="133"/>
      <c r="E32" s="197">
        <f>'Salary Record'!K520</f>
        <v>42500</v>
      </c>
      <c r="F32" s="197">
        <f>'Salary Record'!C526</f>
        <v>0</v>
      </c>
      <c r="G32" s="175">
        <f>'Salary Record'!C527</f>
        <v>0</v>
      </c>
      <c r="H32" s="197">
        <f>'Salary Record'!I525</f>
        <v>10</v>
      </c>
      <c r="I32" s="197">
        <f>'Salary Record'!I524</f>
        <v>30</v>
      </c>
      <c r="J32" s="175">
        <f>'Salary Record'!K525</f>
        <v>1770.8333333333335</v>
      </c>
      <c r="K32" s="66">
        <f>'Salary Record'!K526</f>
        <v>44270.833333333336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44270.833333333336</v>
      </c>
      <c r="R32" s="117"/>
      <c r="S32" s="117"/>
      <c r="T32" s="119"/>
    </row>
    <row r="33" spans="1:24" ht="15.75" x14ac:dyDescent="0.25">
      <c r="A33" s="207">
        <v>4</v>
      </c>
      <c r="B33" s="311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0</v>
      </c>
      <c r="G33" s="18">
        <f>'Salary Record'!C557</f>
        <v>0</v>
      </c>
      <c r="H33" s="9">
        <f>'Salary Record'!I555</f>
        <v>32</v>
      </c>
      <c r="I33" s="9">
        <f>'Salary Record'!I554</f>
        <v>30</v>
      </c>
      <c r="J33" s="13">
        <f>'Salary Record'!K555</f>
        <v>3333.3333333333335</v>
      </c>
      <c r="K33" s="13">
        <f>'Salary Record'!K556</f>
        <v>28333.333333333332</v>
      </c>
      <c r="L33" s="9">
        <f>'Salary Record'!G554</f>
        <v>24000</v>
      </c>
      <c r="M33" s="9">
        <f>'Salary Record'!G555</f>
        <v>0</v>
      </c>
      <c r="N33" s="15">
        <f>'Salary Record'!G556</f>
        <v>24000</v>
      </c>
      <c r="O33" s="9">
        <f>'Salary Record'!G557</f>
        <v>2000</v>
      </c>
      <c r="P33" s="15">
        <f>'Salary Record'!G558</f>
        <v>22000</v>
      </c>
      <c r="Q33" s="86">
        <f>'Salary Record'!K558</f>
        <v>26333.333333333332</v>
      </c>
      <c r="R33" s="77"/>
      <c r="S33" s="117"/>
    </row>
    <row r="34" spans="1:24" s="203" customFormat="1" ht="21" x14ac:dyDescent="0.3">
      <c r="A34" s="362" t="s">
        <v>2</v>
      </c>
      <c r="B34" s="363"/>
      <c r="C34" s="227"/>
      <c r="D34" s="227"/>
      <c r="E34" s="229">
        <f>SUM(E30:E33)</f>
        <v>127000</v>
      </c>
      <c r="F34" s="227"/>
      <c r="G34" s="227"/>
      <c r="H34" s="227"/>
      <c r="I34" s="227"/>
      <c r="J34" s="229">
        <f>SUM(J30:J33)</f>
        <v>17997.916666666668</v>
      </c>
      <c r="K34" s="229">
        <f>SUM(K30:K33)</f>
        <v>144997.91666666669</v>
      </c>
      <c r="L34" s="227"/>
      <c r="M34" s="227"/>
      <c r="N34" s="227"/>
      <c r="O34" s="227"/>
      <c r="P34" s="227"/>
      <c r="Q34" s="201">
        <f>SUM(Q30:Q33)</f>
        <v>134997.91666666669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64" t="s">
        <v>33</v>
      </c>
      <c r="B36" s="365"/>
      <c r="C36" s="365"/>
      <c r="D36" s="365"/>
      <c r="E36" s="365"/>
      <c r="F36" s="365"/>
      <c r="G36" s="365"/>
      <c r="H36" s="365"/>
      <c r="I36" s="365"/>
      <c r="J36" s="365"/>
      <c r="K36" s="365"/>
      <c r="L36" s="365"/>
      <c r="M36" s="365"/>
      <c r="N36" s="365"/>
      <c r="O36" s="365"/>
      <c r="P36" s="365"/>
      <c r="Q36" s="366"/>
      <c r="R36" s="161"/>
      <c r="S36" s="162">
        <f>Q37+Q41+Q42+Q43+Q86</f>
        <v>236812.50000000003</v>
      </c>
      <c r="T36" s="163"/>
    </row>
    <row r="37" spans="1:24" s="118" customFormat="1" ht="21" customHeight="1" x14ac:dyDescent="0.2">
      <c r="A37" s="208">
        <v>1</v>
      </c>
      <c r="B37" s="310" t="s">
        <v>5</v>
      </c>
      <c r="C37" s="136"/>
      <c r="D37" s="137"/>
      <c r="E37" s="179">
        <f>'Salary Record'!K159</f>
        <v>70000</v>
      </c>
      <c r="F37" s="179">
        <f>'Salary Record'!C165</f>
        <v>0</v>
      </c>
      <c r="G37" s="179">
        <f>'Salary Record'!C166</f>
        <v>0</v>
      </c>
      <c r="H37" s="179">
        <f>'Salary Record'!I164</f>
        <v>51</v>
      </c>
      <c r="I37" s="179">
        <f>'Salary Record'!I163</f>
        <v>30</v>
      </c>
      <c r="J37" s="312">
        <f>'Salary Record'!K164</f>
        <v>14875.000000000002</v>
      </c>
      <c r="K37" s="175">
        <f>'Salary Record'!K165</f>
        <v>84875</v>
      </c>
      <c r="L37" s="176">
        <f>'Salary Record'!G163</f>
        <v>23200</v>
      </c>
      <c r="M37" s="177">
        <f>'Salary Record'!G164</f>
        <v>0</v>
      </c>
      <c r="N37" s="178">
        <f>'Salary Record'!G165</f>
        <v>23200</v>
      </c>
      <c r="O37" s="177">
        <f>'Salary Record'!G166</f>
        <v>5000</v>
      </c>
      <c r="P37" s="178">
        <f>'Salary Record'!G167</f>
        <v>18200</v>
      </c>
      <c r="Q37" s="180">
        <f>'Salary Record'!K167</f>
        <v>79875</v>
      </c>
      <c r="R37" s="117" t="s">
        <v>110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10" t="s">
        <v>22</v>
      </c>
      <c r="C38" s="138"/>
      <c r="D38" s="135"/>
      <c r="E38" s="66">
        <f>'Salary Record'!K129</f>
        <v>42000</v>
      </c>
      <c r="F38" s="66">
        <f>'Salary Record'!C135</f>
        <v>30</v>
      </c>
      <c r="G38" s="179">
        <f>'Salary Record'!C136</f>
        <v>0</v>
      </c>
      <c r="H38" s="66">
        <f>'Salary Record'!I134</f>
        <v>21</v>
      </c>
      <c r="I38" s="66">
        <f>'Salary Record'!I133</f>
        <v>30</v>
      </c>
      <c r="J38" s="175">
        <f>'Salary Record'!K134</f>
        <v>3675</v>
      </c>
      <c r="K38" s="66">
        <f>'Salary Record'!K135</f>
        <v>45675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45675</v>
      </c>
      <c r="R38" s="117" t="s">
        <v>114</v>
      </c>
      <c r="S38" s="117" t="s">
        <v>115</v>
      </c>
      <c r="T38" s="119"/>
      <c r="U38" s="117">
        <f>79400+48230+39000</f>
        <v>166630</v>
      </c>
    </row>
    <row r="39" spans="1:24" s="118" customFormat="1" ht="21" customHeight="1" x14ac:dyDescent="0.2">
      <c r="A39" s="208">
        <v>3</v>
      </c>
      <c r="B39" s="310" t="s">
        <v>4</v>
      </c>
      <c r="C39" s="130"/>
      <c r="D39" s="131"/>
      <c r="E39" s="179">
        <f>'Salary Record'!K580</f>
        <v>40000</v>
      </c>
      <c r="F39" s="179">
        <f>'Salary Record'!C586</f>
        <v>0</v>
      </c>
      <c r="G39" s="179">
        <f>'Salary Record'!C587</f>
        <v>0</v>
      </c>
      <c r="H39" s="179">
        <f>'Salary Record'!I585</f>
        <v>103</v>
      </c>
      <c r="I39" s="179">
        <f>'Salary Record'!I584</f>
        <v>30</v>
      </c>
      <c r="J39" s="312">
        <f>'Salary Record'!K585</f>
        <v>17166.666666666664</v>
      </c>
      <c r="K39" s="66">
        <f>'Salary Record'!K586</f>
        <v>57166.666666666664</v>
      </c>
      <c r="L39" s="176">
        <f>'Salary Record'!G584</f>
        <v>40000</v>
      </c>
      <c r="M39" s="177">
        <f>'Salary Record'!G585</f>
        <v>0</v>
      </c>
      <c r="N39" s="178">
        <f>'Salary Record'!G586</f>
        <v>40000</v>
      </c>
      <c r="O39" s="177">
        <f>'Salary Record'!G587</f>
        <v>5000</v>
      </c>
      <c r="P39" s="178">
        <f>'Salary Record'!G588</f>
        <v>35000</v>
      </c>
      <c r="Q39" s="180">
        <f>'Salary Record'!K588</f>
        <v>52166.666666666664</v>
      </c>
      <c r="R39" s="117" t="s">
        <v>111</v>
      </c>
      <c r="S39" s="118" t="s">
        <v>112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310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0</v>
      </c>
      <c r="G40" s="181">
        <f>'Salary Record'!C181</f>
        <v>0</v>
      </c>
      <c r="H40" s="176">
        <f>'Salary Record'!I179</f>
        <v>16</v>
      </c>
      <c r="I40" s="176">
        <f>'Salary Record'!I178</f>
        <v>30</v>
      </c>
      <c r="J40" s="175">
        <f>'Salary Record'!K179</f>
        <v>3333.3333333333335</v>
      </c>
      <c r="K40" s="175">
        <f>'Salary Record'!K180</f>
        <v>53333.333333333336</v>
      </c>
      <c r="L40" s="176">
        <f>'Salary Record'!G178</f>
        <v>95000</v>
      </c>
      <c r="M40" s="176">
        <f>'Salary Record'!G179</f>
        <v>0</v>
      </c>
      <c r="N40" s="178">
        <f>'Salary Record'!G180</f>
        <v>95000</v>
      </c>
      <c r="O40" s="176">
        <f>'Salary Record'!G181</f>
        <v>5000</v>
      </c>
      <c r="P40" s="178">
        <f>'Salary Record'!G182</f>
        <v>90000</v>
      </c>
      <c r="Q40" s="180">
        <f>'Salary Record'!K182</f>
        <v>48333.333333333336</v>
      </c>
      <c r="R40" s="117" t="s">
        <v>142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10" t="str">
        <f>'Salary Record'!C627</f>
        <v>Nadeem Painter</v>
      </c>
      <c r="C41" s="146"/>
      <c r="D41" s="147"/>
      <c r="E41" s="200">
        <f>'Salary Record'!K626</f>
        <v>35000</v>
      </c>
      <c r="F41" s="200">
        <f>'Salary Record'!C632</f>
        <v>0</v>
      </c>
      <c r="G41" s="179">
        <f>'Salary Record'!C633</f>
        <v>0</v>
      </c>
      <c r="H41" s="200">
        <f>'Salary Record'!I631</f>
        <v>80</v>
      </c>
      <c r="I41" s="200">
        <f>'Salary Record'!I630</f>
        <v>30</v>
      </c>
      <c r="J41" s="175">
        <f>'Salary Record'!K631</f>
        <v>11666.666666666668</v>
      </c>
      <c r="K41" s="175">
        <f>'Salary Record'!K632</f>
        <v>46666.666666666672</v>
      </c>
      <c r="L41" s="176">
        <f>'Salary Record'!G630</f>
        <v>0</v>
      </c>
      <c r="M41" s="177">
        <f>'Salary Record'!G631</f>
        <v>0</v>
      </c>
      <c r="N41" s="178" t="str">
        <f>'Salary Record'!G632</f>
        <v/>
      </c>
      <c r="O41" s="177">
        <f>'Salary Record'!G633</f>
        <v>0</v>
      </c>
      <c r="P41" s="178" t="str">
        <f>'Salary Record'!G634</f>
        <v/>
      </c>
      <c r="Q41" s="182">
        <f>'Salary Record'!K634</f>
        <v>46666.666666666672</v>
      </c>
      <c r="R41" s="117"/>
      <c r="T41" s="119"/>
      <c r="U41" s="117"/>
    </row>
    <row r="42" spans="1:24" s="118" customFormat="1" ht="21" customHeight="1" x14ac:dyDescent="0.2">
      <c r="A42" s="208">
        <v>6</v>
      </c>
      <c r="B42" s="310" t="str">
        <f>'Salary Record'!C658</f>
        <v>Khushnood</v>
      </c>
      <c r="C42" s="134"/>
      <c r="D42" s="135"/>
      <c r="E42" s="200">
        <f>'Salary Record'!K657</f>
        <v>50000</v>
      </c>
      <c r="F42" s="66">
        <f>'Salary Record'!C663</f>
        <v>0</v>
      </c>
      <c r="G42" s="179">
        <f>'Salary Record'!C664</f>
        <v>0</v>
      </c>
      <c r="H42" s="66">
        <f>'Salary Record'!I662</f>
        <v>51</v>
      </c>
      <c r="I42" s="66">
        <f>'Salary Record'!I661</f>
        <v>30</v>
      </c>
      <c r="J42" s="179">
        <f>'Salary Record'!K662</f>
        <v>10625</v>
      </c>
      <c r="K42" s="179">
        <f>'Salary Record'!K663</f>
        <v>60625</v>
      </c>
      <c r="L42" s="198">
        <f>'Salary Record'!G661</f>
        <v>5500</v>
      </c>
      <c r="M42" s="66">
        <f>'Salary Record'!G662</f>
        <v>10000</v>
      </c>
      <c r="N42" s="193">
        <f>'Salary Record'!G663</f>
        <v>15500</v>
      </c>
      <c r="O42" s="66">
        <f>'Salary Record'!G664</f>
        <v>10000</v>
      </c>
      <c r="P42" s="193">
        <f>'Salary Record'!G665</f>
        <v>5500</v>
      </c>
      <c r="Q42" s="180">
        <f>'Salary Record'!K665</f>
        <v>50625</v>
      </c>
      <c r="R42" s="117"/>
      <c r="S42" s="117"/>
      <c r="T42" s="119"/>
      <c r="U42" s="117"/>
    </row>
    <row r="43" spans="1:24" ht="15.75" x14ac:dyDescent="0.25">
      <c r="A43" s="208">
        <v>7</v>
      </c>
      <c r="B43" s="310" t="str">
        <f>'Salary Record'!C674</f>
        <v>Fahad Fareed</v>
      </c>
      <c r="C43" s="59"/>
      <c r="D43" s="60"/>
      <c r="E43" s="9">
        <f>'Salary Record'!K673</f>
        <v>25000</v>
      </c>
      <c r="F43" s="9">
        <f>'Salary Record'!C679</f>
        <v>0</v>
      </c>
      <c r="G43" s="18">
        <f>'Salary Record'!C680</f>
        <v>0</v>
      </c>
      <c r="H43" s="9">
        <f>'Salary Record'!I678</f>
        <v>111</v>
      </c>
      <c r="I43" s="9">
        <f>'Salary Record'!I677</f>
        <v>0</v>
      </c>
      <c r="J43" s="44">
        <f>'Salary Record'!K678</f>
        <v>11562.5</v>
      </c>
      <c r="K43" s="44">
        <f>'Salary Record'!K679</f>
        <v>11562.5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11562.5</v>
      </c>
      <c r="R43" s="77"/>
      <c r="S43" s="8"/>
      <c r="U43" s="8"/>
      <c r="V43" s="2"/>
      <c r="W43" s="2"/>
      <c r="X43" s="2"/>
    </row>
    <row r="44" spans="1:24" s="118" customFormat="1" ht="21" customHeight="1" x14ac:dyDescent="0.2">
      <c r="A44" s="208">
        <v>8</v>
      </c>
      <c r="B44" s="310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0</v>
      </c>
      <c r="G44" s="181">
        <f>'Salary Record'!C211</f>
        <v>0</v>
      </c>
      <c r="H44" s="176">
        <f>'Salary Record'!I209</f>
        <v>24</v>
      </c>
      <c r="I44" s="176">
        <f>'Salary Record'!I208</f>
        <v>30</v>
      </c>
      <c r="J44" s="188">
        <f>'Salary Record'!K209</f>
        <v>2600</v>
      </c>
      <c r="K44" s="188">
        <f>'Salary Record'!K210</f>
        <v>28600</v>
      </c>
      <c r="L44" s="189">
        <f>'Salary Record'!G208</f>
        <v>18225</v>
      </c>
      <c r="M44" s="189">
        <f>'Salary Record'!G209</f>
        <v>10000</v>
      </c>
      <c r="N44" s="199">
        <f>'Salary Record'!G210</f>
        <v>28225</v>
      </c>
      <c r="O44" s="189">
        <f>'Salary Record'!G211</f>
        <v>10000</v>
      </c>
      <c r="P44" s="199">
        <f>'Salary Record'!G212</f>
        <v>18225</v>
      </c>
      <c r="Q44" s="242">
        <f>'Salary Record'!K212</f>
        <v>18600</v>
      </c>
      <c r="R44" s="117" t="s">
        <v>119</v>
      </c>
      <c r="S44" s="117" t="s">
        <v>120</v>
      </c>
      <c r="T44" s="119"/>
      <c r="U44" s="117"/>
      <c r="V44" s="119"/>
      <c r="W44" s="119"/>
      <c r="X44" s="119"/>
    </row>
    <row r="45" spans="1:24" s="203" customFormat="1" ht="21" x14ac:dyDescent="0.3">
      <c r="A45" s="362" t="s">
        <v>2</v>
      </c>
      <c r="B45" s="363"/>
      <c r="C45" s="227"/>
      <c r="D45" s="227"/>
      <c r="E45" s="229">
        <f>SUM(E37:E44)</f>
        <v>338000</v>
      </c>
      <c r="F45" s="227"/>
      <c r="G45" s="227"/>
      <c r="H45" s="227"/>
      <c r="I45" s="227"/>
      <c r="J45" s="229">
        <f>SUM(J37:J44)</f>
        <v>75504.166666666672</v>
      </c>
      <c r="K45" s="229">
        <f>SUM(K37:K44)</f>
        <v>388504.16666666669</v>
      </c>
      <c r="L45" s="227"/>
      <c r="M45" s="227"/>
      <c r="N45" s="227"/>
      <c r="O45" s="227"/>
      <c r="P45" s="227"/>
      <c r="Q45" s="201">
        <f>SUM(Q37:Q44)</f>
        <v>353504.16666666669</v>
      </c>
      <c r="R45" s="202"/>
      <c r="T45" s="204"/>
    </row>
    <row r="46" spans="1:24" s="155" customFormat="1" ht="21" customHeight="1" x14ac:dyDescent="0.2">
      <c r="A46" s="359" t="s">
        <v>86</v>
      </c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1"/>
      <c r="R46" s="165"/>
      <c r="S46" s="160"/>
      <c r="T46" s="156"/>
    </row>
    <row r="47" spans="1:24" s="118" customFormat="1" ht="21" customHeight="1" x14ac:dyDescent="0.2">
      <c r="A47" s="208">
        <v>1</v>
      </c>
      <c r="B47" s="310" t="s">
        <v>11</v>
      </c>
      <c r="C47" s="146"/>
      <c r="D47" s="147"/>
      <c r="E47" s="177">
        <f>'Salary Record'!K384</f>
        <v>25000</v>
      </c>
      <c r="F47" s="177">
        <f>'Salary Record'!C390</f>
        <v>29</v>
      </c>
      <c r="G47" s="174">
        <f>'Salary Record'!C391</f>
        <v>1</v>
      </c>
      <c r="H47" s="177">
        <f>'Salary Record'!I389</f>
        <v>15</v>
      </c>
      <c r="I47" s="177">
        <f>'Salary Record'!I388</f>
        <v>30</v>
      </c>
      <c r="J47" s="175">
        <f>'Salary Record'!K389</f>
        <v>1562.5</v>
      </c>
      <c r="K47" s="175">
        <f>'Salary Record'!K390</f>
        <v>26562.5</v>
      </c>
      <c r="L47" s="176">
        <f>'Salary Record'!G388</f>
        <v>10000</v>
      </c>
      <c r="M47" s="177">
        <f>'Salary Record'!G389</f>
        <v>0</v>
      </c>
      <c r="N47" s="178">
        <f>'Salary Record'!G390</f>
        <v>10000</v>
      </c>
      <c r="O47" s="177">
        <f>'Salary Record'!G391</f>
        <v>2000</v>
      </c>
      <c r="P47" s="178">
        <f>'Salary Record'!G392</f>
        <v>8000</v>
      </c>
      <c r="Q47" s="180">
        <f>'Salary Record'!K392</f>
        <v>24562.5</v>
      </c>
      <c r="R47" s="117"/>
      <c r="S47" s="117"/>
      <c r="T47" s="119"/>
      <c r="U47" s="117"/>
    </row>
    <row r="48" spans="1:24" ht="15.75" x14ac:dyDescent="0.25">
      <c r="A48" s="207">
        <v>2</v>
      </c>
      <c r="B48" s="310" t="str">
        <f>'Salary Record'!C752</f>
        <v>Adeel</v>
      </c>
      <c r="C48" s="67"/>
      <c r="D48" s="68"/>
      <c r="E48" s="9">
        <f>'Salary Record'!K751</f>
        <v>30000</v>
      </c>
      <c r="F48" s="9">
        <f>'Salary Record'!C757</f>
        <v>30</v>
      </c>
      <c r="G48" s="18">
        <f>'Salary Record'!C758</f>
        <v>0</v>
      </c>
      <c r="H48" s="9">
        <f>'Salary Record'!I756</f>
        <v>67</v>
      </c>
      <c r="I48" s="9">
        <f>'Salary Record'!I755</f>
        <v>30</v>
      </c>
      <c r="J48" s="248">
        <f>'Salary Record'!K756</f>
        <v>8375</v>
      </c>
      <c r="K48" s="13">
        <f>'Salary Record'!K757</f>
        <v>38375</v>
      </c>
      <c r="L48" s="9">
        <f>'Salary Record'!G755</f>
        <v>0</v>
      </c>
      <c r="M48" s="9">
        <f>'Salary Record'!G756</f>
        <v>20000</v>
      </c>
      <c r="N48" s="15">
        <f>'Salary Record'!G757</f>
        <v>20000</v>
      </c>
      <c r="O48" s="9">
        <f>'Salary Record'!G758</f>
        <v>3000</v>
      </c>
      <c r="P48" s="15">
        <f>'Salary Record'!G759</f>
        <v>17000</v>
      </c>
      <c r="Q48" s="180">
        <f>'Salary Record'!K759</f>
        <v>35375</v>
      </c>
      <c r="R48" s="77"/>
    </row>
    <row r="49" spans="1:23" s="118" customFormat="1" ht="21" customHeight="1" x14ac:dyDescent="0.2">
      <c r="A49" s="207">
        <v>3</v>
      </c>
      <c r="B49" s="333" t="str">
        <f>'Salary Record'!C340</f>
        <v>M. Sami</v>
      </c>
      <c r="C49" s="145" t="s">
        <v>83</v>
      </c>
      <c r="D49" s="144">
        <f>Q49</f>
        <v>40395.833333333336</v>
      </c>
      <c r="E49" s="66">
        <f>'Salary Record'!K339</f>
        <v>35000</v>
      </c>
      <c r="F49" s="177">
        <f>'Salary Record'!C345</f>
        <v>30</v>
      </c>
      <c r="G49" s="179">
        <f>'Salary Record'!C346</f>
        <v>0</v>
      </c>
      <c r="H49" s="66">
        <f>'Salary Record'!I344</f>
        <v>37</v>
      </c>
      <c r="I49" s="66">
        <f>'Salary Record'!I343</f>
        <v>30</v>
      </c>
      <c r="J49" s="175">
        <f>'Salary Record'!K344</f>
        <v>5395.8333333333339</v>
      </c>
      <c r="K49" s="175">
        <f>'Salary Record'!K345</f>
        <v>40395.833333333336</v>
      </c>
      <c r="L49" s="176">
        <f>'Salary Record'!G343</f>
        <v>0</v>
      </c>
      <c r="M49" s="189">
        <f>'Salary Record'!G344</f>
        <v>0</v>
      </c>
      <c r="N49" s="190">
        <f>'Salary Record'!G345</f>
        <v>0</v>
      </c>
      <c r="O49" s="189">
        <f>'Salary Record'!G346</f>
        <v>0</v>
      </c>
      <c r="P49" s="190">
        <f>'Salary Record'!G347</f>
        <v>0</v>
      </c>
      <c r="Q49" s="242">
        <f>'Salary Record'!K347</f>
        <v>40395.833333333336</v>
      </c>
      <c r="R49" s="117"/>
      <c r="S49" s="117"/>
      <c r="T49" s="119"/>
      <c r="U49" s="117"/>
      <c r="V49" s="117"/>
    </row>
    <row r="50" spans="1:23" s="118" customFormat="1" ht="21" customHeight="1" x14ac:dyDescent="0.2">
      <c r="A50" s="208">
        <v>4</v>
      </c>
      <c r="B50" s="310" t="str">
        <f>'Salary Record'!C355</f>
        <v>Adil (FTC)</v>
      </c>
      <c r="C50" s="143"/>
      <c r="D50" s="144"/>
      <c r="E50" s="66">
        <f>'Salary Record'!K354</f>
        <v>27000</v>
      </c>
      <c r="F50" s="177">
        <f>'Salary Record'!C360</f>
        <v>29</v>
      </c>
      <c r="G50" s="179">
        <f>'Salary Record'!C361</f>
        <v>1</v>
      </c>
      <c r="H50" s="66">
        <f>'Salary Record'!I359</f>
        <v>18</v>
      </c>
      <c r="I50" s="66">
        <f>'Salary Record'!I358</f>
        <v>30</v>
      </c>
      <c r="J50" s="175">
        <f>'Salary Record'!K359</f>
        <v>2025</v>
      </c>
      <c r="K50" s="175">
        <f>'Salary Record'!K360</f>
        <v>29025</v>
      </c>
      <c r="L50" s="176">
        <f>'Salary Record'!G358</f>
        <v>18000</v>
      </c>
      <c r="M50" s="177">
        <f>'Salary Record'!G359</f>
        <v>0</v>
      </c>
      <c r="N50" s="178">
        <f>'Salary Record'!G360</f>
        <v>18000</v>
      </c>
      <c r="O50" s="177">
        <f>'Salary Record'!G361</f>
        <v>2000</v>
      </c>
      <c r="P50" s="178">
        <f>'Salary Record'!G362</f>
        <v>16000</v>
      </c>
      <c r="Q50" s="180">
        <f>'Salary Record'!K362</f>
        <v>27025</v>
      </c>
      <c r="R50" s="117" t="s">
        <v>121</v>
      </c>
      <c r="S50" s="117"/>
      <c r="T50" s="119"/>
    </row>
    <row r="51" spans="1:23" s="118" customFormat="1" ht="21" customHeight="1" x14ac:dyDescent="0.2">
      <c r="A51" s="208">
        <v>6</v>
      </c>
      <c r="B51" s="331" t="str">
        <f>'Salary Record'!C400</f>
        <v>Zeeshan</v>
      </c>
      <c r="C51" s="130"/>
      <c r="D51" s="131"/>
      <c r="E51" s="176">
        <f>'Salary Record'!K399</f>
        <v>25000</v>
      </c>
      <c r="F51" s="177">
        <f>'Salary Record'!C405</f>
        <v>29</v>
      </c>
      <c r="G51" s="181">
        <f>'Salary Record'!C406</f>
        <v>1</v>
      </c>
      <c r="H51" s="176">
        <f>'Salary Record'!I404</f>
        <v>21</v>
      </c>
      <c r="I51" s="176">
        <f>'Salary Record'!I403</f>
        <v>29</v>
      </c>
      <c r="J51" s="175">
        <f>'Salary Record'!K404</f>
        <v>2187.5</v>
      </c>
      <c r="K51" s="66">
        <f>'Salary Record'!K405</f>
        <v>26354.166666666668</v>
      </c>
      <c r="L51" s="176">
        <f>'Salary Record'!G403</f>
        <v>0</v>
      </c>
      <c r="M51" s="176">
        <f>'Salary Record'!G404</f>
        <v>0</v>
      </c>
      <c r="N51" s="178">
        <f>'Salary Record'!G405</f>
        <v>0</v>
      </c>
      <c r="O51" s="176">
        <f>'Salary Record'!G406</f>
        <v>0</v>
      </c>
      <c r="P51" s="178">
        <f>'Salary Record'!G407</f>
        <v>0</v>
      </c>
      <c r="Q51" s="180">
        <f>'Salary Record'!K407</f>
        <v>26354.166666666668</v>
      </c>
      <c r="R51" s="117"/>
      <c r="S51" s="117"/>
      <c r="T51" s="119"/>
    </row>
    <row r="52" spans="1:23" s="118" customFormat="1" ht="21" customHeight="1" x14ac:dyDescent="0.2">
      <c r="A52" s="207">
        <v>7</v>
      </c>
      <c r="B52" s="310" t="str">
        <f>'Salary Record'!C325</f>
        <v>M. Shafeeq</v>
      </c>
      <c r="C52" s="148"/>
      <c r="D52" s="137"/>
      <c r="E52" s="66">
        <f>'Salary Record'!K324</f>
        <v>27000</v>
      </c>
      <c r="F52" s="177">
        <f>'Salary Record'!C330</f>
        <v>27</v>
      </c>
      <c r="G52" s="179">
        <f>'Salary Record'!C331</f>
        <v>3</v>
      </c>
      <c r="H52" s="66">
        <f>'Salary Record'!I329</f>
        <v>18</v>
      </c>
      <c r="I52" s="66">
        <f>'Salary Record'!I328</f>
        <v>30</v>
      </c>
      <c r="J52" s="179">
        <f>'Salary Record'!K329</f>
        <v>2025</v>
      </c>
      <c r="K52" s="179">
        <f>'Salary Record'!K330</f>
        <v>29025</v>
      </c>
      <c r="L52" s="198">
        <f>'Salary Record'!G328</f>
        <v>3000</v>
      </c>
      <c r="M52" s="66">
        <f>'Salary Record'!G329</f>
        <v>0</v>
      </c>
      <c r="N52" s="193">
        <f>'Salary Record'!G330</f>
        <v>3000</v>
      </c>
      <c r="O52" s="66">
        <f>'Salary Record'!G331</f>
        <v>1000</v>
      </c>
      <c r="P52" s="193">
        <f>'Salary Record'!G332</f>
        <v>2000</v>
      </c>
      <c r="Q52" s="180">
        <f>'Salary Record'!K332</f>
        <v>28025</v>
      </c>
      <c r="R52" s="117" t="s">
        <v>137</v>
      </c>
      <c r="S52" s="244">
        <f>Q58+Q50+Q49+Q47</f>
        <v>147983.33333333334</v>
      </c>
      <c r="T52" s="125"/>
    </row>
    <row r="53" spans="1:23" s="203" customFormat="1" ht="21" x14ac:dyDescent="0.3">
      <c r="A53" s="362" t="s">
        <v>2</v>
      </c>
      <c r="B53" s="363"/>
      <c r="C53" s="227"/>
      <c r="D53" s="227"/>
      <c r="E53" s="229">
        <f>SUM(E47:E52)</f>
        <v>169000</v>
      </c>
      <c r="F53" s="227"/>
      <c r="G53" s="227"/>
      <c r="H53" s="227"/>
      <c r="I53" s="227"/>
      <c r="J53" s="229">
        <f>SUM(J47:J52)</f>
        <v>21570.833333333336</v>
      </c>
      <c r="K53" s="229">
        <f>SUM(K47:K52)</f>
        <v>189737.5</v>
      </c>
      <c r="L53" s="227"/>
      <c r="M53" s="227"/>
      <c r="N53" s="227"/>
      <c r="O53" s="227"/>
      <c r="P53" s="227"/>
      <c r="Q53" s="201">
        <f>SUM(Q47:Q52)</f>
        <v>181737.5</v>
      </c>
      <c r="R53" s="202"/>
      <c r="T53" s="204"/>
    </row>
    <row r="54" spans="1:23" s="203" customFormat="1" ht="21" x14ac:dyDescent="0.3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4"/>
      <c r="R54" s="225"/>
      <c r="T54" s="226"/>
    </row>
    <row r="55" spans="1:23" s="155" customFormat="1" ht="21" customHeight="1" x14ac:dyDescent="0.2">
      <c r="A55" s="359" t="s">
        <v>217</v>
      </c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0"/>
      <c r="P55" s="360"/>
      <c r="Q55" s="361"/>
      <c r="R55" s="165"/>
      <c r="S55" s="160"/>
      <c r="T55" s="156"/>
      <c r="W55" s="160"/>
    </row>
    <row r="56" spans="1:23" s="327" customFormat="1" ht="18" customHeight="1" x14ac:dyDescent="0.2">
      <c r="A56" s="208">
        <v>1</v>
      </c>
      <c r="B56" s="333" t="str">
        <f>'Salary Record'!C690</f>
        <v xml:space="preserve">Engr. Israr </v>
      </c>
      <c r="C56" s="61"/>
      <c r="D56" s="53"/>
      <c r="E56" s="343">
        <f>'Salary Record'!K689</f>
        <v>170000</v>
      </c>
      <c r="F56" s="343">
        <f>'Salary Record'!C695</f>
        <v>30</v>
      </c>
      <c r="G56" s="343">
        <f>'Salary Record'!C696</f>
        <v>0</v>
      </c>
      <c r="H56" s="343">
        <f>'Salary Record'!I694</f>
        <v>0</v>
      </c>
      <c r="I56" s="343">
        <f>'Salary Record'!I693</f>
        <v>30</v>
      </c>
      <c r="J56" s="320">
        <f>'Salary Record'!K694</f>
        <v>0</v>
      </c>
      <c r="K56" s="320">
        <f>'Salary Record'!K695</f>
        <v>170000</v>
      </c>
      <c r="L56" s="240">
        <f>'Salary Record'!G693</f>
        <v>0</v>
      </c>
      <c r="M56" s="322">
        <f>'Salary Record'!G694</f>
        <v>0</v>
      </c>
      <c r="N56" s="323">
        <f>'Salary Record'!G695</f>
        <v>0</v>
      </c>
      <c r="O56" s="322">
        <f>'Salary Record'!G696</f>
        <v>0</v>
      </c>
      <c r="P56" s="323">
        <f>'Salary Record'!G697</f>
        <v>0</v>
      </c>
      <c r="Q56" s="344">
        <f>'Salary Record'!K697</f>
        <v>170000</v>
      </c>
      <c r="R56" s="315"/>
      <c r="S56" s="324"/>
      <c r="T56" s="326"/>
    </row>
    <row r="57" spans="1:23" s="327" customFormat="1" ht="18" customHeight="1" x14ac:dyDescent="0.2">
      <c r="A57" s="208">
        <v>2</v>
      </c>
      <c r="B57" s="333" t="str">
        <f>'Salary Record'!C295</f>
        <v xml:space="preserve">M. Imran </v>
      </c>
      <c r="C57" s="58"/>
      <c r="D57" s="53"/>
      <c r="E57" s="200">
        <f>'Salary Record'!K294</f>
        <v>75000</v>
      </c>
      <c r="F57" s="200">
        <f>'Salary Record'!C300</f>
        <v>26</v>
      </c>
      <c r="G57" s="179">
        <f>'Salary Record'!C301</f>
        <v>4</v>
      </c>
      <c r="H57" s="200">
        <f>'Salary Record'!I299</f>
        <v>2</v>
      </c>
      <c r="I57" s="200">
        <f>'Salary Record'!I298</f>
        <v>20</v>
      </c>
      <c r="J57" s="343">
        <f>'Salary Record'!K299</f>
        <v>625</v>
      </c>
      <c r="K57" s="321">
        <f>'Salary Record'!K300</f>
        <v>50625</v>
      </c>
      <c r="L57" s="345">
        <f>'Salary Record'!G298</f>
        <v>17000</v>
      </c>
      <c r="M57" s="321">
        <f>'Salary Record'!G299</f>
        <v>0</v>
      </c>
      <c r="N57" s="346">
        <f>'Salary Record'!G300</f>
        <v>17000</v>
      </c>
      <c r="O57" s="321">
        <f>'Salary Record'!G301</f>
        <v>5000</v>
      </c>
      <c r="P57" s="346">
        <f>'Salary Record'!G302</f>
        <v>12000</v>
      </c>
      <c r="Q57" s="180">
        <f>'Salary Record'!K302</f>
        <v>45625</v>
      </c>
      <c r="R57" s="315"/>
      <c r="S57" s="324"/>
      <c r="T57" s="347"/>
    </row>
    <row r="58" spans="1:23" s="118" customFormat="1" ht="21" customHeight="1" x14ac:dyDescent="0.2">
      <c r="A58" s="208">
        <v>3</v>
      </c>
      <c r="B58" s="333" t="str">
        <f>'Salary Record'!C370</f>
        <v>Waseem Tariq</v>
      </c>
      <c r="C58" s="130"/>
      <c r="D58" s="131"/>
      <c r="E58" s="176">
        <f>'Salary Record'!K369</f>
        <v>60000</v>
      </c>
      <c r="F58" s="177">
        <f>'Salary Record'!C375</f>
        <v>29</v>
      </c>
      <c r="G58" s="181">
        <f>'Salary Record'!C376</f>
        <v>1</v>
      </c>
      <c r="H58" s="176">
        <f>'Salary Record'!I374</f>
        <v>0</v>
      </c>
      <c r="I58" s="176">
        <f>'Salary Record'!I373</f>
        <v>29</v>
      </c>
      <c r="J58" s="175">
        <f>'Salary Record'!K374</f>
        <v>0</v>
      </c>
      <c r="K58" s="66">
        <f>'Salary Record'!K375</f>
        <v>58000</v>
      </c>
      <c r="L58" s="176">
        <f>'Salary Record'!G373</f>
        <v>0</v>
      </c>
      <c r="M58" s="176">
        <f>'Salary Record'!G374</f>
        <v>20000</v>
      </c>
      <c r="N58" s="178">
        <f>'Salary Record'!G375</f>
        <v>20000</v>
      </c>
      <c r="O58" s="176">
        <f>'Salary Record'!G376</f>
        <v>2000</v>
      </c>
      <c r="P58" s="178">
        <f>'Salary Record'!G377</f>
        <v>18000</v>
      </c>
      <c r="Q58" s="180">
        <f>'Salary Record'!K377</f>
        <v>56000</v>
      </c>
      <c r="R58" s="117"/>
      <c r="S58" s="117"/>
      <c r="T58" s="119"/>
    </row>
    <row r="59" spans="1:23" s="328" customFormat="1" ht="18" customHeight="1" x14ac:dyDescent="0.2">
      <c r="A59" s="208">
        <v>4</v>
      </c>
      <c r="B59" s="333" t="str">
        <f>'Salary Record'!C280</f>
        <v>Mukhtiar</v>
      </c>
      <c r="C59" s="132"/>
      <c r="D59" s="133"/>
      <c r="E59" s="200">
        <f>'Salary Record'!K279</f>
        <v>50000</v>
      </c>
      <c r="F59" s="200">
        <f>'Salary Record'!C285</f>
        <v>28</v>
      </c>
      <c r="G59" s="179">
        <f>'Salary Record'!C286</f>
        <v>2</v>
      </c>
      <c r="H59" s="200">
        <f>'Salary Record'!I284</f>
        <v>16</v>
      </c>
      <c r="I59" s="200">
        <f>'Salary Record'!I283</f>
        <v>30</v>
      </c>
      <c r="J59" s="175">
        <f>'Salary Record'!K284</f>
        <v>3333.3333333333335</v>
      </c>
      <c r="K59" s="175">
        <f>'Salary Record'!K285</f>
        <v>53333.333333333336</v>
      </c>
      <c r="L59" s="176">
        <f>'Salary Record'!G283</f>
        <v>140870</v>
      </c>
      <c r="M59" s="177">
        <f>'Salary Record'!G284</f>
        <v>0</v>
      </c>
      <c r="N59" s="178">
        <f>'Salary Record'!G285</f>
        <v>140870</v>
      </c>
      <c r="O59" s="177">
        <f>'Salary Record'!G286</f>
        <v>5000</v>
      </c>
      <c r="P59" s="178">
        <f>'Salary Record'!G287</f>
        <v>135870</v>
      </c>
      <c r="Q59" s="180">
        <f>'Salary Record'!K287</f>
        <v>48333.333333333336</v>
      </c>
      <c r="R59" s="315"/>
      <c r="S59" s="324"/>
      <c r="T59" s="329"/>
    </row>
    <row r="60" spans="1:23" s="328" customFormat="1" ht="18" customHeight="1" x14ac:dyDescent="0.2">
      <c r="A60" s="208">
        <v>5</v>
      </c>
      <c r="B60" s="333" t="str">
        <f>'Salary Record'!C642</f>
        <v>Mohib uz Zaman</v>
      </c>
      <c r="C60" s="139"/>
      <c r="D60" s="140"/>
      <c r="E60" s="200">
        <f>'Salary Record'!K641</f>
        <v>45000</v>
      </c>
      <c r="F60" s="179">
        <f>'Salary Record'!C647</f>
        <v>30</v>
      </c>
      <c r="G60" s="179">
        <f>'Salary Record'!C648</f>
        <v>0</v>
      </c>
      <c r="H60" s="179">
        <f>'Salary Record'!I646</f>
        <v>46</v>
      </c>
      <c r="I60" s="179">
        <f>'Salary Record'!I645</f>
        <v>30</v>
      </c>
      <c r="J60" s="175">
        <f>'Salary Record'!K646</f>
        <v>8625</v>
      </c>
      <c r="K60" s="175">
        <f>'Salary Record'!K647</f>
        <v>53625</v>
      </c>
      <c r="L60" s="176">
        <f>'Salary Record'!G645</f>
        <v>0</v>
      </c>
      <c r="M60" s="177">
        <f>'Salary Record'!G646</f>
        <v>0</v>
      </c>
      <c r="N60" s="178">
        <f>'Salary Record'!G647</f>
        <v>0</v>
      </c>
      <c r="O60" s="177">
        <f>'Salary Record'!G648</f>
        <v>0</v>
      </c>
      <c r="P60" s="178">
        <f>'Salary Record'!G649</f>
        <v>0</v>
      </c>
      <c r="Q60" s="180">
        <f>'Salary Record'!K649</f>
        <v>53625</v>
      </c>
      <c r="R60" s="315"/>
      <c r="S60" s="324"/>
      <c r="T60" s="329"/>
    </row>
    <row r="61" spans="1:23" s="328" customFormat="1" ht="18" customHeight="1" x14ac:dyDescent="0.2">
      <c r="A61" s="208">
        <v>6</v>
      </c>
      <c r="B61" s="333" t="str">
        <f>'Salary Record'!C220</f>
        <v>Mudassir</v>
      </c>
      <c r="C61" s="130"/>
      <c r="D61" s="131"/>
      <c r="E61" s="200">
        <f>'Salary Record'!K219</f>
        <v>35000</v>
      </c>
      <c r="F61" s="200">
        <f>'Salary Record'!C225</f>
        <v>0</v>
      </c>
      <c r="G61" s="179">
        <f>'Salary Record'!C226</f>
        <v>0</v>
      </c>
      <c r="H61" s="200">
        <f>'Salary Record'!I224</f>
        <v>0</v>
      </c>
      <c r="I61" s="200">
        <f>'Salary Record'!I223</f>
        <v>10</v>
      </c>
      <c r="J61" s="175">
        <f>'Salary Record'!K224</f>
        <v>0</v>
      </c>
      <c r="K61" s="66">
        <f>'Salary Record'!K225</f>
        <v>11666.666666666668</v>
      </c>
      <c r="L61" s="176" t="str">
        <f>'Salary Record'!G223</f>
        <v/>
      </c>
      <c r="M61" s="176">
        <f>'Salary Record'!G224</f>
        <v>0</v>
      </c>
      <c r="N61" s="178" t="str">
        <f>'Salary Record'!G225</f>
        <v/>
      </c>
      <c r="O61" s="176">
        <f>'Salary Record'!G226</f>
        <v>0</v>
      </c>
      <c r="P61" s="178" t="str">
        <f>'Salary Record'!G227</f>
        <v/>
      </c>
      <c r="Q61" s="180">
        <f>'Salary Record'!K227</f>
        <v>11666.666666666668</v>
      </c>
      <c r="R61" s="315"/>
      <c r="S61" s="324"/>
      <c r="T61" s="329"/>
    </row>
    <row r="62" spans="1:23" s="328" customFormat="1" ht="18" customHeight="1" x14ac:dyDescent="0.2">
      <c r="A62" s="208">
        <v>7</v>
      </c>
      <c r="B62" s="333" t="str">
        <f>'Salary Record'!C265</f>
        <v>M. Arif</v>
      </c>
      <c r="C62" s="139"/>
      <c r="D62" s="140"/>
      <c r="E62" s="200">
        <f>'Salary Record'!K264</f>
        <v>35000</v>
      </c>
      <c r="F62" s="179">
        <f>'Salary Record'!C270</f>
        <v>26</v>
      </c>
      <c r="G62" s="179">
        <f>'Salary Record'!C271</f>
        <v>4</v>
      </c>
      <c r="H62" s="179">
        <f>'Salary Record'!I269</f>
        <v>53</v>
      </c>
      <c r="I62" s="179">
        <f>'Salary Record'!I268</f>
        <v>26</v>
      </c>
      <c r="J62" s="175">
        <f>'Salary Record'!K269</f>
        <v>7729.166666666667</v>
      </c>
      <c r="K62" s="175">
        <f>'Salary Record'!K270</f>
        <v>38062.5</v>
      </c>
      <c r="L62" s="176">
        <f>'Salary Record'!G268</f>
        <v>0</v>
      </c>
      <c r="M62" s="177">
        <f>'Salary Record'!G269</f>
        <v>0</v>
      </c>
      <c r="N62" s="178">
        <f>'Salary Record'!G270</f>
        <v>0</v>
      </c>
      <c r="O62" s="177">
        <f>'Salary Record'!G271</f>
        <v>0</v>
      </c>
      <c r="P62" s="178">
        <f>'Salary Record'!G272</f>
        <v>0</v>
      </c>
      <c r="Q62" s="180">
        <f>'Salary Record'!K272</f>
        <v>38062.5</v>
      </c>
      <c r="R62" s="315"/>
      <c r="S62" s="324"/>
      <c r="T62" s="329"/>
    </row>
    <row r="63" spans="1:23" s="327" customFormat="1" ht="18" customHeight="1" x14ac:dyDescent="0.2">
      <c r="A63" s="208">
        <v>8</v>
      </c>
      <c r="B63" s="333" t="str">
        <f>'Salary Record'!C235</f>
        <v>Affan Ali</v>
      </c>
      <c r="C63" s="55"/>
      <c r="D63" s="54"/>
      <c r="E63" s="200">
        <f>'Salary Record'!K234</f>
        <v>32000</v>
      </c>
      <c r="F63" s="343">
        <f>'Salary Record'!C240</f>
        <v>24</v>
      </c>
      <c r="G63" s="343">
        <f>'Salary Record'!C241</f>
        <v>6</v>
      </c>
      <c r="H63" s="343">
        <f>'Salary Record'!I239</f>
        <v>49</v>
      </c>
      <c r="I63" s="343">
        <f>'Salary Record'!I238</f>
        <v>24</v>
      </c>
      <c r="J63" s="320">
        <f>'Salary Record'!K239</f>
        <v>6533.3333333333339</v>
      </c>
      <c r="K63" s="320">
        <f>'Salary Record'!K240</f>
        <v>32133.333333333336</v>
      </c>
      <c r="L63" s="240" t="str">
        <f>'Salary Record'!G238</f>
        <v/>
      </c>
      <c r="M63" s="322">
        <f>'Salary Record'!G239</f>
        <v>0</v>
      </c>
      <c r="N63" s="323">
        <f>'Salary Record'!G240</f>
        <v>0</v>
      </c>
      <c r="O63" s="322">
        <f>'Salary Record'!G241</f>
        <v>0</v>
      </c>
      <c r="P63" s="323" t="str">
        <f>'Salary Record'!G242</f>
        <v/>
      </c>
      <c r="Q63" s="180">
        <f>'Salary Record'!K242</f>
        <v>32133.333333333336</v>
      </c>
      <c r="R63" s="315"/>
      <c r="S63" s="324"/>
      <c r="T63" s="326"/>
    </row>
    <row r="64" spans="1:23" s="327" customFormat="1" ht="18" customHeight="1" x14ac:dyDescent="0.2">
      <c r="A64" s="208">
        <v>9</v>
      </c>
      <c r="B64" s="333" t="str">
        <f>'Salary Record'!C250</f>
        <v>Ibtehaj</v>
      </c>
      <c r="C64" s="55"/>
      <c r="D64" s="54"/>
      <c r="E64" s="200">
        <f>'Salary Record'!K249</f>
        <v>45000</v>
      </c>
      <c r="F64" s="343">
        <f>'Salary Record'!C255</f>
        <v>30</v>
      </c>
      <c r="G64" s="343">
        <f>'Salary Record'!C256</f>
        <v>0</v>
      </c>
      <c r="H64" s="343">
        <f>'Salary Record'!I254</f>
        <v>91</v>
      </c>
      <c r="I64" s="343">
        <f>'Salary Record'!I253</f>
        <v>30</v>
      </c>
      <c r="J64" s="320">
        <f>'Salary Record'!K254</f>
        <v>17062.5</v>
      </c>
      <c r="K64" s="320">
        <f>'Salary Record'!K255</f>
        <v>62062.5</v>
      </c>
      <c r="L64" s="240">
        <f>'Salary Record'!G253</f>
        <v>0</v>
      </c>
      <c r="M64" s="322">
        <f>'Salary Record'!G254</f>
        <v>0</v>
      </c>
      <c r="N64" s="323">
        <f>'Salary Record'!G255</f>
        <v>0</v>
      </c>
      <c r="O64" s="322">
        <f>'Salary Record'!G256</f>
        <v>0</v>
      </c>
      <c r="P64" s="323">
        <f>'Salary Record'!G257</f>
        <v>0</v>
      </c>
      <c r="Q64" s="180">
        <f>'Salary Record'!K257</f>
        <v>62062.5</v>
      </c>
      <c r="R64" s="315"/>
      <c r="S64" s="324"/>
      <c r="T64" s="326"/>
    </row>
    <row r="65" spans="1:21" s="327" customFormat="1" ht="18" customHeight="1" x14ac:dyDescent="0.2">
      <c r="A65" s="208">
        <v>10</v>
      </c>
      <c r="B65" s="333" t="str">
        <f>'Salary Record'!C831</f>
        <v>Saad</v>
      </c>
      <c r="C65" s="55"/>
      <c r="D65" s="54"/>
      <c r="E65" s="200">
        <f>'Salary Record'!K830</f>
        <v>45000</v>
      </c>
      <c r="F65" s="343">
        <f>'Salary Record'!C836</f>
        <v>30</v>
      </c>
      <c r="G65" s="343">
        <f>'Salary Record'!C837</f>
        <v>0</v>
      </c>
      <c r="H65" s="343">
        <f>'Salary Record'!I835</f>
        <v>84</v>
      </c>
      <c r="I65" s="343">
        <f>'Salary Record'!I834</f>
        <v>30</v>
      </c>
      <c r="J65" s="320">
        <f>'Salary Record'!K835</f>
        <v>15750</v>
      </c>
      <c r="K65" s="320">
        <f>'Salary Record'!K836</f>
        <v>60750</v>
      </c>
      <c r="L65" s="240">
        <f>'Salary Record'!G834</f>
        <v>0</v>
      </c>
      <c r="M65" s="322">
        <f>'Salary Record'!G835</f>
        <v>0</v>
      </c>
      <c r="N65" s="323">
        <f>'Salary Record'!G836</f>
        <v>0</v>
      </c>
      <c r="O65" s="322">
        <f>'Salary Record'!G837</f>
        <v>0</v>
      </c>
      <c r="P65" s="323">
        <f>'Salary Record'!G838</f>
        <v>0</v>
      </c>
      <c r="Q65" s="180">
        <f>'Salary Record'!K838</f>
        <v>60750</v>
      </c>
      <c r="R65" s="315"/>
      <c r="S65" s="324"/>
      <c r="T65" s="326"/>
    </row>
    <row r="66" spans="1:21" s="327" customFormat="1" ht="18" customHeight="1" x14ac:dyDescent="0.2">
      <c r="A66" s="208">
        <v>11</v>
      </c>
      <c r="B66" s="333" t="str">
        <f>'Salary Record'!C310</f>
        <v>Asif Hussain</v>
      </c>
      <c r="C66" s="61"/>
      <c r="D66" s="51"/>
      <c r="E66" s="200">
        <f>'Salary Record'!K309</f>
        <v>35000</v>
      </c>
      <c r="F66" s="200">
        <f>'Salary Record'!C315</f>
        <v>29</v>
      </c>
      <c r="G66" s="179">
        <f>'Salary Record'!C316</f>
        <v>1</v>
      </c>
      <c r="H66" s="200">
        <f>'Salary Record'!I314</f>
        <v>62</v>
      </c>
      <c r="I66" s="200">
        <f>'Salary Record'!I313</f>
        <v>30</v>
      </c>
      <c r="J66" s="320">
        <f>'Salary Record'!K314</f>
        <v>9041.6666666666679</v>
      </c>
      <c r="K66" s="320">
        <f>'Salary Record'!K315</f>
        <v>44041.666666666672</v>
      </c>
      <c r="L66" s="240">
        <f>'Salary Record'!G313</f>
        <v>10760</v>
      </c>
      <c r="M66" s="322">
        <f>'Salary Record'!G314</f>
        <v>0</v>
      </c>
      <c r="N66" s="323">
        <f>'Salary Record'!G315</f>
        <v>10760</v>
      </c>
      <c r="O66" s="322">
        <f>'Salary Record'!G316</f>
        <v>0</v>
      </c>
      <c r="P66" s="323">
        <f>'Salary Record'!G317</f>
        <v>10760</v>
      </c>
      <c r="Q66" s="180">
        <f>'Salary Record'!K317</f>
        <v>44041.666666666672</v>
      </c>
      <c r="R66" s="315"/>
      <c r="S66" s="324"/>
      <c r="T66" s="326"/>
    </row>
    <row r="67" spans="1:21" s="327" customFormat="1" ht="18" customHeight="1" x14ac:dyDescent="0.2">
      <c r="A67" s="208">
        <v>12</v>
      </c>
      <c r="B67" s="333" t="str">
        <f>'Salary Record'!C596</f>
        <v>Waqas</v>
      </c>
      <c r="C67" s="55"/>
      <c r="D67" s="54"/>
      <c r="E67" s="321">
        <f>'Salary Record'!K595</f>
        <v>55000</v>
      </c>
      <c r="F67" s="321">
        <f>'Salary Record'!C601</f>
        <v>27</v>
      </c>
      <c r="G67" s="343">
        <f>'Salary Record'!C602</f>
        <v>3</v>
      </c>
      <c r="H67" s="321">
        <f>'Salary Record'!I600</f>
        <v>99</v>
      </c>
      <c r="I67" s="321">
        <f>'Salary Record'!I599</f>
        <v>27</v>
      </c>
      <c r="J67" s="320">
        <f>'Salary Record'!K600</f>
        <v>22687.5</v>
      </c>
      <c r="K67" s="321">
        <f>'Salary Record'!K601</f>
        <v>72187.5</v>
      </c>
      <c r="L67" s="240">
        <f>'Salary Record'!G599</f>
        <v>2000</v>
      </c>
      <c r="M67" s="322">
        <f>'Salary Record'!G600</f>
        <v>30000</v>
      </c>
      <c r="N67" s="323">
        <f>'Salary Record'!G601</f>
        <v>32000</v>
      </c>
      <c r="O67" s="322">
        <f>'Salary Record'!G602</f>
        <v>5000</v>
      </c>
      <c r="P67" s="323">
        <f>'Salary Record'!G603</f>
        <v>27000</v>
      </c>
      <c r="Q67" s="344">
        <f>'Salary Record'!K603</f>
        <v>67187.5</v>
      </c>
      <c r="R67" s="315"/>
      <c r="S67" s="324"/>
      <c r="T67" s="326"/>
    </row>
    <row r="68" spans="1:21" s="327" customFormat="1" ht="18" customHeight="1" x14ac:dyDescent="0.2">
      <c r="A68" s="208">
        <v>13</v>
      </c>
      <c r="B68" s="333" t="str">
        <f>'Salary Record'!C767</f>
        <v>Kamran</v>
      </c>
      <c r="C68" s="341"/>
      <c r="D68" s="342"/>
      <c r="E68" s="321">
        <f>'Salary Record'!K766</f>
        <v>32000</v>
      </c>
      <c r="F68" s="321">
        <f>'Salary Record'!C772</f>
        <v>28</v>
      </c>
      <c r="G68" s="343">
        <f>'Salary Record'!C773</f>
        <v>2</v>
      </c>
      <c r="H68" s="321">
        <f>'Salary Record'!I771</f>
        <v>32</v>
      </c>
      <c r="I68" s="321">
        <f>'Salary Record'!I770</f>
        <v>28</v>
      </c>
      <c r="J68" s="320">
        <f>'Salary Record'!K771</f>
        <v>4266.666666666667</v>
      </c>
      <c r="K68" s="321">
        <f>'Salary Record'!K772</f>
        <v>34133.333333333336</v>
      </c>
      <c r="L68" s="240">
        <f>'Salary Record'!G770</f>
        <v>0</v>
      </c>
      <c r="M68" s="322">
        <f>'Salary Record'!G771</f>
        <v>0</v>
      </c>
      <c r="N68" s="323" t="str">
        <f>'Salary Record'!G772</f>
        <v/>
      </c>
      <c r="O68" s="322">
        <f>'Salary Record'!G773</f>
        <v>0</v>
      </c>
      <c r="P68" s="323" t="str">
        <f>'Salary Record'!G774</f>
        <v/>
      </c>
      <c r="Q68" s="344">
        <f>'Salary Record'!K774</f>
        <v>34133.333333333336</v>
      </c>
      <c r="R68" s="315"/>
      <c r="S68" s="324"/>
      <c r="T68" s="326"/>
    </row>
    <row r="69" spans="1:21" s="327" customFormat="1" ht="18" customHeight="1" x14ac:dyDescent="0.2">
      <c r="A69" s="208">
        <v>14</v>
      </c>
      <c r="B69" s="333" t="str">
        <f>'Salary Record'!C815</f>
        <v>Noman</v>
      </c>
      <c r="C69" s="341"/>
      <c r="D69" s="342"/>
      <c r="E69" s="321">
        <f>'Salary Record'!K814</f>
        <v>35000</v>
      </c>
      <c r="F69" s="321">
        <f>'Salary Record'!C820</f>
        <v>28</v>
      </c>
      <c r="G69" s="343">
        <f>'Salary Record'!C821</f>
        <v>2</v>
      </c>
      <c r="H69" s="321">
        <f>'Salary Record'!I819</f>
        <v>24</v>
      </c>
      <c r="I69" s="321">
        <f>'Salary Record'!I818</f>
        <v>28</v>
      </c>
      <c r="J69" s="320">
        <f>'Salary Record'!K819</f>
        <v>3500</v>
      </c>
      <c r="K69" s="321">
        <f>'Salary Record'!K820</f>
        <v>36166.666666666672</v>
      </c>
      <c r="L69" s="240">
        <f>'Salary Record'!G818</f>
        <v>0</v>
      </c>
      <c r="M69" s="322">
        <f>'Salary Record'!G819</f>
        <v>0</v>
      </c>
      <c r="N69" s="323">
        <f>'Salary Record'!G820</f>
        <v>0</v>
      </c>
      <c r="O69" s="322">
        <f>'Salary Record'!G821</f>
        <v>0</v>
      </c>
      <c r="P69" s="323">
        <f>'Salary Record'!G822</f>
        <v>0</v>
      </c>
      <c r="Q69" s="344">
        <f>'Salary Record'!K822</f>
        <v>36166.666666666672</v>
      </c>
      <c r="R69" s="315"/>
      <c r="S69" s="324"/>
      <c r="T69" s="326"/>
    </row>
    <row r="70" spans="1:21" s="328" customFormat="1" ht="18" customHeight="1" x14ac:dyDescent="0.2">
      <c r="A70" s="208">
        <v>15</v>
      </c>
      <c r="B70" s="333" t="str">
        <f>'Salary Record'!C612</f>
        <v>Umair Ali</v>
      </c>
      <c r="C70" s="141" t="s">
        <v>37</v>
      </c>
      <c r="D70" s="142">
        <f>SUM(Q46:Q95)</f>
        <v>5729839.583333333</v>
      </c>
      <c r="E70" s="200">
        <f>'Salary Record'!K611</f>
        <v>32000</v>
      </c>
      <c r="F70" s="177">
        <f>'Salary Record'!C617</f>
        <v>28</v>
      </c>
      <c r="G70" s="174">
        <f>'Salary Record'!C618</f>
        <v>2</v>
      </c>
      <c r="H70" s="177">
        <f>'Salary Record'!I616</f>
        <v>63</v>
      </c>
      <c r="I70" s="177">
        <f>'Salary Record'!I615</f>
        <v>28</v>
      </c>
      <c r="J70" s="175">
        <f>'Salary Record'!K616</f>
        <v>8400</v>
      </c>
      <c r="K70" s="175">
        <f>'Salary Record'!K617</f>
        <v>38266.666666666672</v>
      </c>
      <c r="L70" s="176" t="str">
        <f>'Salary Record'!G615</f>
        <v/>
      </c>
      <c r="M70" s="177">
        <f>'Salary Record'!G616</f>
        <v>0</v>
      </c>
      <c r="N70" s="177" t="str">
        <f>'Salary Record'!G617</f>
        <v/>
      </c>
      <c r="O70" s="177">
        <f>'Salary Record'!G618</f>
        <v>0</v>
      </c>
      <c r="P70" s="178" t="str">
        <f>'Salary Record'!G619</f>
        <v/>
      </c>
      <c r="Q70" s="180">
        <f>'Salary Record'!K619</f>
        <v>38266.666666666672</v>
      </c>
      <c r="R70" s="315"/>
      <c r="S70" s="324"/>
      <c r="T70" s="329">
        <f>Q70+Q69+Q68+Q67+Q66+Q71+Q64+Q63+Q62+Q61+Q60</f>
        <v>457012.50000000006</v>
      </c>
    </row>
    <row r="71" spans="1:21" s="327" customFormat="1" ht="18" customHeight="1" x14ac:dyDescent="0.2">
      <c r="A71" s="208">
        <v>16</v>
      </c>
      <c r="B71" s="333" t="str">
        <f>'Salary Record'!C736</f>
        <v>Talha</v>
      </c>
      <c r="C71" s="61"/>
      <c r="D71" s="53"/>
      <c r="E71" s="343">
        <f>'Salary Record'!K735</f>
        <v>35000</v>
      </c>
      <c r="F71" s="343">
        <f>'Salary Record'!C741</f>
        <v>29</v>
      </c>
      <c r="G71" s="343">
        <f>'Salary Record'!C742</f>
        <v>1</v>
      </c>
      <c r="H71" s="343">
        <f>'Salary Record'!I740</f>
        <v>40</v>
      </c>
      <c r="I71" s="343">
        <f>'Salary Record'!I739</f>
        <v>29</v>
      </c>
      <c r="J71" s="320">
        <f>'Salary Record'!K740</f>
        <v>5833.3333333333339</v>
      </c>
      <c r="K71" s="320">
        <f>'Salary Record'!K741</f>
        <v>39666.666666666672</v>
      </c>
      <c r="L71" s="240">
        <f>'Salary Record'!G739</f>
        <v>0</v>
      </c>
      <c r="M71" s="322">
        <f>'Salary Record'!G740</f>
        <v>0</v>
      </c>
      <c r="N71" s="323">
        <f>'Salary Record'!G741</f>
        <v>0</v>
      </c>
      <c r="O71" s="322">
        <f>'Salary Record'!G742</f>
        <v>0</v>
      </c>
      <c r="P71" s="323">
        <f>'Salary Record'!G743</f>
        <v>0</v>
      </c>
      <c r="Q71" s="344">
        <f>'Salary Record'!K743</f>
        <v>39666.666666666672</v>
      </c>
      <c r="R71" s="315"/>
      <c r="S71" s="324"/>
      <c r="T71" s="326"/>
    </row>
    <row r="72" spans="1:21" s="327" customFormat="1" ht="18" customHeight="1" x14ac:dyDescent="0.2">
      <c r="A72" s="208">
        <v>17</v>
      </c>
      <c r="B72" s="333" t="str">
        <f>'Salary Record'!C847</f>
        <v>Momin</v>
      </c>
      <c r="C72" s="61"/>
      <c r="D72" s="53"/>
      <c r="E72" s="343">
        <f>'Salary Record'!K846</f>
        <v>35000</v>
      </c>
      <c r="F72" s="343">
        <f>'Salary Record'!C852</f>
        <v>29</v>
      </c>
      <c r="G72" s="343">
        <f>'Salary Record'!C853</f>
        <v>1</v>
      </c>
      <c r="H72" s="343">
        <f>'Salary Record'!I851</f>
        <v>44</v>
      </c>
      <c r="I72" s="343">
        <f>'Salary Record'!I850</f>
        <v>29</v>
      </c>
      <c r="J72" s="320">
        <f>'Salary Record'!K851</f>
        <v>6416.666666666667</v>
      </c>
      <c r="K72" s="320">
        <f>'Salary Record'!K852</f>
        <v>40250</v>
      </c>
      <c r="L72" s="240">
        <f>'Salary Record'!G850</f>
        <v>0</v>
      </c>
      <c r="M72" s="322">
        <f>'Salary Record'!G851</f>
        <v>0</v>
      </c>
      <c r="N72" s="323">
        <f>'Salary Record'!G852</f>
        <v>0</v>
      </c>
      <c r="O72" s="322">
        <f>'Salary Record'!G853</f>
        <v>0</v>
      </c>
      <c r="P72" s="323">
        <f>'Salary Record'!G854</f>
        <v>0</v>
      </c>
      <c r="Q72" s="344">
        <f>'Salary Record'!K854</f>
        <v>40250</v>
      </c>
      <c r="R72" s="315"/>
      <c r="S72" s="324"/>
      <c r="T72" s="326"/>
    </row>
    <row r="73" spans="1:21" s="203" customFormat="1" ht="21" x14ac:dyDescent="0.3">
      <c r="A73" s="362" t="s">
        <v>2</v>
      </c>
      <c r="B73" s="363"/>
      <c r="C73" s="227"/>
      <c r="D73" s="227"/>
      <c r="E73" s="229">
        <f>SUM(E56:E72)</f>
        <v>851000</v>
      </c>
      <c r="F73" s="227"/>
      <c r="G73" s="227"/>
      <c r="H73" s="227"/>
      <c r="I73" s="227"/>
      <c r="J73" s="229">
        <f>SUM(J56:J72)</f>
        <v>119804.16666666667</v>
      </c>
      <c r="K73" s="229">
        <f>SUM(K56:K72)</f>
        <v>894970.83333333314</v>
      </c>
      <c r="L73" s="227"/>
      <c r="M73" s="227"/>
      <c r="N73" s="227"/>
      <c r="O73" s="227"/>
      <c r="P73" s="227"/>
      <c r="Q73" s="353">
        <f>SUM(Q56:Q72)</f>
        <v>877970.83333333314</v>
      </c>
      <c r="R73" s="353">
        <f>Q73-Q59</f>
        <v>829637.49999999977</v>
      </c>
      <c r="S73" s="353"/>
      <c r="T73" s="204"/>
    </row>
    <row r="74" spans="1:21" s="203" customFormat="1" ht="21" x14ac:dyDescent="0.3">
      <c r="A74" s="223"/>
      <c r="B74" s="223"/>
      <c r="C74" s="223"/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4"/>
      <c r="R74" s="225"/>
      <c r="S74" s="117"/>
      <c r="T74" s="226"/>
      <c r="U74" s="225"/>
    </row>
    <row r="75" spans="1:21" s="158" customFormat="1" ht="21" customHeight="1" x14ac:dyDescent="0.2">
      <c r="A75" s="367" t="s">
        <v>224</v>
      </c>
      <c r="B75" s="368"/>
      <c r="C75" s="368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9"/>
      <c r="R75" s="157"/>
      <c r="S75" s="218"/>
      <c r="T75" s="159"/>
      <c r="U75" s="218"/>
    </row>
    <row r="76" spans="1:21" s="118" customFormat="1" ht="21" customHeight="1" x14ac:dyDescent="0.2">
      <c r="A76" s="207">
        <v>1</v>
      </c>
      <c r="B76" s="255" t="s">
        <v>14</v>
      </c>
      <c r="C76" s="151"/>
      <c r="D76" s="152"/>
      <c r="E76" s="166">
        <f>'Salary Record'!K84</f>
        <v>70000</v>
      </c>
      <c r="F76" s="166">
        <f>'Salary Record'!C90</f>
        <v>29</v>
      </c>
      <c r="G76" s="167">
        <f>'Salary Record'!C91</f>
        <v>1</v>
      </c>
      <c r="H76" s="166">
        <f>'Salary Record'!I89</f>
        <v>81</v>
      </c>
      <c r="I76" s="166">
        <f>'Salary Record'!I88</f>
        <v>30</v>
      </c>
      <c r="J76" s="247">
        <f>'Salary Record'!K89</f>
        <v>23625</v>
      </c>
      <c r="K76" s="168">
        <f>'Salary Record'!K90</f>
        <v>93625</v>
      </c>
      <c r="L76" s="169">
        <f>'Salary Record'!G88</f>
        <v>0</v>
      </c>
      <c r="M76" s="170">
        <f>'Salary Record'!G89</f>
        <v>5000</v>
      </c>
      <c r="N76" s="171">
        <f>'Salary Record'!G90</f>
        <v>5000</v>
      </c>
      <c r="O76" s="170">
        <f>'Salary Record'!G91</f>
        <v>5000</v>
      </c>
      <c r="P76" s="171">
        <f>'Salary Record'!G92</f>
        <v>0</v>
      </c>
      <c r="Q76" s="220">
        <f>'Salary Record'!K92</f>
        <v>88625</v>
      </c>
      <c r="R76" s="117"/>
      <c r="S76" s="117"/>
      <c r="T76" s="119"/>
      <c r="U76" s="117"/>
    </row>
    <row r="77" spans="1:21" s="118" customFormat="1" ht="21" customHeight="1" x14ac:dyDescent="0.2">
      <c r="A77" s="207">
        <v>2</v>
      </c>
      <c r="B77" s="255" t="str">
        <f>'Salary Record'!C720</f>
        <v>Noman Ali Sheikh Ansari</v>
      </c>
      <c r="C77" s="143" t="s">
        <v>82</v>
      </c>
      <c r="D77" s="144">
        <f>SUM(Q27:Q88)</f>
        <v>4349808.333333333</v>
      </c>
      <c r="E77" s="200">
        <f>'Salary Record'!K723</f>
        <v>70000</v>
      </c>
      <c r="F77" s="200">
        <f>'Salary Record'!C725</f>
        <v>30</v>
      </c>
      <c r="G77" s="179">
        <f>'Salary Record'!C726</f>
        <v>0</v>
      </c>
      <c r="H77" s="200">
        <f>'Salary Record'!I724</f>
        <v>0</v>
      </c>
      <c r="I77" s="200">
        <f>'Salary Record'!I723</f>
        <v>30</v>
      </c>
      <c r="J77" s="175">
        <f>'Salary Record'!K724</f>
        <v>0</v>
      </c>
      <c r="K77" s="175">
        <f>'Salary Record'!K725</f>
        <v>70000</v>
      </c>
      <c r="L77" s="176">
        <f>'Salary Record'!G723</f>
        <v>0</v>
      </c>
      <c r="M77" s="177">
        <f>'Salary Record'!G724</f>
        <v>0</v>
      </c>
      <c r="N77" s="178" t="str">
        <f>'Salary Record'!G725</f>
        <v/>
      </c>
      <c r="O77" s="177">
        <f>'Salary Record'!G726</f>
        <v>0</v>
      </c>
      <c r="P77" s="178" t="str">
        <f>'Salary Record'!G727</f>
        <v/>
      </c>
      <c r="Q77" s="180">
        <f>'Salary Record'!K727</f>
        <v>70000</v>
      </c>
      <c r="R77" s="117"/>
      <c r="S77" s="117"/>
      <c r="T77" s="119"/>
    </row>
    <row r="78" spans="1:21" s="118" customFormat="1" ht="21" customHeight="1" x14ac:dyDescent="0.2">
      <c r="A78" s="207">
        <v>3</v>
      </c>
      <c r="B78" s="333" t="str">
        <f>'Salary Record'!C705</f>
        <v>M. Raza</v>
      </c>
      <c r="C78" s="121"/>
      <c r="D78" s="122"/>
      <c r="E78" s="177">
        <f>'Salary Record'!K704</f>
        <v>60000</v>
      </c>
      <c r="F78" s="177">
        <f>'Salary Record'!C710</f>
        <v>29</v>
      </c>
      <c r="G78" s="174">
        <f>'Salary Record'!C711</f>
        <v>1</v>
      </c>
      <c r="H78" s="177">
        <f>'Salary Record'!I709</f>
        <v>8</v>
      </c>
      <c r="I78" s="177">
        <f>'Salary Record'!I708</f>
        <v>29</v>
      </c>
      <c r="J78" s="175">
        <f>'Salary Record'!K709</f>
        <v>2000</v>
      </c>
      <c r="K78" s="175">
        <f>'Salary Record'!K710</f>
        <v>60000</v>
      </c>
      <c r="L78" s="176">
        <f>'Salary Record'!G708</f>
        <v>0</v>
      </c>
      <c r="M78" s="177">
        <f>'Salary Record'!G709</f>
        <v>0</v>
      </c>
      <c r="N78" s="178">
        <f>'Salary Record'!G710</f>
        <v>0</v>
      </c>
      <c r="O78" s="177">
        <f>'Salary Record'!G711</f>
        <v>0</v>
      </c>
      <c r="P78" s="178">
        <f>'Salary Record'!G712</f>
        <v>0</v>
      </c>
      <c r="Q78" s="180">
        <f>'Salary Record'!K712</f>
        <v>60000</v>
      </c>
      <c r="R78" s="117"/>
      <c r="S78" s="117"/>
      <c r="T78" s="119"/>
    </row>
    <row r="79" spans="1:21" s="118" customFormat="1" ht="21" customHeight="1" x14ac:dyDescent="0.2">
      <c r="A79" s="207">
        <v>4</v>
      </c>
      <c r="B79" s="333" t="str">
        <f>'Salary Record'!C782</f>
        <v>Engr M. Usman</v>
      </c>
      <c r="C79" s="121"/>
      <c r="D79" s="122"/>
      <c r="E79" s="177">
        <f>'Salary Record'!K781</f>
        <v>60000</v>
      </c>
      <c r="F79" s="177">
        <f>'Salary Record'!C787</f>
        <v>0</v>
      </c>
      <c r="G79" s="174">
        <f>'Salary Record'!C788</f>
        <v>0</v>
      </c>
      <c r="H79" s="177">
        <f>'Salary Record'!I786</f>
        <v>0</v>
      </c>
      <c r="I79" s="177">
        <f>'Salary Record'!I785</f>
        <v>0</v>
      </c>
      <c r="J79" s="175">
        <f>'Salary Record'!K786</f>
        <v>0</v>
      </c>
      <c r="K79" s="175">
        <f>'Salary Record'!K787</f>
        <v>0</v>
      </c>
      <c r="L79" s="176">
        <f>'Salary Record'!G785</f>
        <v>12000</v>
      </c>
      <c r="M79" s="177">
        <f>'Salary Record'!G786</f>
        <v>0</v>
      </c>
      <c r="N79" s="178">
        <f>'Salary Record'!G787</f>
        <v>12000</v>
      </c>
      <c r="O79" s="177">
        <f>'Salary Record'!G788</f>
        <v>3000</v>
      </c>
      <c r="P79" s="178">
        <f>'Salary Record'!G789</f>
        <v>9000</v>
      </c>
      <c r="Q79" s="180">
        <f>'Salary Record'!K789</f>
        <v>-3000</v>
      </c>
      <c r="R79" s="117"/>
      <c r="S79" s="117"/>
      <c r="T79" s="119"/>
    </row>
    <row r="80" spans="1:21" s="327" customFormat="1" ht="18" customHeight="1" x14ac:dyDescent="0.2">
      <c r="A80" s="207">
        <v>5</v>
      </c>
      <c r="B80" s="333" t="str">
        <f>'Salary Record'!C799</f>
        <v>Engr Ahsan</v>
      </c>
      <c r="C80" s="341"/>
      <c r="D80" s="342"/>
      <c r="E80" s="321">
        <f>'Salary Record'!K798</f>
        <v>70000</v>
      </c>
      <c r="F80" s="321">
        <f>'Salary Record'!C804</f>
        <v>30</v>
      </c>
      <c r="G80" s="343">
        <f>'Salary Record'!C805</f>
        <v>0</v>
      </c>
      <c r="H80" s="321">
        <f>'Salary Record'!I803</f>
        <v>26</v>
      </c>
      <c r="I80" s="321">
        <f>'Salary Record'!I802</f>
        <v>30</v>
      </c>
      <c r="J80" s="320">
        <f>'Salary Record'!K803</f>
        <v>7583.3333333333339</v>
      </c>
      <c r="K80" s="321">
        <f>'Salary Record'!K804</f>
        <v>77583.333333333328</v>
      </c>
      <c r="L80" s="240">
        <f>'Salary Record'!G802</f>
        <v>0</v>
      </c>
      <c r="M80" s="322">
        <f>'Salary Record'!G803</f>
        <v>0</v>
      </c>
      <c r="N80" s="323">
        <f>'Salary Record'!G804</f>
        <v>0</v>
      </c>
      <c r="O80" s="322">
        <f>'Salary Record'!G805</f>
        <v>0</v>
      </c>
      <c r="P80" s="323">
        <f>'Salary Record'!G806</f>
        <v>0</v>
      </c>
      <c r="Q80" s="344">
        <f>'Salary Record'!K806</f>
        <v>77583.333333333328</v>
      </c>
      <c r="R80" s="324"/>
      <c r="S80" s="325"/>
      <c r="T80" s="326"/>
    </row>
    <row r="81" spans="1:24" s="327" customFormat="1" ht="18" customHeight="1" x14ac:dyDescent="0.2">
      <c r="A81" s="207"/>
      <c r="B81" s="358" t="str">
        <f>'Salary Record'!C863</f>
        <v>Talha Siddiqui</v>
      </c>
      <c r="C81" s="341"/>
      <c r="D81" s="342"/>
      <c r="E81" s="321">
        <f>'Salary Record'!K862</f>
        <v>60000</v>
      </c>
      <c r="F81" s="321"/>
      <c r="G81" s="343"/>
      <c r="H81" s="321"/>
      <c r="I81" s="321"/>
      <c r="J81" s="320"/>
      <c r="K81" s="321"/>
      <c r="L81" s="240"/>
      <c r="M81" s="322"/>
      <c r="N81" s="323"/>
      <c r="O81" s="322"/>
      <c r="P81" s="323"/>
      <c r="Q81" s="344"/>
      <c r="R81" s="324"/>
      <c r="S81" s="325"/>
      <c r="T81" s="326"/>
    </row>
    <row r="82" spans="1:24" s="118" customFormat="1" ht="21" customHeight="1" x14ac:dyDescent="0.2">
      <c r="A82" s="207">
        <v>6</v>
      </c>
      <c r="B82" s="255" t="str">
        <f>'Salary Record'!C115</f>
        <v>Amir (JPMC)</v>
      </c>
      <c r="C82" s="138"/>
      <c r="D82" s="135"/>
      <c r="E82" s="66">
        <f>'Salary Record'!K114</f>
        <v>60000</v>
      </c>
      <c r="F82" s="66">
        <f>'Salary Record'!C120</f>
        <v>0</v>
      </c>
      <c r="G82" s="179">
        <f>'Salary Record'!C121</f>
        <v>0</v>
      </c>
      <c r="H82" s="66">
        <f>'Salary Record'!I119</f>
        <v>22</v>
      </c>
      <c r="I82" s="66">
        <f>'Salary Record'!I118</f>
        <v>30</v>
      </c>
      <c r="J82" s="175">
        <f>'Salary Record'!K119</f>
        <v>5500</v>
      </c>
      <c r="K82" s="175">
        <f>'Salary Record'!K120</f>
        <v>65500</v>
      </c>
      <c r="L82" s="176">
        <f>'Salary Record'!G118</f>
        <v>73000</v>
      </c>
      <c r="M82" s="176">
        <f>'Salary Record'!G119</f>
        <v>0</v>
      </c>
      <c r="N82" s="178">
        <f>'Salary Record'!G120</f>
        <v>73000</v>
      </c>
      <c r="O82" s="176">
        <f>'Salary Record'!G121</f>
        <v>5000</v>
      </c>
      <c r="P82" s="178">
        <f>'Salary Record'!G122</f>
        <v>68000</v>
      </c>
      <c r="Q82" s="180">
        <f>'Salary Record'!K122</f>
        <v>60500</v>
      </c>
      <c r="R82" s="117" t="s">
        <v>113</v>
      </c>
      <c r="S82" s="117" t="s">
        <v>116</v>
      </c>
      <c r="T82" s="119"/>
      <c r="U82" s="117"/>
    </row>
    <row r="83" spans="1:24" s="118" customFormat="1" ht="21" customHeight="1" x14ac:dyDescent="0.3">
      <c r="A83" s="207">
        <v>7</v>
      </c>
      <c r="B83" s="255" t="str">
        <f>'Salary Record'!C566</f>
        <v>Shahzaib ullah</v>
      </c>
      <c r="C83" s="121"/>
      <c r="D83" s="122"/>
      <c r="E83" s="66">
        <f>'Salary Record'!K565</f>
        <v>52000</v>
      </c>
      <c r="F83" s="66">
        <f>'Salary Record'!C571</f>
        <v>0</v>
      </c>
      <c r="G83" s="179">
        <f>'Salary Record'!C572</f>
        <v>0</v>
      </c>
      <c r="H83" s="66">
        <f>'Salary Record'!I570</f>
        <v>0</v>
      </c>
      <c r="I83" s="66">
        <f>'Salary Record'!I569</f>
        <v>30</v>
      </c>
      <c r="J83" s="175">
        <f>'Salary Record'!K570</f>
        <v>0</v>
      </c>
      <c r="K83" s="66">
        <f>'Salary Record'!K571</f>
        <v>52000</v>
      </c>
      <c r="L83" s="176">
        <f>'Salary Record'!G569</f>
        <v>0</v>
      </c>
      <c r="M83" s="176">
        <f>'Salary Record'!G570</f>
        <v>0</v>
      </c>
      <c r="N83" s="176" t="str">
        <f>'Salary Record'!G571</f>
        <v/>
      </c>
      <c r="O83" s="176">
        <f>'Salary Record'!G572</f>
        <v>0</v>
      </c>
      <c r="P83" s="176" t="str">
        <f>'Salary Record'!G573</f>
        <v/>
      </c>
      <c r="Q83" s="180">
        <f>'Salary Record'!K573</f>
        <v>52000</v>
      </c>
      <c r="R83" s="117"/>
      <c r="S83" s="117"/>
      <c r="T83" s="204"/>
    </row>
    <row r="84" spans="1:24" s="118" customFormat="1" ht="21" customHeight="1" x14ac:dyDescent="0.2">
      <c r="A84" s="207">
        <v>8</v>
      </c>
      <c r="B84" s="255" t="str">
        <f>'Salary Record'!C416</f>
        <v>A. Lateef Chacha</v>
      </c>
      <c r="C84" s="132"/>
      <c r="D84" s="133"/>
      <c r="E84" s="66">
        <f>'Salary Record'!K415</f>
        <v>27000</v>
      </c>
      <c r="F84" s="66">
        <f>'Salary Record'!C421</f>
        <v>30</v>
      </c>
      <c r="G84" s="179">
        <f>'Salary Record'!C422</f>
        <v>0</v>
      </c>
      <c r="H84" s="66">
        <f>'Salary Record'!I420</f>
        <v>57</v>
      </c>
      <c r="I84" s="66">
        <f>'Salary Record'!I419</f>
        <v>30</v>
      </c>
      <c r="J84" s="175">
        <f>'Salary Record'!K420</f>
        <v>6412.5</v>
      </c>
      <c r="K84" s="175">
        <f>'Salary Record'!K421</f>
        <v>33412.5</v>
      </c>
      <c r="L84" s="176">
        <f>'Salary Record'!G419</f>
        <v>18000</v>
      </c>
      <c r="M84" s="176">
        <f>'Salary Record'!G420</f>
        <v>3000</v>
      </c>
      <c r="N84" s="178">
        <f>'Salary Record'!G421</f>
        <v>21000</v>
      </c>
      <c r="O84" s="176">
        <f>'Salary Record'!G422</f>
        <v>2000</v>
      </c>
      <c r="P84" s="178">
        <f>'Salary Record'!G423</f>
        <v>19000</v>
      </c>
      <c r="Q84" s="180">
        <f>'Salary Record'!K423</f>
        <v>31412.5</v>
      </c>
      <c r="R84" s="117"/>
      <c r="S84" s="117"/>
      <c r="T84" s="119"/>
    </row>
    <row r="85" spans="1:24" ht="15.75" x14ac:dyDescent="0.25">
      <c r="A85" s="207">
        <v>9</v>
      </c>
      <c r="B85" s="255" t="str">
        <f>'Salary Record'!C431</f>
        <v>Lateef</v>
      </c>
      <c r="C85" s="12"/>
      <c r="D85" s="50"/>
      <c r="E85" s="9">
        <f>'Salary Record'!K430</f>
        <v>34000</v>
      </c>
      <c r="F85" s="9">
        <f>'Salary Record'!C436</f>
        <v>29</v>
      </c>
      <c r="G85" s="18">
        <f>'Salary Record'!C437</f>
        <v>1</v>
      </c>
      <c r="H85" s="9">
        <f>'Salary Record'!I435</f>
        <v>43</v>
      </c>
      <c r="I85" s="9">
        <f>'Salary Record'!I434</f>
        <v>30</v>
      </c>
      <c r="J85" s="13">
        <f>'Salary Record'!K435</f>
        <v>6091.6666666666661</v>
      </c>
      <c r="K85" s="13">
        <f>'Salary Record'!K436</f>
        <v>40091.666666666664</v>
      </c>
      <c r="L85" s="9">
        <f>'Salary Record'!G434</f>
        <v>41500</v>
      </c>
      <c r="M85" s="9">
        <f>'Salary Record'!G435</f>
        <v>5000</v>
      </c>
      <c r="N85" s="92">
        <f>'Salary Record'!G436</f>
        <v>46500</v>
      </c>
      <c r="O85" s="9">
        <f>'Salary Record'!G437</f>
        <v>10000</v>
      </c>
      <c r="P85" s="92">
        <f>'Salary Record'!G438</f>
        <v>36500</v>
      </c>
      <c r="Q85" s="86">
        <f>'Salary Record'!K438</f>
        <v>30091.666666666664</v>
      </c>
      <c r="R85" s="77"/>
      <c r="S85" s="8"/>
      <c r="V85" s="2"/>
      <c r="X85" s="2"/>
    </row>
    <row r="86" spans="1:24" s="118" customFormat="1" ht="21" customHeight="1" x14ac:dyDescent="0.2">
      <c r="A86" s="207">
        <v>11</v>
      </c>
      <c r="B86" s="255" t="s">
        <v>29</v>
      </c>
      <c r="C86" s="143"/>
      <c r="D86" s="144"/>
      <c r="E86" s="173">
        <f>'Salary Record'!K189</f>
        <v>35000</v>
      </c>
      <c r="F86" s="173">
        <f>'Salary Record'!C195</f>
        <v>0</v>
      </c>
      <c r="G86" s="174">
        <f>'Salary Record'!C196</f>
        <v>0</v>
      </c>
      <c r="H86" s="173">
        <f>'Salary Record'!I194</f>
        <v>124</v>
      </c>
      <c r="I86" s="173">
        <f>'Salary Record'!I193</f>
        <v>30</v>
      </c>
      <c r="J86" s="312">
        <f>'Salary Record'!K194</f>
        <v>18083.333333333336</v>
      </c>
      <c r="K86" s="66">
        <f>'Salary Record'!K195</f>
        <v>53083.333333333336</v>
      </c>
      <c r="L86" s="176">
        <f>'Salary Record'!G193</f>
        <v>59000</v>
      </c>
      <c r="M86" s="177">
        <f>'Salary Record'!G194</f>
        <v>0</v>
      </c>
      <c r="N86" s="178">
        <f>'Salary Record'!G195</f>
        <v>59000</v>
      </c>
      <c r="O86" s="177">
        <f>'Salary Record'!G196</f>
        <v>5000</v>
      </c>
      <c r="P86" s="178">
        <f>'Salary Record'!G197</f>
        <v>54000</v>
      </c>
      <c r="Q86" s="180">
        <f>'Salary Record'!K197</f>
        <v>48083.333333333336</v>
      </c>
      <c r="R86" s="117" t="s">
        <v>127</v>
      </c>
      <c r="S86" s="117" t="s">
        <v>128</v>
      </c>
      <c r="T86" s="119"/>
    </row>
    <row r="87" spans="1:24" s="118" customFormat="1" ht="21" customHeight="1" x14ac:dyDescent="0.2">
      <c r="A87" s="207">
        <v>12</v>
      </c>
      <c r="B87" s="310" t="s">
        <v>9</v>
      </c>
      <c r="C87" s="138"/>
      <c r="D87" s="135"/>
      <c r="E87" s="179">
        <f>'Salary Record'!K144</f>
        <v>35000</v>
      </c>
      <c r="F87" s="179">
        <f>'Salary Record'!C150</f>
        <v>0</v>
      </c>
      <c r="G87" s="179">
        <f>'Salary Record'!C151</f>
        <v>0</v>
      </c>
      <c r="H87" s="179">
        <f>'Salary Record'!I149</f>
        <v>86.8</v>
      </c>
      <c r="I87" s="179">
        <f>'Salary Record'!I148</f>
        <v>30</v>
      </c>
      <c r="J87" s="175">
        <f>'Salary Record'!K149</f>
        <v>12658.333333333334</v>
      </c>
      <c r="K87" s="175">
        <f>'Salary Record'!K150</f>
        <v>47658.333333333336</v>
      </c>
      <c r="L87" s="176">
        <f>'Salary Record'!G148</f>
        <v>35867</v>
      </c>
      <c r="M87" s="177">
        <f>'Salary Record'!G149</f>
        <v>5000</v>
      </c>
      <c r="N87" s="178">
        <f>'Salary Record'!G150</f>
        <v>40867</v>
      </c>
      <c r="O87" s="177">
        <f>'Salary Record'!G151</f>
        <v>5000</v>
      </c>
      <c r="P87" s="178">
        <f>'Salary Record'!G152</f>
        <v>35867</v>
      </c>
      <c r="Q87" s="180">
        <f>'Salary Record'!K152</f>
        <v>42658.333333333336</v>
      </c>
      <c r="R87" s="117" t="s">
        <v>117</v>
      </c>
      <c r="S87" s="117" t="s">
        <v>118</v>
      </c>
      <c r="T87" s="119"/>
    </row>
    <row r="88" spans="1:24" s="203" customFormat="1" ht="21" x14ac:dyDescent="0.3">
      <c r="A88" s="362" t="s">
        <v>2</v>
      </c>
      <c r="B88" s="363"/>
      <c r="C88" s="227"/>
      <c r="D88" s="227"/>
      <c r="E88" s="231">
        <f>SUM(E76:E87)</f>
        <v>633000</v>
      </c>
      <c r="F88" s="227"/>
      <c r="G88" s="227"/>
      <c r="H88" s="227"/>
      <c r="I88" s="227"/>
      <c r="J88" s="231">
        <f>SUM(J76:J87)</f>
        <v>81954.166666666672</v>
      </c>
      <c r="K88" s="231">
        <f>SUM(K76:K87)</f>
        <v>592954.16666666674</v>
      </c>
      <c r="L88" s="227"/>
      <c r="M88" s="227"/>
      <c r="N88" s="227"/>
      <c r="O88" s="227"/>
      <c r="P88" s="227"/>
      <c r="Q88" s="201">
        <f>SUM(Q76:Q87)</f>
        <v>557954.16666666663</v>
      </c>
      <c r="R88" s="202"/>
      <c r="T88" s="204"/>
      <c r="U88" s="225"/>
    </row>
    <row r="89" spans="1:24" s="203" customFormat="1" ht="21" x14ac:dyDescent="0.3">
      <c r="A89" s="256"/>
      <c r="B89" s="257"/>
      <c r="C89" s="258"/>
      <c r="D89" s="258"/>
      <c r="E89" s="180"/>
      <c r="F89" s="258"/>
      <c r="G89" s="258"/>
      <c r="H89" s="258"/>
      <c r="I89" s="258"/>
      <c r="J89" s="180"/>
      <c r="K89" s="259"/>
      <c r="L89" s="227"/>
      <c r="M89" s="227"/>
      <c r="N89" s="227"/>
      <c r="O89" s="227"/>
      <c r="P89" s="227"/>
      <c r="Q89" s="260"/>
      <c r="R89" s="225"/>
      <c r="T89" s="261"/>
    </row>
    <row r="90" spans="1:24" ht="21" customHeight="1" x14ac:dyDescent="0.2">
      <c r="A90" s="378" t="s">
        <v>100</v>
      </c>
      <c r="B90" s="379"/>
      <c r="C90" s="221"/>
      <c r="D90" s="221"/>
      <c r="E90" s="232">
        <f>SUM(E4+E5+E73+E53+E45+E34+E27+E20+E11+E88)</f>
        <v>2591500</v>
      </c>
      <c r="F90" s="221"/>
      <c r="G90" s="221"/>
      <c r="H90" s="221"/>
      <c r="I90" s="221"/>
      <c r="J90" s="232">
        <f>SUM(J4+J5+J73+J53+J45+J34+J27+J20+J11+J88)</f>
        <v>342181.25</v>
      </c>
      <c r="K90" s="222"/>
      <c r="L90" s="206">
        <f>SUM(L4:L88)</f>
        <v>767922</v>
      </c>
      <c r="M90" s="230">
        <f>SUM(M4:M88)</f>
        <v>152000</v>
      </c>
      <c r="N90" s="206">
        <f>SUM(N4:N88)</f>
        <v>919922</v>
      </c>
      <c r="O90" s="206">
        <f>SUM(O4:O88)</f>
        <v>122500</v>
      </c>
      <c r="P90" s="206">
        <f>SUM(P4:P88)</f>
        <v>797422</v>
      </c>
      <c r="Q90" s="205">
        <f>SUM(Q4+Q5++Q73+Q53+Q45+Q34+Q27+Q20+Q11+Q88)+28000</f>
        <v>2494514.583333333</v>
      </c>
      <c r="R90" s="79"/>
      <c r="S90" s="8"/>
      <c r="U90" s="325"/>
    </row>
    <row r="91" spans="1:24" ht="20.45" customHeight="1" x14ac:dyDescent="0.2">
      <c r="A91" s="380" t="s">
        <v>166</v>
      </c>
      <c r="B91" s="381"/>
      <c r="C91" s="381"/>
      <c r="D91" s="381"/>
      <c r="E91" s="381"/>
      <c r="F91" s="381"/>
      <c r="G91" s="381"/>
      <c r="H91" s="381"/>
      <c r="I91" s="381"/>
      <c r="J91" s="381"/>
      <c r="K91" s="381"/>
      <c r="L91" s="381"/>
      <c r="M91" s="381"/>
      <c r="N91" s="381"/>
      <c r="O91" s="381"/>
      <c r="P91" s="382"/>
      <c r="Q91" s="93"/>
      <c r="R91" s="79"/>
      <c r="S91" s="8"/>
      <c r="U91" s="8"/>
    </row>
    <row r="92" spans="1:24" ht="20.45" customHeight="1" x14ac:dyDescent="0.2">
      <c r="A92" s="380" t="s">
        <v>167</v>
      </c>
      <c r="B92" s="381"/>
      <c r="C92" s="381"/>
      <c r="D92" s="381"/>
      <c r="E92" s="381"/>
      <c r="F92" s="381"/>
      <c r="G92" s="381"/>
      <c r="H92" s="381"/>
      <c r="I92" s="381"/>
      <c r="J92" s="381"/>
      <c r="K92" s="381"/>
      <c r="L92" s="381"/>
      <c r="M92" s="381"/>
      <c r="N92" s="381"/>
      <c r="O92" s="381"/>
      <c r="P92" s="382"/>
      <c r="Q92" s="93"/>
      <c r="R92" s="79"/>
      <c r="S92" s="8"/>
      <c r="U92" s="8"/>
    </row>
    <row r="93" spans="1:24" ht="20.45" customHeight="1" x14ac:dyDescent="0.25">
      <c r="A93" s="209"/>
      <c r="B93" s="80"/>
      <c r="C93" s="80"/>
      <c r="D93" s="80"/>
      <c r="E93" s="80"/>
      <c r="F93" s="80"/>
      <c r="G93" s="80"/>
      <c r="H93" s="80"/>
      <c r="I93" s="80"/>
      <c r="J93" s="80"/>
      <c r="K93" s="95"/>
      <c r="L93" s="95"/>
      <c r="M93" s="95"/>
      <c r="N93" s="95"/>
      <c r="O93" s="96"/>
      <c r="P93" s="96"/>
      <c r="Q93" s="97"/>
      <c r="R93" s="79"/>
      <c r="S93" s="8"/>
      <c r="U93" s="8"/>
    </row>
    <row r="94" spans="1:24" ht="18" x14ac:dyDescent="0.25">
      <c r="A94" s="210"/>
      <c r="B94" s="94"/>
      <c r="C94" s="59"/>
      <c r="D94" s="60"/>
      <c r="E94" s="9"/>
      <c r="F94" s="9"/>
      <c r="G94" s="18"/>
      <c r="H94" s="62"/>
      <c r="I94" s="9"/>
      <c r="J94" s="13"/>
      <c r="K94" s="10"/>
      <c r="L94" s="9"/>
      <c r="M94" s="9"/>
      <c r="N94" s="15"/>
      <c r="O94" s="9"/>
      <c r="P94" s="15"/>
      <c r="Q94" s="246"/>
      <c r="R94" s="77"/>
      <c r="S94" s="8"/>
      <c r="U94" s="8"/>
    </row>
    <row r="95" spans="1:24" x14ac:dyDescent="0.2">
      <c r="A95" s="211"/>
      <c r="B95" s="87"/>
      <c r="C95" s="87"/>
      <c r="D95" s="87"/>
      <c r="E95" s="71"/>
      <c r="F95" s="71"/>
      <c r="G95" s="88"/>
      <c r="H95" s="71"/>
      <c r="I95" s="71"/>
      <c r="J95" s="71"/>
      <c r="K95" s="71"/>
      <c r="L95" s="71"/>
      <c r="M95" s="71"/>
      <c r="N95" s="89"/>
      <c r="O95" s="71"/>
      <c r="P95" s="89"/>
      <c r="Q95" s="72"/>
      <c r="S95" s="8"/>
    </row>
    <row r="96" spans="1:24" s="118" customFormat="1" ht="21" hidden="1" customHeight="1" x14ac:dyDescent="0.2">
      <c r="A96" s="207">
        <v>2</v>
      </c>
      <c r="B96" s="234" t="s">
        <v>13</v>
      </c>
      <c r="C96" s="149" t="s">
        <v>30</v>
      </c>
      <c r="D96" s="150" t="e">
        <f>SUM(Q26:Q98)</f>
        <v>#REF!</v>
      </c>
      <c r="E96" s="194" t="e">
        <f>'Salary Record'!#REF!</f>
        <v>#REF!</v>
      </c>
      <c r="F96" s="194" t="e">
        <f>'Salary Record'!#REF!</f>
        <v>#REF!</v>
      </c>
      <c r="G96" s="195" t="e">
        <f>'Salary Record'!#REF!</f>
        <v>#REF!</v>
      </c>
      <c r="H96" s="194" t="e">
        <f>'Salary Record'!#REF!</f>
        <v>#REF!</v>
      </c>
      <c r="I96" s="194" t="e">
        <f>'Salary Record'!#REF!</f>
        <v>#REF!</v>
      </c>
      <c r="J96" s="168" t="e">
        <f>'Salary Record'!#REF!</f>
        <v>#REF!</v>
      </c>
      <c r="K96" s="194" t="e">
        <f>'Salary Record'!#REF!</f>
        <v>#REF!</v>
      </c>
      <c r="L96" s="169" t="e">
        <f>'Salary Record'!#REF!</f>
        <v>#REF!</v>
      </c>
      <c r="M96" s="169" t="e">
        <f>'Salary Record'!#REF!</f>
        <v>#REF!</v>
      </c>
      <c r="N96" s="171" t="e">
        <f>'Salary Record'!#REF!</f>
        <v>#REF!</v>
      </c>
      <c r="O96" s="170" t="e">
        <f>'Salary Record'!#REF!</f>
        <v>#REF!</v>
      </c>
      <c r="P96" s="171" t="e">
        <f>'Salary Record'!#REF!</f>
        <v>#REF!</v>
      </c>
      <c r="Q96" s="196" t="e">
        <f>'Salary Record'!#REF!</f>
        <v>#REF!</v>
      </c>
      <c r="R96" s="117"/>
      <c r="S96" s="117"/>
      <c r="T96" s="119"/>
    </row>
    <row r="97" spans="1:20" ht="15" hidden="1" x14ac:dyDescent="0.25">
      <c r="A97" s="210"/>
      <c r="B97" s="16"/>
      <c r="C97" s="90" t="s">
        <v>31</v>
      </c>
      <c r="D97" s="91" t="e">
        <f>SUM(Q27:Q99)</f>
        <v>#REF!</v>
      </c>
      <c r="E97" s="14" t="e">
        <f>'Salary Record'!#REF!</f>
        <v>#REF!</v>
      </c>
      <c r="F97" s="14" t="e">
        <f>'Salary Record'!#REF!</f>
        <v>#REF!</v>
      </c>
      <c r="G97" s="20" t="e">
        <f>'Salary Record'!#REF!</f>
        <v>#REF!</v>
      </c>
      <c r="H97" s="14" t="e">
        <f>'Salary Record'!#REF!</f>
        <v>#REF!</v>
      </c>
      <c r="I97" s="14" t="e">
        <f>'Salary Record'!#REF!</f>
        <v>#REF!</v>
      </c>
      <c r="J97" s="13" t="e">
        <f>'Salary Record'!#REF!</f>
        <v>#REF!</v>
      </c>
      <c r="K97" s="13" t="e">
        <f>'Salary Record'!#REF!</f>
        <v>#REF!</v>
      </c>
      <c r="L97" s="9" t="e">
        <f>'Salary Record'!#REF!</f>
        <v>#REF!</v>
      </c>
      <c r="M97" s="14" t="e">
        <f>'Salary Record'!#REF!</f>
        <v>#REF!</v>
      </c>
      <c r="N97" s="15" t="e">
        <f>'Salary Record'!#REF!</f>
        <v>#REF!</v>
      </c>
      <c r="O97" s="14" t="e">
        <f>'Salary Record'!#REF!</f>
        <v>#REF!</v>
      </c>
      <c r="P97" s="15" t="e">
        <f>'Salary Record'!#REF!</f>
        <v>#REF!</v>
      </c>
      <c r="Q97" s="19" t="e">
        <f>'Salary Record'!#REF!</f>
        <v>#REF!</v>
      </c>
      <c r="R97" s="77"/>
    </row>
    <row r="98" spans="1:20" hidden="1" x14ac:dyDescent="0.2">
      <c r="A98" s="211"/>
      <c r="B98" s="87"/>
      <c r="C98" s="87"/>
      <c r="D98" s="87"/>
      <c r="E98" s="71"/>
      <c r="F98" s="71"/>
      <c r="G98" s="88"/>
      <c r="H98" s="71"/>
      <c r="I98" s="71"/>
      <c r="J98" s="71"/>
      <c r="K98" s="71"/>
      <c r="L98" s="71"/>
      <c r="M98" s="71"/>
      <c r="N98" s="89"/>
      <c r="O98" s="71"/>
      <c r="P98" s="89"/>
      <c r="Q98" s="72"/>
    </row>
    <row r="99" spans="1:20" ht="15.75" hidden="1" x14ac:dyDescent="0.25">
      <c r="A99" s="210">
        <v>3</v>
      </c>
      <c r="B99" s="16" t="s">
        <v>12</v>
      </c>
      <c r="C99" s="52" t="s">
        <v>81</v>
      </c>
      <c r="D99" s="53">
        <f>SUM(Q99:Q99)</f>
        <v>36166.666666666672</v>
      </c>
      <c r="E99" s="10">
        <f>'Salary Record'!K814</f>
        <v>35000</v>
      </c>
      <c r="F99" s="10">
        <f>'Salary Record'!C820</f>
        <v>28</v>
      </c>
      <c r="G99" s="17">
        <f>'Salary Record'!C821</f>
        <v>2</v>
      </c>
      <c r="H99" s="10">
        <f>'Salary Record'!I819</f>
        <v>24</v>
      </c>
      <c r="I99" s="10">
        <f>'Salary Record'!I818</f>
        <v>28</v>
      </c>
      <c r="J99" s="13">
        <f>'Salary Record'!K819</f>
        <v>3500</v>
      </c>
      <c r="K99" s="10">
        <f>'Salary Record'!K820</f>
        <v>36166.666666666672</v>
      </c>
      <c r="L99" s="9">
        <f>'Salary Record'!G818</f>
        <v>0</v>
      </c>
      <c r="M99" s="14">
        <f>'Salary Record'!G819</f>
        <v>0</v>
      </c>
      <c r="N99" s="15">
        <f>'Salary Record'!G820</f>
        <v>0</v>
      </c>
      <c r="O99" s="10">
        <f>'Salary Record'!G821</f>
        <v>0</v>
      </c>
      <c r="P99" s="15">
        <f>'Salary Record'!G822</f>
        <v>0</v>
      </c>
      <c r="Q99" s="86">
        <f>'Salary Record'!K822</f>
        <v>36166.666666666672</v>
      </c>
      <c r="R99" s="77"/>
      <c r="S99" s="8"/>
    </row>
    <row r="100" spans="1:20" ht="20.25" hidden="1" x14ac:dyDescent="0.3">
      <c r="B100" s="370" t="s">
        <v>90</v>
      </c>
      <c r="C100" s="371"/>
      <c r="D100" s="371"/>
      <c r="E100" s="371"/>
      <c r="F100" s="371"/>
      <c r="G100" s="371"/>
      <c r="H100" s="371"/>
      <c r="I100" s="371"/>
      <c r="J100" s="371"/>
      <c r="K100" s="371"/>
      <c r="L100" s="371"/>
      <c r="M100"/>
      <c r="N100"/>
      <c r="O100"/>
      <c r="P100"/>
      <c r="R100"/>
      <c r="T100"/>
    </row>
    <row r="101" spans="1:20" ht="15" hidden="1" x14ac:dyDescent="0.25">
      <c r="B101" s="235" t="s">
        <v>91</v>
      </c>
      <c r="C101" s="85" t="s">
        <v>105</v>
      </c>
      <c r="D101" s="85" t="s">
        <v>103</v>
      </c>
      <c r="E101" s="85" t="str">
        <f>N1</f>
        <v>June</v>
      </c>
      <c r="G101" s="2"/>
      <c r="H101" s="69"/>
      <c r="K101"/>
      <c r="L101"/>
      <c r="M101"/>
      <c r="N101"/>
      <c r="O101"/>
      <c r="P101"/>
      <c r="R101"/>
      <c r="T101"/>
    </row>
    <row r="102" spans="1:20" hidden="1" x14ac:dyDescent="0.2">
      <c r="B102" s="236" t="s">
        <v>163</v>
      </c>
      <c r="C102" s="82">
        <v>100000</v>
      </c>
      <c r="D102" s="83">
        <v>100000</v>
      </c>
      <c r="E102" s="83">
        <v>25000</v>
      </c>
      <c r="G102" s="2"/>
      <c r="H102" s="69"/>
      <c r="K102" s="8"/>
      <c r="L102"/>
      <c r="M102"/>
      <c r="N102"/>
      <c r="O102"/>
      <c r="P102"/>
      <c r="R102"/>
      <c r="T102"/>
    </row>
    <row r="103" spans="1:20" hidden="1" x14ac:dyDescent="0.2">
      <c r="B103" s="236" t="s">
        <v>154</v>
      </c>
      <c r="C103" s="82"/>
      <c r="D103" s="83"/>
      <c r="E103" s="83">
        <v>25000</v>
      </c>
      <c r="G103" s="2"/>
      <c r="H103" s="69"/>
      <c r="K103"/>
      <c r="L103"/>
      <c r="M103"/>
      <c r="N103"/>
      <c r="O103"/>
      <c r="P103"/>
      <c r="R103"/>
      <c r="T103"/>
    </row>
    <row r="104" spans="1:20" hidden="1" x14ac:dyDescent="0.2">
      <c r="B104" s="236" t="s">
        <v>165</v>
      </c>
      <c r="C104" s="82"/>
      <c r="D104" s="83"/>
      <c r="E104" s="83">
        <v>25000</v>
      </c>
      <c r="G104" s="2"/>
      <c r="H104" s="69"/>
      <c r="I104" s="2" t="e">
        <f>#REF!+#REF!+Q73+Q53+#REF!+Q45+Q34+Q27+Q20+Q5</f>
        <v>#REF!</v>
      </c>
      <c r="K104"/>
      <c r="L104"/>
      <c r="M104"/>
      <c r="N104"/>
      <c r="O104"/>
      <c r="P104"/>
      <c r="R104"/>
      <c r="T104"/>
    </row>
    <row r="105" spans="1:20" hidden="1" x14ac:dyDescent="0.2">
      <c r="B105" s="236" t="s">
        <v>87</v>
      </c>
      <c r="C105" s="82"/>
      <c r="D105" s="83"/>
      <c r="E105" s="83">
        <v>25000</v>
      </c>
      <c r="G105" s="2"/>
      <c r="H105" s="69"/>
      <c r="K105"/>
      <c r="L105"/>
      <c r="M105"/>
      <c r="N105"/>
      <c r="O105"/>
      <c r="P105"/>
      <c r="R105"/>
      <c r="T105"/>
    </row>
    <row r="106" spans="1:20" ht="14.25" hidden="1" x14ac:dyDescent="0.2">
      <c r="B106" s="236" t="s">
        <v>155</v>
      </c>
      <c r="C106" s="82"/>
      <c r="D106" s="83"/>
      <c r="E106" s="83">
        <v>80000</v>
      </c>
      <c r="F106" s="74"/>
      <c r="G106" s="74"/>
      <c r="H106" s="74"/>
      <c r="I106" s="74"/>
      <c r="K106"/>
      <c r="L106"/>
      <c r="M106"/>
      <c r="N106"/>
      <c r="O106"/>
      <c r="P106"/>
      <c r="R106"/>
      <c r="T106"/>
    </row>
    <row r="107" spans="1:20" hidden="1" x14ac:dyDescent="0.2">
      <c r="B107" s="236" t="s">
        <v>32</v>
      </c>
      <c r="C107" s="82"/>
      <c r="D107" s="83"/>
      <c r="E107" s="83">
        <f>Q20</f>
        <v>222870.83333333334</v>
      </c>
      <c r="G107" s="2"/>
      <c r="H107" s="69"/>
      <c r="K107"/>
      <c r="L107"/>
      <c r="M107"/>
      <c r="N107"/>
      <c r="O107"/>
      <c r="P107"/>
      <c r="R107"/>
      <c r="T107"/>
    </row>
    <row r="108" spans="1:20" hidden="1" x14ac:dyDescent="0.2">
      <c r="B108" s="236" t="s">
        <v>156</v>
      </c>
      <c r="C108" s="82"/>
      <c r="D108" s="83"/>
      <c r="E108" s="83">
        <f>Q27</f>
        <v>137479.16666666666</v>
      </c>
      <c r="F108" s="8"/>
      <c r="G108" s="8"/>
      <c r="H108" s="84"/>
      <c r="I108" s="8"/>
      <c r="K108" s="11"/>
      <c r="L108"/>
      <c r="M108"/>
      <c r="N108"/>
      <c r="O108"/>
      <c r="P108"/>
      <c r="R108"/>
      <c r="T108"/>
    </row>
    <row r="109" spans="1:20" hidden="1" x14ac:dyDescent="0.2">
      <c r="B109" s="236" t="s">
        <v>157</v>
      </c>
      <c r="C109" s="82"/>
      <c r="D109" s="83"/>
      <c r="E109" s="83">
        <f>Q34</f>
        <v>134997.91666666669</v>
      </c>
      <c r="G109" s="2"/>
      <c r="H109" s="69"/>
      <c r="J109" s="8"/>
      <c r="K109"/>
      <c r="L109"/>
      <c r="M109"/>
      <c r="N109"/>
      <c r="O109"/>
      <c r="P109"/>
      <c r="R109"/>
      <c r="T109"/>
    </row>
    <row r="110" spans="1:20" hidden="1" x14ac:dyDescent="0.2">
      <c r="B110" s="236" t="s">
        <v>154</v>
      </c>
      <c r="C110" s="82"/>
      <c r="D110" s="83"/>
      <c r="E110" s="83">
        <f>Q45</f>
        <v>353504.16666666669</v>
      </c>
      <c r="G110" s="2"/>
      <c r="H110" s="69"/>
      <c r="J110" s="8"/>
      <c r="K110" s="11"/>
      <c r="L110"/>
      <c r="M110"/>
      <c r="N110"/>
      <c r="O110"/>
      <c r="P110"/>
      <c r="R110"/>
      <c r="T110"/>
    </row>
    <row r="111" spans="1:20" hidden="1" x14ac:dyDescent="0.2">
      <c r="B111" s="236" t="s">
        <v>37</v>
      </c>
      <c r="C111" s="82"/>
      <c r="D111" s="83"/>
      <c r="E111" s="83">
        <f>Q53</f>
        <v>181737.5</v>
      </c>
      <c r="F111" s="8"/>
      <c r="G111" s="8"/>
      <c r="H111" s="84"/>
      <c r="I111" s="8"/>
      <c r="J111" s="8"/>
      <c r="K111" s="11"/>
      <c r="L111"/>
      <c r="M111"/>
      <c r="N111"/>
      <c r="O111"/>
      <c r="P111"/>
      <c r="R111"/>
      <c r="T111"/>
    </row>
    <row r="112" spans="1:20" hidden="1" x14ac:dyDescent="0.2">
      <c r="B112" s="236" t="s">
        <v>87</v>
      </c>
      <c r="C112" s="82"/>
      <c r="D112" s="83"/>
      <c r="E112" s="83">
        <f>Q73</f>
        <v>877970.83333333314</v>
      </c>
      <c r="F112" s="8"/>
      <c r="G112"/>
      <c r="I112" s="8"/>
      <c r="K112"/>
      <c r="L112"/>
      <c r="M112"/>
      <c r="N112"/>
      <c r="O112"/>
      <c r="P112"/>
      <c r="R112"/>
      <c r="T112"/>
    </row>
    <row r="113" spans="2:20" hidden="1" x14ac:dyDescent="0.2">
      <c r="B113" s="239" t="s">
        <v>163</v>
      </c>
      <c r="C113" s="82"/>
      <c r="D113" s="83"/>
      <c r="E113" s="83">
        <f>Q88</f>
        <v>557954.16666666663</v>
      </c>
      <c r="F113"/>
      <c r="G113" s="8"/>
      <c r="H113"/>
      <c r="I113"/>
      <c r="J113"/>
      <c r="K113"/>
      <c r="L113"/>
      <c r="M113" s="8"/>
      <c r="N113"/>
      <c r="O113" s="8"/>
      <c r="P113"/>
      <c r="S113" s="8"/>
    </row>
    <row r="114" spans="2:20" hidden="1" x14ac:dyDescent="0.2">
      <c r="B114" s="243" t="s">
        <v>158</v>
      </c>
      <c r="C114" s="82"/>
      <c r="D114" s="83"/>
      <c r="E114" s="83">
        <f>Q83</f>
        <v>52000</v>
      </c>
      <c r="F114"/>
      <c r="G114"/>
      <c r="H114"/>
      <c r="I114" s="8"/>
      <c r="J114" s="8"/>
      <c r="K114"/>
      <c r="L114"/>
      <c r="M114"/>
      <c r="N114"/>
      <c r="O114" s="8"/>
      <c r="P114" s="11"/>
      <c r="S114" s="8"/>
    </row>
    <row r="115" spans="2:20" hidden="1" x14ac:dyDescent="0.2">
      <c r="B115" s="236" t="s">
        <v>159</v>
      </c>
      <c r="C115" s="82"/>
      <c r="D115" s="83"/>
      <c r="E115" s="83">
        <v>5000</v>
      </c>
      <c r="F115"/>
      <c r="G115"/>
      <c r="H115"/>
      <c r="I115"/>
      <c r="J115"/>
      <c r="K115"/>
      <c r="L115"/>
      <c r="M115"/>
      <c r="N115"/>
      <c r="O115" s="8"/>
      <c r="P115" s="8"/>
      <c r="S115" s="8"/>
    </row>
    <row r="116" spans="2:20" ht="15" hidden="1" x14ac:dyDescent="0.25">
      <c r="B116" s="237" t="s">
        <v>98</v>
      </c>
      <c r="C116" s="81">
        <f>SUM(C102:C115)</f>
        <v>100000</v>
      </c>
      <c r="D116" s="81">
        <f>SUM(D102:D115)</f>
        <v>100000</v>
      </c>
      <c r="E116" s="81">
        <f>SUM(E102:E115)</f>
        <v>2703514.583333333</v>
      </c>
      <c r="F116"/>
      <c r="G116"/>
      <c r="H116" s="8"/>
      <c r="I116"/>
      <c r="J116"/>
      <c r="K116"/>
      <c r="L116"/>
      <c r="M116"/>
      <c r="N116"/>
      <c r="O116" s="8"/>
      <c r="P116" s="8"/>
      <c r="S116" s="8"/>
    </row>
    <row r="117" spans="2:20" hidden="1" x14ac:dyDescent="0.2">
      <c r="B117"/>
      <c r="C117"/>
      <c r="D117"/>
      <c r="E117" s="8"/>
      <c r="F117"/>
      <c r="G117"/>
      <c r="H117"/>
      <c r="I117"/>
      <c r="J117"/>
      <c r="K117"/>
      <c r="L117"/>
      <c r="M117"/>
      <c r="N117"/>
      <c r="O117" s="8"/>
      <c r="P117" s="8"/>
      <c r="S117" s="8"/>
    </row>
    <row r="118" spans="2:20" x14ac:dyDescent="0.2">
      <c r="B118"/>
      <c r="C118"/>
      <c r="D118"/>
      <c r="E118" s="84"/>
      <c r="F118"/>
      <c r="G118"/>
      <c r="H118"/>
      <c r="I118"/>
      <c r="J118"/>
      <c r="K118"/>
      <c r="L118"/>
      <c r="M118"/>
      <c r="N118"/>
      <c r="O118" s="8"/>
      <c r="P118" s="8"/>
      <c r="S118" s="2"/>
    </row>
    <row r="119" spans="2:20" x14ac:dyDescent="0.2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 s="8"/>
      <c r="P119" s="2"/>
      <c r="S119" s="8"/>
    </row>
    <row r="120" spans="2:20" ht="15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 s="70">
        <f>SUM(O100:O117)</f>
        <v>0</v>
      </c>
      <c r="P120" s="8"/>
    </row>
    <row r="121" spans="2:20" x14ac:dyDescent="0.2">
      <c r="B121"/>
      <c r="C121"/>
      <c r="D121"/>
      <c r="E121" s="8"/>
      <c r="F121"/>
      <c r="G121"/>
      <c r="H121"/>
      <c r="I121"/>
      <c r="J121"/>
      <c r="K121"/>
      <c r="L121"/>
      <c r="M121"/>
      <c r="N121"/>
      <c r="P121"/>
      <c r="S121" s="8"/>
    </row>
    <row r="122" spans="2:20" x14ac:dyDescent="0.2">
      <c r="B122"/>
      <c r="C122"/>
      <c r="D122"/>
      <c r="E122" s="8"/>
      <c r="F122"/>
      <c r="G122"/>
      <c r="H122"/>
      <c r="I122"/>
      <c r="J122"/>
      <c r="K122"/>
      <c r="L122"/>
      <c r="M122"/>
      <c r="N122"/>
      <c r="P122"/>
      <c r="S122" s="8"/>
    </row>
    <row r="123" spans="2:20" x14ac:dyDescent="0.2">
      <c r="B123"/>
      <c r="C123"/>
      <c r="D123"/>
      <c r="E123" s="8"/>
      <c r="F123"/>
      <c r="G123"/>
      <c r="H123"/>
      <c r="I123"/>
      <c r="J123"/>
      <c r="K123"/>
      <c r="L123"/>
      <c r="M123"/>
      <c r="N123"/>
      <c r="P123"/>
      <c r="Q123" s="8"/>
      <c r="R123" s="84"/>
      <c r="S123" s="8"/>
    </row>
    <row r="124" spans="2:20" x14ac:dyDescent="0.2">
      <c r="B124"/>
      <c r="C124"/>
      <c r="D124"/>
      <c r="E124" s="8"/>
      <c r="F124"/>
      <c r="G124"/>
      <c r="H124"/>
      <c r="I124"/>
      <c r="J124"/>
      <c r="K124"/>
      <c r="L124"/>
      <c r="M124"/>
      <c r="N124"/>
      <c r="P124"/>
      <c r="S124" s="2"/>
      <c r="T124"/>
    </row>
    <row r="125" spans="2:20" x14ac:dyDescent="0.2">
      <c r="B125"/>
      <c r="C125"/>
      <c r="D125"/>
      <c r="E125" s="8"/>
      <c r="F125"/>
      <c r="G125"/>
      <c r="H125"/>
      <c r="I125"/>
      <c r="J125"/>
      <c r="K125"/>
      <c r="L125"/>
      <c r="M125"/>
      <c r="N125"/>
      <c r="O125"/>
      <c r="P125"/>
      <c r="S125" s="2"/>
      <c r="T125"/>
    </row>
    <row r="126" spans="2:20" x14ac:dyDescent="0.2">
      <c r="B126"/>
      <c r="C126"/>
      <c r="D126"/>
      <c r="E126"/>
      <c r="J126"/>
      <c r="K126"/>
      <c r="L126"/>
      <c r="M126"/>
      <c r="N126"/>
      <c r="O126"/>
      <c r="P126"/>
      <c r="S126" s="8"/>
      <c r="T126"/>
    </row>
    <row r="127" spans="2:20" x14ac:dyDescent="0.2">
      <c r="B127"/>
      <c r="C127"/>
      <c r="D127"/>
      <c r="E127"/>
      <c r="J127"/>
      <c r="K127"/>
      <c r="L127"/>
      <c r="M127"/>
      <c r="N127"/>
      <c r="O127"/>
      <c r="P127"/>
      <c r="T127"/>
    </row>
    <row r="128" spans="2:20" x14ac:dyDescent="0.2">
      <c r="B128"/>
      <c r="C128"/>
      <c r="D128"/>
      <c r="E128"/>
      <c r="J128"/>
      <c r="K128"/>
      <c r="L128"/>
      <c r="M128"/>
      <c r="N128"/>
      <c r="O128"/>
      <c r="P128"/>
      <c r="S128" s="8"/>
      <c r="T128"/>
    </row>
    <row r="129" spans="2:20" x14ac:dyDescent="0.2">
      <c r="B129"/>
      <c r="C129"/>
      <c r="D129"/>
      <c r="E129"/>
      <c r="J129"/>
      <c r="K129"/>
      <c r="L129"/>
      <c r="M129"/>
      <c r="N129"/>
      <c r="O129"/>
      <c r="P129"/>
      <c r="T129"/>
    </row>
    <row r="130" spans="2:20" x14ac:dyDescent="0.2">
      <c r="B130"/>
      <c r="C130"/>
      <c r="D130"/>
      <c r="E130"/>
      <c r="J130"/>
      <c r="K130"/>
      <c r="L130"/>
      <c r="M130"/>
      <c r="N130"/>
      <c r="O130"/>
      <c r="P130"/>
      <c r="T130"/>
    </row>
    <row r="131" spans="2:20" x14ac:dyDescent="0.2">
      <c r="J131"/>
      <c r="K131"/>
      <c r="L131"/>
      <c r="M131"/>
      <c r="N131"/>
      <c r="O131"/>
      <c r="P131"/>
      <c r="T131"/>
    </row>
    <row r="132" spans="2:20" x14ac:dyDescent="0.2">
      <c r="K132"/>
      <c r="L132"/>
      <c r="M132"/>
      <c r="N132"/>
      <c r="O132"/>
      <c r="P132"/>
    </row>
    <row r="133" spans="2:20" x14ac:dyDescent="0.2">
      <c r="K133"/>
      <c r="L133"/>
      <c r="M133"/>
      <c r="N133"/>
      <c r="P133"/>
    </row>
    <row r="134" spans="2:20" x14ac:dyDescent="0.2">
      <c r="P134"/>
    </row>
    <row r="137" spans="2:20" x14ac:dyDescent="0.2">
      <c r="S137" s="8"/>
    </row>
    <row r="138" spans="2:20" x14ac:dyDescent="0.2">
      <c r="S138" s="2"/>
    </row>
    <row r="139" spans="2:20" x14ac:dyDescent="0.2">
      <c r="S139" s="2"/>
    </row>
    <row r="140" spans="2:20" x14ac:dyDescent="0.2">
      <c r="S140" s="8"/>
    </row>
    <row r="142" spans="2:20" x14ac:dyDescent="0.2">
      <c r="S142" s="8"/>
    </row>
  </sheetData>
  <autoFilter ref="A3:X116" xr:uid="{00000000-0009-0000-0000-000000000000}"/>
  <mergeCells count="25">
    <mergeCell ref="B100:L100"/>
    <mergeCell ref="N1:O2"/>
    <mergeCell ref="A1:M2"/>
    <mergeCell ref="A90:B90"/>
    <mergeCell ref="A91:P91"/>
    <mergeCell ref="A92:P92"/>
    <mergeCell ref="A55:Q55"/>
    <mergeCell ref="A75:Q75"/>
    <mergeCell ref="P1:P2"/>
    <mergeCell ref="A6:Q6"/>
    <mergeCell ref="C7:C10"/>
    <mergeCell ref="D7:D10"/>
    <mergeCell ref="A73:B73"/>
    <mergeCell ref="A88:B88"/>
    <mergeCell ref="A27:B27"/>
    <mergeCell ref="A13:Q13"/>
    <mergeCell ref="A22:Q22"/>
    <mergeCell ref="A11:B11"/>
    <mergeCell ref="A20:B20"/>
    <mergeCell ref="A53:B53"/>
    <mergeCell ref="A34:B34"/>
    <mergeCell ref="A45:B45"/>
    <mergeCell ref="A36:Q36"/>
    <mergeCell ref="A29:Q29"/>
    <mergeCell ref="A46:Q46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4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77"/>
  <sheetViews>
    <sheetView tabSelected="1" view="pageBreakPreview" topLeftCell="B117" zoomScale="120" zoomScaleNormal="90" zoomScaleSheetLayoutView="120" workbookViewId="0">
      <selection activeCell="I134" sqref="I134"/>
    </sheetView>
  </sheetViews>
  <sheetFormatPr defaultColWidth="9.140625" defaultRowHeight="18.75" x14ac:dyDescent="0.3"/>
  <cols>
    <col min="1" max="1" width="1" style="268" customWidth="1"/>
    <col min="2" max="2" width="15.7109375" style="268" customWidth="1"/>
    <col min="3" max="3" width="8.42578125" style="268" customWidth="1"/>
    <col min="4" max="4" width="0.42578125" style="268" customWidth="1"/>
    <col min="5" max="5" width="1.7109375" style="268" customWidth="1"/>
    <col min="6" max="6" width="18.5703125" style="268" customWidth="1"/>
    <col min="7" max="7" width="12" style="268" customWidth="1"/>
    <col min="8" max="8" width="2.140625" style="268" customWidth="1"/>
    <col min="9" max="9" width="7.140625" style="268" customWidth="1"/>
    <col min="10" max="10" width="14.85546875" style="268" customWidth="1"/>
    <col min="11" max="11" width="14.140625" style="268" customWidth="1"/>
    <col min="12" max="12" width="1.28515625" style="268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27" t="s">
        <v>64</v>
      </c>
      <c r="D1" s="427"/>
      <c r="E1" s="427"/>
      <c r="F1" s="427"/>
      <c r="G1" s="427"/>
      <c r="H1" s="427"/>
      <c r="I1" s="427"/>
      <c r="J1" s="269" t="s">
        <v>47</v>
      </c>
      <c r="K1" s="270">
        <v>2024</v>
      </c>
      <c r="L1" s="270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1" t="s">
        <v>58</v>
      </c>
      <c r="K2" s="268">
        <v>30</v>
      </c>
      <c r="R2" s="64"/>
      <c r="U2" s="64"/>
    </row>
    <row r="3" spans="1:27" x14ac:dyDescent="0.3">
      <c r="W3" s="49" t="s">
        <v>225</v>
      </c>
      <c r="X3" s="351">
        <f>K63+K78+K93+K108+K123+K138+K153+K168+K183+K198+K213+K228+K243+K258+K273+K288+K303+K318+K333+K348+K363+K378+K393+K408+K424+K439+K454+K469+K484+K499+K514+K529+K544+K559+K574+K589+K604+K635+K650+K666+K682+K698+K713+K728+K744+K760+K775+K790+K807+K823+K839</f>
        <v>17466.666666666672</v>
      </c>
    </row>
    <row r="4" spans="1:27" s="49" customFormat="1" ht="21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"/>
      <c r="O4" s="27"/>
      <c r="P4" s="27"/>
      <c r="Q4" s="27"/>
      <c r="R4" s="114"/>
      <c r="S4" s="27"/>
      <c r="T4" s="27"/>
      <c r="U4" s="114"/>
      <c r="V4" s="27"/>
      <c r="W4" s="27" t="s">
        <v>226</v>
      </c>
      <c r="X4" s="351">
        <f>K64+K79+K94+K109+K124+K139+K154+K169+K184+K199+K214+K229+K244+K259+K274+K289+K304+K319+K334+K349+K364+K379+K394+K409+K425+K440+K455+K470+K485+K500+K515+K530+K545+K560+K575+K590+K605+K636+K651+K667+K683+K699+K714+K729+K745+K761+K776+K791+K808+K824+K840</f>
        <v>0</v>
      </c>
      <c r="Y4" s="27"/>
      <c r="Z4" s="27"/>
    </row>
    <row r="5" spans="1:27" s="49" customFormat="1" ht="21" customHeight="1" x14ac:dyDescent="0.2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403" t="s">
        <v>38</v>
      </c>
      <c r="B7" s="404"/>
      <c r="C7" s="404"/>
      <c r="D7" s="404"/>
      <c r="E7" s="404"/>
      <c r="F7" s="404"/>
      <c r="G7" s="404"/>
      <c r="H7" s="404"/>
      <c r="I7" s="404"/>
      <c r="J7" s="404"/>
      <c r="K7" s="404"/>
      <c r="L7" s="405"/>
      <c r="M7" s="24"/>
      <c r="N7" s="28"/>
      <c r="O7" s="396" t="s">
        <v>40</v>
      </c>
      <c r="P7" s="397"/>
      <c r="Q7" s="397"/>
      <c r="R7" s="398"/>
      <c r="S7" s="29"/>
      <c r="T7" s="396" t="s">
        <v>41</v>
      </c>
      <c r="U7" s="397"/>
      <c r="V7" s="397"/>
      <c r="W7" s="397"/>
      <c r="X7" s="397"/>
      <c r="Y7" s="398"/>
      <c r="Z7" s="30"/>
      <c r="AA7" s="24"/>
    </row>
    <row r="8" spans="1:27" s="25" customFormat="1" ht="27.75" customHeight="1" x14ac:dyDescent="0.2">
      <c r="A8" s="272"/>
      <c r="B8" s="270"/>
      <c r="C8" s="399" t="s">
        <v>202</v>
      </c>
      <c r="D8" s="399"/>
      <c r="E8" s="399"/>
      <c r="F8" s="399"/>
      <c r="G8" s="273" t="str">
        <f>$J$1</f>
        <v>June</v>
      </c>
      <c r="H8" s="400">
        <f>$K$1</f>
        <v>2024</v>
      </c>
      <c r="I8" s="400"/>
      <c r="J8" s="270"/>
      <c r="K8" s="274"/>
      <c r="L8" s="275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2"/>
      <c r="B9" s="270"/>
      <c r="C9" s="270"/>
      <c r="D9" s="276"/>
      <c r="E9" s="276"/>
      <c r="F9" s="276"/>
      <c r="G9" s="276"/>
      <c r="H9" s="276"/>
      <c r="I9" s="270"/>
      <c r="J9" s="277" t="s">
        <v>1</v>
      </c>
      <c r="K9" s="278">
        <f>55000+5000+5000+10000</f>
        <v>75000</v>
      </c>
      <c r="L9" s="279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2"/>
      <c r="B10" s="270" t="s">
        <v>0</v>
      </c>
      <c r="C10" s="269" t="s">
        <v>70</v>
      </c>
      <c r="D10" s="270"/>
      <c r="E10" s="270"/>
      <c r="F10" s="270"/>
      <c r="G10" s="270"/>
      <c r="H10" s="280"/>
      <c r="I10" s="276"/>
      <c r="J10" s="270"/>
      <c r="K10" s="270"/>
      <c r="L10" s="281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8</v>
      </c>
      <c r="S10" s="27"/>
      <c r="T10" s="36" t="s">
        <v>69</v>
      </c>
      <c r="U10" s="63" t="str">
        <f>IF($J$1="February",Y9,"")</f>
        <v/>
      </c>
      <c r="V10" s="38"/>
      <c r="W10" s="63" t="str">
        <f>IF(U10="","",U10+V10)</f>
        <v/>
      </c>
      <c r="X10" s="38"/>
      <c r="Y10" s="63" t="str">
        <f>IF(W10="","",W10-X10)</f>
        <v/>
      </c>
      <c r="Z10" s="40"/>
      <c r="AA10" s="24"/>
    </row>
    <row r="11" spans="1:27" s="25" customFormat="1" ht="27.75" customHeight="1" x14ac:dyDescent="0.2">
      <c r="A11" s="272"/>
      <c r="B11" s="282" t="s">
        <v>39</v>
      </c>
      <c r="C11" s="283"/>
      <c r="D11" s="270"/>
      <c r="E11" s="270"/>
      <c r="F11" s="406" t="s">
        <v>41</v>
      </c>
      <c r="G11" s="408"/>
      <c r="H11" s="270"/>
      <c r="I11" s="406" t="s">
        <v>42</v>
      </c>
      <c r="J11" s="407"/>
      <c r="K11" s="408"/>
      <c r="L11" s="284"/>
      <c r="N11" s="35"/>
      <c r="O11" s="36" t="s">
        <v>44</v>
      </c>
      <c r="P11" s="36">
        <v>27</v>
      </c>
      <c r="Q11" s="36">
        <v>4</v>
      </c>
      <c r="R11" s="36">
        <f t="shared" si="0"/>
        <v>4</v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2"/>
      <c r="B12" s="270"/>
      <c r="C12" s="270"/>
      <c r="D12" s="270"/>
      <c r="E12" s="270"/>
      <c r="F12" s="270"/>
      <c r="G12" s="270"/>
      <c r="H12" s="285"/>
      <c r="I12" s="270"/>
      <c r="J12" s="270"/>
      <c r="K12" s="270"/>
      <c r="L12" s="286"/>
      <c r="N12" s="35"/>
      <c r="O12" s="36" t="s">
        <v>45</v>
      </c>
      <c r="P12" s="36">
        <v>24</v>
      </c>
      <c r="Q12" s="36">
        <v>6</v>
      </c>
      <c r="R12" s="36">
        <v>0</v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2"/>
      <c r="B13" s="401" t="s">
        <v>40</v>
      </c>
      <c r="C13" s="402"/>
      <c r="D13" s="270"/>
      <c r="E13" s="270"/>
      <c r="F13" s="287" t="s">
        <v>62</v>
      </c>
      <c r="G13" s="288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85"/>
      <c r="I13" s="289">
        <f>K2</f>
        <v>30</v>
      </c>
      <c r="J13" s="290" t="s">
        <v>59</v>
      </c>
      <c r="K13" s="291">
        <f>K9/$K$2*I13</f>
        <v>75000</v>
      </c>
      <c r="L13" s="292"/>
      <c r="N13" s="35"/>
      <c r="O13" s="36" t="s">
        <v>46</v>
      </c>
      <c r="P13" s="36">
        <v>31</v>
      </c>
      <c r="Q13" s="36">
        <v>0</v>
      </c>
      <c r="R13" s="36">
        <f t="shared" si="0"/>
        <v>0</v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2"/>
      <c r="B14" s="293"/>
      <c r="C14" s="293"/>
      <c r="D14" s="270"/>
      <c r="E14" s="270"/>
      <c r="F14" s="287" t="s">
        <v>18</v>
      </c>
      <c r="G14" s="288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5"/>
      <c r="I14" s="289"/>
      <c r="J14" s="290" t="s">
        <v>60</v>
      </c>
      <c r="K14" s="294">
        <f>K9/$K$2/8*I14</f>
        <v>0</v>
      </c>
      <c r="L14" s="295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2"/>
      <c r="B15" s="287" t="s">
        <v>7</v>
      </c>
      <c r="C15" s="293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270"/>
      <c r="E15" s="270"/>
      <c r="F15" s="287" t="s">
        <v>63</v>
      </c>
      <c r="G15" s="288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85"/>
      <c r="I15" s="389" t="s">
        <v>67</v>
      </c>
      <c r="J15" s="390"/>
      <c r="K15" s="294">
        <f>K13+K14</f>
        <v>75000</v>
      </c>
      <c r="L15" s="295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2"/>
      <c r="B16" s="287" t="s">
        <v>6</v>
      </c>
      <c r="C16" s="293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70"/>
      <c r="E16" s="270"/>
      <c r="F16" s="287" t="s">
        <v>19</v>
      </c>
      <c r="G16" s="288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5"/>
      <c r="I16" s="389" t="s">
        <v>68</v>
      </c>
      <c r="J16" s="390"/>
      <c r="K16" s="288">
        <f>G16</f>
        <v>0</v>
      </c>
      <c r="L16" s="296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2"/>
      <c r="B17" s="287" t="s">
        <v>66</v>
      </c>
      <c r="C17" s="293" t="str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/>
      </c>
      <c r="D17" s="270"/>
      <c r="E17" s="270"/>
      <c r="F17" s="287" t="s">
        <v>195</v>
      </c>
      <c r="G17" s="288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70"/>
      <c r="I17" s="406" t="s">
        <v>61</v>
      </c>
      <c r="J17" s="408"/>
      <c r="K17" s="229">
        <f>K15-K16</f>
        <v>75000</v>
      </c>
      <c r="L17" s="297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2"/>
      <c r="B18" s="270"/>
      <c r="C18" s="270"/>
      <c r="D18" s="270"/>
      <c r="E18" s="270"/>
      <c r="F18" s="270"/>
      <c r="G18" s="270"/>
      <c r="H18" s="270"/>
      <c r="I18" s="392"/>
      <c r="J18" s="392"/>
      <c r="K18" s="352"/>
      <c r="L18" s="284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2"/>
      <c r="B19" s="268"/>
      <c r="C19" s="268"/>
      <c r="D19" s="268"/>
      <c r="E19" s="268"/>
      <c r="F19" s="268"/>
      <c r="G19" s="268"/>
      <c r="H19" s="268"/>
      <c r="I19" s="392"/>
      <c r="J19" s="392"/>
      <c r="K19" s="352"/>
      <c r="L19" s="284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300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403" t="s">
        <v>38</v>
      </c>
      <c r="B22" s="404"/>
      <c r="C22" s="404"/>
      <c r="D22" s="404"/>
      <c r="E22" s="404"/>
      <c r="F22" s="404"/>
      <c r="G22" s="404"/>
      <c r="H22" s="404"/>
      <c r="I22" s="404"/>
      <c r="J22" s="404"/>
      <c r="K22" s="404"/>
      <c r="L22" s="405"/>
      <c r="M22" s="24"/>
      <c r="N22" s="39"/>
      <c r="O22" s="412" t="s">
        <v>40</v>
      </c>
      <c r="P22" s="413"/>
      <c r="Q22" s="413"/>
      <c r="R22" s="414"/>
      <c r="S22" s="27"/>
      <c r="T22" s="412" t="s">
        <v>41</v>
      </c>
      <c r="U22" s="413"/>
      <c r="V22" s="413"/>
      <c r="W22" s="413"/>
      <c r="X22" s="413"/>
      <c r="Y22" s="414"/>
      <c r="Z22" s="48"/>
      <c r="AA22" s="24"/>
    </row>
    <row r="23" spans="1:27" s="25" customFormat="1" ht="27.75" customHeight="1" x14ac:dyDescent="0.2">
      <c r="A23" s="272"/>
      <c r="B23" s="270"/>
      <c r="C23" s="399" t="s">
        <v>202</v>
      </c>
      <c r="D23" s="399"/>
      <c r="E23" s="399"/>
      <c r="F23" s="399"/>
      <c r="G23" s="273" t="str">
        <f>$J$1</f>
        <v>June</v>
      </c>
      <c r="H23" s="400">
        <f>$K$1</f>
        <v>2024</v>
      </c>
      <c r="I23" s="400"/>
      <c r="J23" s="270"/>
      <c r="K23" s="274"/>
      <c r="L23" s="275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2"/>
      <c r="B24" s="270"/>
      <c r="C24" s="270"/>
      <c r="D24" s="276"/>
      <c r="E24" s="276"/>
      <c r="F24" s="276"/>
      <c r="G24" s="276"/>
      <c r="H24" s="276"/>
      <c r="I24" s="270"/>
      <c r="J24" s="277" t="s">
        <v>1</v>
      </c>
      <c r="K24" s="278">
        <v>6000</v>
      </c>
      <c r="L24" s="279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2"/>
      <c r="B25" s="270" t="s">
        <v>0</v>
      </c>
      <c r="C25" s="269" t="s">
        <v>126</v>
      </c>
      <c r="D25" s="270"/>
      <c r="E25" s="270"/>
      <c r="F25" s="270"/>
      <c r="G25" s="270"/>
      <c r="H25" s="280"/>
      <c r="I25" s="276"/>
      <c r="J25" s="270"/>
      <c r="K25" s="270"/>
      <c r="L25" s="281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>
        <v>1000</v>
      </c>
      <c r="W25" s="63">
        <f>IF(U25="","",U25+V25)</f>
        <v>1000</v>
      </c>
      <c r="X25" s="38">
        <v>1000</v>
      </c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2"/>
      <c r="B26" s="282" t="s">
        <v>39</v>
      </c>
      <c r="C26" s="283"/>
      <c r="D26" s="270"/>
      <c r="E26" s="270"/>
      <c r="F26" s="406" t="s">
        <v>41</v>
      </c>
      <c r="G26" s="408"/>
      <c r="H26" s="270"/>
      <c r="I26" s="406" t="s">
        <v>42</v>
      </c>
      <c r="J26" s="407"/>
      <c r="K26" s="408"/>
      <c r="L26" s="284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2"/>
      <c r="B27" s="270"/>
      <c r="C27" s="270"/>
      <c r="D27" s="270"/>
      <c r="E27" s="270"/>
      <c r="F27" s="270"/>
      <c r="G27" s="270"/>
      <c r="H27" s="285"/>
      <c r="I27" s="270"/>
      <c r="J27" s="270"/>
      <c r="K27" s="270"/>
      <c r="L27" s="286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2"/>
      <c r="B28" s="401" t="s">
        <v>40</v>
      </c>
      <c r="C28" s="402"/>
      <c r="D28" s="270"/>
      <c r="E28" s="270"/>
      <c r="F28" s="287" t="s">
        <v>62</v>
      </c>
      <c r="G28" s="28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5"/>
      <c r="I28" s="289"/>
      <c r="J28" s="290" t="s">
        <v>59</v>
      </c>
      <c r="K28" s="291">
        <v>6000</v>
      </c>
      <c r="L28" s="292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2"/>
      <c r="B29" s="293"/>
      <c r="C29" s="293"/>
      <c r="D29" s="270"/>
      <c r="E29" s="270"/>
      <c r="F29" s="287" t="s">
        <v>18</v>
      </c>
      <c r="G29" s="28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85"/>
      <c r="I29" s="289"/>
      <c r="J29" s="290" t="s">
        <v>60</v>
      </c>
      <c r="K29" s="294">
        <f>K24/$K$2/8*I29</f>
        <v>0</v>
      </c>
      <c r="L29" s="295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/>
      <c r="W29" s="63">
        <f t="shared" si="4"/>
        <v>0</v>
      </c>
      <c r="X29" s="38">
        <v>5000</v>
      </c>
      <c r="Y29" s="63">
        <f t="shared" si="5"/>
        <v>-5000</v>
      </c>
      <c r="Z29" s="40"/>
    </row>
    <row r="30" spans="1:27" s="25" customFormat="1" ht="27.75" customHeight="1" x14ac:dyDescent="0.2">
      <c r="A30" s="272"/>
      <c r="B30" s="287" t="s">
        <v>7</v>
      </c>
      <c r="C30" s="293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0"/>
      <c r="E30" s="270"/>
      <c r="F30" s="287" t="s">
        <v>63</v>
      </c>
      <c r="G30" s="288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285"/>
      <c r="I30" s="389" t="s">
        <v>67</v>
      </c>
      <c r="J30" s="390"/>
      <c r="K30" s="294">
        <f>K28+K29</f>
        <v>6000</v>
      </c>
      <c r="L30" s="295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2"/>
      <c r="B31" s="287" t="s">
        <v>6</v>
      </c>
      <c r="C31" s="293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0"/>
      <c r="E31" s="270"/>
      <c r="F31" s="287" t="s">
        <v>19</v>
      </c>
      <c r="G31" s="28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5000</v>
      </c>
      <c r="H31" s="285"/>
      <c r="I31" s="389" t="s">
        <v>68</v>
      </c>
      <c r="J31" s="390"/>
      <c r="K31" s="288">
        <v>1000</v>
      </c>
      <c r="L31" s="296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2"/>
      <c r="B32" s="287" t="s">
        <v>66</v>
      </c>
      <c r="C32" s="293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270"/>
      <c r="E32" s="270"/>
      <c r="F32" s="287" t="s">
        <v>195</v>
      </c>
      <c r="G32" s="288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-5000</v>
      </c>
      <c r="H32" s="270"/>
      <c r="I32" s="406" t="s">
        <v>61</v>
      </c>
      <c r="J32" s="408"/>
      <c r="K32" s="229">
        <f>K30-K31</f>
        <v>5000</v>
      </c>
      <c r="L32" s="297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2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84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2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84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8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300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403" t="s">
        <v>38</v>
      </c>
      <c r="B37" s="404"/>
      <c r="C37" s="404"/>
      <c r="D37" s="404"/>
      <c r="E37" s="404"/>
      <c r="F37" s="404"/>
      <c r="G37" s="404"/>
      <c r="H37" s="404"/>
      <c r="I37" s="404"/>
      <c r="J37" s="404"/>
      <c r="K37" s="404"/>
      <c r="L37" s="405"/>
      <c r="M37" s="24"/>
      <c r="N37" s="28"/>
      <c r="O37" s="396" t="s">
        <v>40</v>
      </c>
      <c r="P37" s="397"/>
      <c r="Q37" s="397"/>
      <c r="R37" s="398"/>
      <c r="S37" s="29"/>
      <c r="T37" s="396" t="s">
        <v>41</v>
      </c>
      <c r="U37" s="397"/>
      <c r="V37" s="397"/>
      <c r="W37" s="397"/>
      <c r="X37" s="397"/>
      <c r="Y37" s="398"/>
      <c r="Z37" s="30"/>
      <c r="AA37" s="24"/>
    </row>
    <row r="38" spans="1:27" s="25" customFormat="1" ht="27.75" customHeight="1" x14ac:dyDescent="0.2">
      <c r="A38" s="272"/>
      <c r="B38" s="270"/>
      <c r="C38" s="399" t="s">
        <v>202</v>
      </c>
      <c r="D38" s="399"/>
      <c r="E38" s="399"/>
      <c r="F38" s="399"/>
      <c r="G38" s="273" t="str">
        <f>$J$1</f>
        <v>June</v>
      </c>
      <c r="H38" s="400">
        <f>$K$1</f>
        <v>2024</v>
      </c>
      <c r="I38" s="400"/>
      <c r="J38" s="270"/>
      <c r="K38" s="274"/>
      <c r="L38" s="275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2"/>
      <c r="B39" s="270"/>
      <c r="C39" s="270"/>
      <c r="D39" s="276"/>
      <c r="E39" s="276"/>
      <c r="F39" s="276"/>
      <c r="G39" s="276"/>
      <c r="H39" s="276"/>
      <c r="I39" s="270"/>
      <c r="J39" s="277" t="s">
        <v>1</v>
      </c>
      <c r="K39" s="278">
        <v>23000</v>
      </c>
      <c r="L39" s="279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2"/>
      <c r="B40" s="270" t="s">
        <v>0</v>
      </c>
      <c r="C40" s="269" t="s">
        <v>152</v>
      </c>
      <c r="D40" s="270"/>
      <c r="E40" s="270"/>
      <c r="F40" s="270"/>
      <c r="G40" s="270"/>
      <c r="H40" s="280"/>
      <c r="I40" s="276"/>
      <c r="J40" s="270"/>
      <c r="K40" s="270"/>
      <c r="L40" s="281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>
        <f>Y39</f>
        <v>8000</v>
      </c>
      <c r="V40" s="38"/>
      <c r="W40" s="38">
        <f>V40+U40</f>
        <v>8000</v>
      </c>
      <c r="X40" s="38">
        <v>1000</v>
      </c>
      <c r="Y40" s="63">
        <f>IF(W40="","",W40-X40)</f>
        <v>7000</v>
      </c>
      <c r="Z40" s="40"/>
      <c r="AA40" s="24"/>
    </row>
    <row r="41" spans="1:27" s="25" customFormat="1" ht="27.75" customHeight="1" x14ac:dyDescent="0.2">
      <c r="A41" s="272"/>
      <c r="B41" s="282" t="s">
        <v>39</v>
      </c>
      <c r="C41" s="283"/>
      <c r="D41" s="270"/>
      <c r="E41" s="270"/>
      <c r="F41" s="406" t="s">
        <v>41</v>
      </c>
      <c r="G41" s="408"/>
      <c r="H41" s="270"/>
      <c r="I41" s="406" t="s">
        <v>42</v>
      </c>
      <c r="J41" s="407"/>
      <c r="K41" s="408"/>
      <c r="L41" s="284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>
        <f>Y40</f>
        <v>7000</v>
      </c>
      <c r="V41" s="38"/>
      <c r="W41" s="38">
        <f>V41+U41</f>
        <v>7000</v>
      </c>
      <c r="X41" s="38">
        <v>7000</v>
      </c>
      <c r="Y41" s="63">
        <f t="shared" ref="Y41:Y50" si="7">IF(W41="","",W41-X41)</f>
        <v>0</v>
      </c>
      <c r="Z41" s="40"/>
    </row>
    <row r="42" spans="1:27" s="25" customFormat="1" ht="27.75" customHeight="1" x14ac:dyDescent="0.2">
      <c r="A42" s="272"/>
      <c r="B42" s="270"/>
      <c r="C42" s="270"/>
      <c r="D42" s="270"/>
      <c r="E42" s="270"/>
      <c r="F42" s="270"/>
      <c r="G42" s="270"/>
      <c r="H42" s="285"/>
      <c r="I42" s="270"/>
      <c r="J42" s="270"/>
      <c r="K42" s="270"/>
      <c r="L42" s="286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>
        <f>Y41</f>
        <v>0</v>
      </c>
      <c r="V42" s="38">
        <v>2000</v>
      </c>
      <c r="W42" s="63">
        <f t="shared" ref="W42:W50" si="8">IF(U42="","",U42+V42)</f>
        <v>2000</v>
      </c>
      <c r="X42" s="38">
        <v>1000</v>
      </c>
      <c r="Y42" s="63">
        <f t="shared" si="7"/>
        <v>1000</v>
      </c>
      <c r="Z42" s="40"/>
    </row>
    <row r="43" spans="1:27" s="25" customFormat="1" ht="27.75" customHeight="1" x14ac:dyDescent="0.2">
      <c r="A43" s="272"/>
      <c r="B43" s="401" t="s">
        <v>40</v>
      </c>
      <c r="C43" s="402"/>
      <c r="D43" s="270"/>
      <c r="E43" s="270"/>
      <c r="F43" s="287" t="s">
        <v>62</v>
      </c>
      <c r="G43" s="288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1000</v>
      </c>
      <c r="H43" s="285"/>
      <c r="I43" s="289">
        <f>IF(C47&gt;=C46,$K$2,C45-C46+C47)</f>
        <v>30</v>
      </c>
      <c r="J43" s="290" t="s">
        <v>59</v>
      </c>
      <c r="K43" s="291">
        <f>K39/$K$2*I43</f>
        <v>23000</v>
      </c>
      <c r="L43" s="292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>
        <f>Y42</f>
        <v>1000</v>
      </c>
      <c r="V43" s="38"/>
      <c r="W43" s="63">
        <f t="shared" si="8"/>
        <v>1000</v>
      </c>
      <c r="X43" s="38"/>
      <c r="Y43" s="63">
        <f t="shared" si="7"/>
        <v>1000</v>
      </c>
      <c r="Z43" s="40"/>
    </row>
    <row r="44" spans="1:27" s="25" customFormat="1" ht="27.75" customHeight="1" x14ac:dyDescent="0.2">
      <c r="A44" s="272"/>
      <c r="B44" s="293"/>
      <c r="C44" s="293"/>
      <c r="D44" s="270"/>
      <c r="E44" s="270"/>
      <c r="F44" s="287" t="s">
        <v>18</v>
      </c>
      <c r="G44" s="288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9000</v>
      </c>
      <c r="H44" s="285"/>
      <c r="I44" s="289"/>
      <c r="J44" s="290" t="s">
        <v>60</v>
      </c>
      <c r="K44" s="294">
        <f>K39/$K$2/8*I44</f>
        <v>0</v>
      </c>
      <c r="L44" s="295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>
        <f>Y43</f>
        <v>1000</v>
      </c>
      <c r="V44" s="38">
        <f>8000+1000</f>
        <v>9000</v>
      </c>
      <c r="W44" s="63">
        <f t="shared" si="8"/>
        <v>10000</v>
      </c>
      <c r="X44" s="38">
        <v>3000</v>
      </c>
      <c r="Y44" s="63">
        <f t="shared" si="7"/>
        <v>7000</v>
      </c>
      <c r="Z44" s="40"/>
    </row>
    <row r="45" spans="1:27" s="25" customFormat="1" ht="27.75" customHeight="1" x14ac:dyDescent="0.2">
      <c r="A45" s="272"/>
      <c r="B45" s="287" t="s">
        <v>7</v>
      </c>
      <c r="C45" s="293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0"/>
      <c r="E45" s="270"/>
      <c r="F45" s="287" t="s">
        <v>63</v>
      </c>
      <c r="G45" s="288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10000</v>
      </c>
      <c r="H45" s="285"/>
      <c r="I45" s="389" t="s">
        <v>67</v>
      </c>
      <c r="J45" s="390"/>
      <c r="K45" s="294">
        <f>K43+K44</f>
        <v>23000</v>
      </c>
      <c r="L45" s="295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/>
      <c r="V45" s="38"/>
      <c r="W45" s="63" t="str">
        <f t="shared" si="8"/>
        <v/>
      </c>
      <c r="X45" s="38"/>
      <c r="Y45" s="63" t="str">
        <f t="shared" si="7"/>
        <v/>
      </c>
      <c r="Z45" s="40"/>
    </row>
    <row r="46" spans="1:27" s="25" customFormat="1" ht="27.75" customHeight="1" x14ac:dyDescent="0.2">
      <c r="A46" s="272"/>
      <c r="B46" s="287" t="s">
        <v>6</v>
      </c>
      <c r="C46" s="293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0"/>
      <c r="E46" s="270"/>
      <c r="F46" s="287" t="s">
        <v>19</v>
      </c>
      <c r="G46" s="288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3000</v>
      </c>
      <c r="H46" s="285"/>
      <c r="I46" s="389" t="s">
        <v>68</v>
      </c>
      <c r="J46" s="390"/>
      <c r="K46" s="288">
        <f>G46</f>
        <v>3000</v>
      </c>
      <c r="L46" s="296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8"/>
        <v/>
      </c>
      <c r="X46" s="38"/>
      <c r="Y46" s="63" t="str">
        <f t="shared" si="7"/>
        <v/>
      </c>
      <c r="Z46" s="40"/>
    </row>
    <row r="47" spans="1:27" s="25" customFormat="1" ht="27.75" customHeight="1" x14ac:dyDescent="0.2">
      <c r="A47" s="272"/>
      <c r="B47" s="302" t="s">
        <v>66</v>
      </c>
      <c r="C47" s="293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270"/>
      <c r="E47" s="270"/>
      <c r="F47" s="302" t="s">
        <v>195</v>
      </c>
      <c r="G47" s="288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7000</v>
      </c>
      <c r="H47" s="270"/>
      <c r="I47" s="391" t="s">
        <v>61</v>
      </c>
      <c r="J47" s="391"/>
      <c r="K47" s="229">
        <f>K45-K46</f>
        <v>20000</v>
      </c>
      <c r="L47" s="297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8"/>
        <v/>
      </c>
      <c r="X47" s="38"/>
      <c r="Y47" s="63" t="str">
        <f t="shared" si="7"/>
        <v/>
      </c>
      <c r="Z47" s="40"/>
    </row>
    <row r="48" spans="1:27" s="25" customFormat="1" ht="27.75" customHeight="1" x14ac:dyDescent="0.2">
      <c r="A48" s="272"/>
      <c r="B48" s="270"/>
      <c r="C48" s="270"/>
      <c r="D48" s="270"/>
      <c r="E48" s="270"/>
      <c r="F48" s="270"/>
      <c r="G48" s="270"/>
      <c r="H48" s="270"/>
      <c r="I48" s="392"/>
      <c r="J48" s="392"/>
      <c r="K48" s="352"/>
      <c r="L48" s="284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8"/>
        <v/>
      </c>
      <c r="X48" s="38"/>
      <c r="Y48" s="63" t="str">
        <f t="shared" si="7"/>
        <v/>
      </c>
      <c r="Z48" s="40"/>
    </row>
    <row r="49" spans="1:27" s="25" customFormat="1" ht="27.75" customHeight="1" x14ac:dyDescent="0.3">
      <c r="A49" s="272"/>
      <c r="B49" s="268"/>
      <c r="C49" s="268"/>
      <c r="D49" s="268"/>
      <c r="E49" s="268"/>
      <c r="F49" s="268"/>
      <c r="G49" s="268"/>
      <c r="H49" s="268"/>
      <c r="I49" s="392"/>
      <c r="J49" s="392"/>
      <c r="K49" s="352"/>
      <c r="L49" s="284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8"/>
        <v/>
      </c>
      <c r="X49" s="38"/>
      <c r="Y49" s="63" t="str">
        <f t="shared" si="7"/>
        <v/>
      </c>
      <c r="Z49" s="40"/>
    </row>
    <row r="50" spans="1:27" s="25" customFormat="1" ht="27.75" customHeight="1" thickBot="1" x14ac:dyDescent="0.35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300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8"/>
        <v/>
      </c>
      <c r="X50" s="38"/>
      <c r="Y50" s="63" t="str">
        <f t="shared" si="7"/>
        <v/>
      </c>
      <c r="Z50" s="40"/>
    </row>
    <row r="51" spans="1:27" s="56" customFormat="1" ht="18" customHeight="1" thickBot="1" x14ac:dyDescent="0.25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403" t="s">
        <v>38</v>
      </c>
      <c r="B52" s="404"/>
      <c r="C52" s="404"/>
      <c r="D52" s="404"/>
      <c r="E52" s="404"/>
      <c r="F52" s="404"/>
      <c r="G52" s="404"/>
      <c r="H52" s="404"/>
      <c r="I52" s="404"/>
      <c r="J52" s="404"/>
      <c r="K52" s="404"/>
      <c r="L52" s="405"/>
      <c r="M52" s="24"/>
      <c r="N52" s="28"/>
      <c r="O52" s="396" t="s">
        <v>40</v>
      </c>
      <c r="P52" s="397"/>
      <c r="Q52" s="397"/>
      <c r="R52" s="398"/>
      <c r="S52" s="29"/>
      <c r="T52" s="396" t="s">
        <v>41</v>
      </c>
      <c r="U52" s="397"/>
      <c r="V52" s="397"/>
      <c r="W52" s="397"/>
      <c r="X52" s="397"/>
      <c r="Y52" s="398"/>
      <c r="Z52" s="30"/>
      <c r="AA52" s="24"/>
    </row>
    <row r="53" spans="1:27" s="25" customFormat="1" ht="18" customHeight="1" x14ac:dyDescent="0.2">
      <c r="A53" s="272"/>
      <c r="B53" s="270"/>
      <c r="C53" s="399" t="s">
        <v>202</v>
      </c>
      <c r="D53" s="399"/>
      <c r="E53" s="399"/>
      <c r="F53" s="399"/>
      <c r="G53" s="273" t="str">
        <f>$J$1</f>
        <v>June</v>
      </c>
      <c r="H53" s="400">
        <f>$K$1</f>
        <v>2024</v>
      </c>
      <c r="I53" s="400"/>
      <c r="J53" s="270"/>
      <c r="K53" s="274"/>
      <c r="L53" s="275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2"/>
      <c r="B54" s="270"/>
      <c r="C54" s="270"/>
      <c r="D54" s="276"/>
      <c r="E54" s="276"/>
      <c r="F54" s="276"/>
      <c r="G54" s="276"/>
      <c r="H54" s="276"/>
      <c r="I54" s="270"/>
      <c r="J54" s="277" t="s">
        <v>1</v>
      </c>
      <c r="K54" s="278">
        <f>40000+5000+2000</f>
        <v>47000</v>
      </c>
      <c r="L54" s="279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2"/>
      <c r="B55" s="270" t="s">
        <v>0</v>
      </c>
      <c r="C55" s="269" t="s">
        <v>76</v>
      </c>
      <c r="D55" s="270"/>
      <c r="E55" s="270"/>
      <c r="F55" s="270"/>
      <c r="G55" s="270"/>
      <c r="H55" s="280"/>
      <c r="I55" s="276"/>
      <c r="J55" s="270"/>
      <c r="K55" s="270"/>
      <c r="L55" s="281"/>
      <c r="M55" s="24"/>
      <c r="N55" s="39"/>
      <c r="O55" s="36" t="s">
        <v>69</v>
      </c>
      <c r="P55" s="36">
        <v>29</v>
      </c>
      <c r="Q55" s="36">
        <v>0</v>
      </c>
      <c r="R55" s="36">
        <f t="shared" ref="R55:R65" si="9">IF(Q55="","",R54-Q55)</f>
        <v>12</v>
      </c>
      <c r="S55" s="27"/>
      <c r="T55" s="36" t="s">
        <v>69</v>
      </c>
      <c r="U55" s="63">
        <f t="shared" ref="U55:U60" si="10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2"/>
      <c r="B56" s="282" t="s">
        <v>39</v>
      </c>
      <c r="C56" s="283"/>
      <c r="D56" s="270"/>
      <c r="E56" s="270"/>
      <c r="F56" s="406" t="s">
        <v>41</v>
      </c>
      <c r="G56" s="408"/>
      <c r="H56" s="270"/>
      <c r="I56" s="406" t="s">
        <v>42</v>
      </c>
      <c r="J56" s="407"/>
      <c r="K56" s="408"/>
      <c r="L56" s="284"/>
      <c r="N56" s="35"/>
      <c r="O56" s="36" t="s">
        <v>44</v>
      </c>
      <c r="P56" s="36">
        <v>30</v>
      </c>
      <c r="Q56" s="36">
        <v>1</v>
      </c>
      <c r="R56" s="36">
        <f t="shared" si="9"/>
        <v>11</v>
      </c>
      <c r="S56" s="27"/>
      <c r="T56" s="36" t="s">
        <v>44</v>
      </c>
      <c r="U56" s="63">
        <f t="shared" si="10"/>
        <v>0</v>
      </c>
      <c r="V56" s="38"/>
      <c r="W56" s="63">
        <f t="shared" ref="W56:W65" si="11">IF(U56="","",U56+V56)</f>
        <v>0</v>
      </c>
      <c r="X56" s="38"/>
      <c r="Y56" s="63">
        <f t="shared" ref="Y56:Y65" si="12">IF(W56="","",W56-X56)</f>
        <v>0</v>
      </c>
      <c r="Z56" s="40"/>
    </row>
    <row r="57" spans="1:27" s="25" customFormat="1" ht="18" customHeight="1" x14ac:dyDescent="0.2">
      <c r="A57" s="272"/>
      <c r="B57" s="270"/>
      <c r="C57" s="270"/>
      <c r="D57" s="270"/>
      <c r="E57" s="270"/>
      <c r="F57" s="270"/>
      <c r="G57" s="270"/>
      <c r="H57" s="285"/>
      <c r="I57" s="270"/>
      <c r="J57" s="270"/>
      <c r="K57" s="270"/>
      <c r="L57" s="286"/>
      <c r="N57" s="35"/>
      <c r="O57" s="36" t="s">
        <v>45</v>
      </c>
      <c r="P57" s="36">
        <v>29</v>
      </c>
      <c r="Q57" s="36">
        <v>1</v>
      </c>
      <c r="R57" s="36">
        <f t="shared" si="9"/>
        <v>10</v>
      </c>
      <c r="S57" s="27"/>
      <c r="T57" s="36" t="s">
        <v>45</v>
      </c>
      <c r="U57" s="63">
        <f t="shared" si="10"/>
        <v>0</v>
      </c>
      <c r="V57" s="38"/>
      <c r="W57" s="63">
        <f t="shared" si="11"/>
        <v>0</v>
      </c>
      <c r="X57" s="38"/>
      <c r="Y57" s="63">
        <f t="shared" si="12"/>
        <v>0</v>
      </c>
      <c r="Z57" s="40"/>
    </row>
    <row r="58" spans="1:27" s="25" customFormat="1" ht="18" customHeight="1" x14ac:dyDescent="0.2">
      <c r="A58" s="272"/>
      <c r="B58" s="401" t="s">
        <v>40</v>
      </c>
      <c r="C58" s="402"/>
      <c r="D58" s="270"/>
      <c r="E58" s="270"/>
      <c r="F58" s="287" t="s">
        <v>62</v>
      </c>
      <c r="G58" s="288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5"/>
      <c r="I58" s="289">
        <f>IF(C62&gt;0,$K$2,C60)</f>
        <v>30</v>
      </c>
      <c r="J58" s="290" t="s">
        <v>59</v>
      </c>
      <c r="K58" s="291">
        <f>K54/$K$2*I58</f>
        <v>47000</v>
      </c>
      <c r="L58" s="292"/>
      <c r="N58" s="35"/>
      <c r="O58" s="36" t="s">
        <v>46</v>
      </c>
      <c r="P58" s="36">
        <v>31</v>
      </c>
      <c r="Q58" s="36">
        <v>0</v>
      </c>
      <c r="R58" s="36">
        <f t="shared" si="9"/>
        <v>10</v>
      </c>
      <c r="S58" s="27"/>
      <c r="T58" s="36" t="s">
        <v>46</v>
      </c>
      <c r="U58" s="63">
        <f t="shared" si="10"/>
        <v>0</v>
      </c>
      <c r="V58" s="38"/>
      <c r="W58" s="63">
        <f t="shared" si="11"/>
        <v>0</v>
      </c>
      <c r="X58" s="38"/>
      <c r="Y58" s="63">
        <f t="shared" si="12"/>
        <v>0</v>
      </c>
      <c r="Z58" s="40"/>
    </row>
    <row r="59" spans="1:27" s="25" customFormat="1" ht="18" customHeight="1" x14ac:dyDescent="0.2">
      <c r="A59" s="272"/>
      <c r="B59" s="293"/>
      <c r="C59" s="293"/>
      <c r="D59" s="270"/>
      <c r="E59" s="270"/>
      <c r="F59" s="287" t="s">
        <v>18</v>
      </c>
      <c r="G59" s="288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5"/>
      <c r="I59" s="289">
        <v>7</v>
      </c>
      <c r="J59" s="290" t="s">
        <v>60</v>
      </c>
      <c r="K59" s="294">
        <f>K54/$K$2/8*I59</f>
        <v>1370.8333333333335</v>
      </c>
      <c r="L59" s="295"/>
      <c r="N59" s="35"/>
      <c r="O59" s="36" t="s">
        <v>47</v>
      </c>
      <c r="P59" s="36"/>
      <c r="Q59" s="36"/>
      <c r="R59" s="36" t="str">
        <f t="shared" si="9"/>
        <v/>
      </c>
      <c r="S59" s="27"/>
      <c r="T59" s="36" t="s">
        <v>47</v>
      </c>
      <c r="U59" s="63">
        <f t="shared" si="10"/>
        <v>0</v>
      </c>
      <c r="V59" s="38"/>
      <c r="W59" s="63">
        <f t="shared" si="11"/>
        <v>0</v>
      </c>
      <c r="X59" s="38"/>
      <c r="Y59" s="63">
        <f t="shared" si="12"/>
        <v>0</v>
      </c>
      <c r="Z59" s="40"/>
    </row>
    <row r="60" spans="1:27" s="25" customFormat="1" ht="18" customHeight="1" x14ac:dyDescent="0.2">
      <c r="A60" s="272"/>
      <c r="B60" s="287" t="s">
        <v>7</v>
      </c>
      <c r="C60" s="293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0</v>
      </c>
      <c r="D60" s="270"/>
      <c r="E60" s="270"/>
      <c r="F60" s="287" t="s">
        <v>63</v>
      </c>
      <c r="G60" s="288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5"/>
      <c r="I60" s="389" t="s">
        <v>67</v>
      </c>
      <c r="J60" s="390"/>
      <c r="K60" s="294">
        <f>K58+K59</f>
        <v>48370.833333333336</v>
      </c>
      <c r="L60" s="295"/>
      <c r="N60" s="35"/>
      <c r="O60" s="36" t="s">
        <v>48</v>
      </c>
      <c r="P60" s="36"/>
      <c r="Q60" s="36"/>
      <c r="R60" s="36" t="str">
        <f t="shared" si="9"/>
        <v/>
      </c>
      <c r="S60" s="27"/>
      <c r="T60" s="36" t="s">
        <v>48</v>
      </c>
      <c r="U60" s="63">
        <f t="shared" si="10"/>
        <v>0</v>
      </c>
      <c r="V60" s="38"/>
      <c r="W60" s="63">
        <f t="shared" si="11"/>
        <v>0</v>
      </c>
      <c r="X60" s="38"/>
      <c r="Y60" s="63">
        <f t="shared" si="12"/>
        <v>0</v>
      </c>
      <c r="Z60" s="40"/>
    </row>
    <row r="61" spans="1:27" s="25" customFormat="1" ht="18" customHeight="1" x14ac:dyDescent="0.2">
      <c r="A61" s="272"/>
      <c r="B61" s="287" t="s">
        <v>6</v>
      </c>
      <c r="C61" s="293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270"/>
      <c r="E61" s="270"/>
      <c r="F61" s="287" t="s">
        <v>19</v>
      </c>
      <c r="G61" s="288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5"/>
      <c r="I61" s="389" t="s">
        <v>68</v>
      </c>
      <c r="J61" s="390"/>
      <c r="K61" s="288">
        <f>G61</f>
        <v>0</v>
      </c>
      <c r="L61" s="296"/>
      <c r="N61" s="35"/>
      <c r="O61" s="36" t="s">
        <v>49</v>
      </c>
      <c r="P61" s="36"/>
      <c r="Q61" s="36"/>
      <c r="R61" s="36" t="str">
        <f t="shared" si="9"/>
        <v/>
      </c>
      <c r="S61" s="27"/>
      <c r="T61" s="36" t="s">
        <v>49</v>
      </c>
      <c r="U61" s="63">
        <f>Y60</f>
        <v>0</v>
      </c>
      <c r="V61" s="38"/>
      <c r="W61" s="63">
        <f t="shared" si="11"/>
        <v>0</v>
      </c>
      <c r="X61" s="38"/>
      <c r="Y61" s="63">
        <f t="shared" si="12"/>
        <v>0</v>
      </c>
      <c r="Z61" s="40"/>
    </row>
    <row r="62" spans="1:27" s="25" customFormat="1" ht="18" customHeight="1" x14ac:dyDescent="0.2">
      <c r="A62" s="272"/>
      <c r="B62" s="302" t="s">
        <v>66</v>
      </c>
      <c r="C62" s="293" t="str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/>
      </c>
      <c r="D62" s="270"/>
      <c r="E62" s="270"/>
      <c r="F62" s="302" t="s">
        <v>195</v>
      </c>
      <c r="G62" s="288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0"/>
      <c r="I62" s="391" t="s">
        <v>61</v>
      </c>
      <c r="J62" s="391"/>
      <c r="K62" s="229">
        <f>K60-K61</f>
        <v>48370.833333333336</v>
      </c>
      <c r="L62" s="297"/>
      <c r="N62" s="35"/>
      <c r="O62" s="36" t="s">
        <v>54</v>
      </c>
      <c r="P62" s="36"/>
      <c r="Q62" s="36"/>
      <c r="R62" s="36" t="str">
        <f t="shared" si="9"/>
        <v/>
      </c>
      <c r="S62" s="27"/>
      <c r="T62" s="36" t="s">
        <v>54</v>
      </c>
      <c r="U62" s="63">
        <v>0</v>
      </c>
      <c r="V62" s="38"/>
      <c r="W62" s="63">
        <f t="shared" si="11"/>
        <v>0</v>
      </c>
      <c r="X62" s="38"/>
      <c r="Y62" s="63">
        <f t="shared" si="12"/>
        <v>0</v>
      </c>
      <c r="Z62" s="40"/>
    </row>
    <row r="63" spans="1:27" s="25" customFormat="1" ht="18" customHeight="1" x14ac:dyDescent="0.2">
      <c r="A63" s="272"/>
      <c r="B63" s="270"/>
      <c r="C63" s="270"/>
      <c r="D63" s="270"/>
      <c r="E63" s="270"/>
      <c r="F63" s="270"/>
      <c r="G63" s="270"/>
      <c r="H63" s="270"/>
      <c r="I63" s="392"/>
      <c r="J63" s="392"/>
      <c r="K63" s="352"/>
      <c r="L63" s="284"/>
      <c r="N63" s="35"/>
      <c r="O63" s="36" t="s">
        <v>50</v>
      </c>
      <c r="P63" s="36"/>
      <c r="Q63" s="36"/>
      <c r="R63" s="36" t="str">
        <f t="shared" si="9"/>
        <v/>
      </c>
      <c r="S63" s="27"/>
      <c r="T63" s="36" t="s">
        <v>50</v>
      </c>
      <c r="U63" s="63">
        <f>Y62</f>
        <v>0</v>
      </c>
      <c r="V63" s="38"/>
      <c r="W63" s="63">
        <f t="shared" si="11"/>
        <v>0</v>
      </c>
      <c r="X63" s="38"/>
      <c r="Y63" s="63">
        <f t="shared" si="12"/>
        <v>0</v>
      </c>
      <c r="Z63" s="40"/>
    </row>
    <row r="64" spans="1:27" s="25" customFormat="1" ht="18" customHeight="1" x14ac:dyDescent="0.3">
      <c r="A64" s="272"/>
      <c r="B64" s="268"/>
      <c r="C64" s="268"/>
      <c r="D64" s="268"/>
      <c r="E64" s="268"/>
      <c r="F64" s="268"/>
      <c r="G64" s="268"/>
      <c r="H64" s="268"/>
      <c r="I64" s="392"/>
      <c r="J64" s="392"/>
      <c r="K64" s="352"/>
      <c r="L64" s="284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1"/>
        <v>0</v>
      </c>
      <c r="X64" s="38"/>
      <c r="Y64" s="63">
        <f t="shared" si="12"/>
        <v>0</v>
      </c>
      <c r="Z64" s="40"/>
    </row>
    <row r="65" spans="1:26" s="25" customFormat="1" ht="18" customHeight="1" thickBot="1" x14ac:dyDescent="0.35">
      <c r="A65" s="298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300"/>
      <c r="N65" s="35"/>
      <c r="O65" s="36" t="s">
        <v>56</v>
      </c>
      <c r="P65" s="36"/>
      <c r="Q65" s="36"/>
      <c r="R65" s="36" t="str">
        <f t="shared" si="9"/>
        <v/>
      </c>
      <c r="S65" s="27"/>
      <c r="T65" s="36" t="s">
        <v>56</v>
      </c>
      <c r="U65" s="63">
        <f>Y64</f>
        <v>0</v>
      </c>
      <c r="V65" s="38"/>
      <c r="W65" s="63">
        <f t="shared" si="11"/>
        <v>0</v>
      </c>
      <c r="X65" s="38"/>
      <c r="Y65" s="63">
        <f t="shared" si="12"/>
        <v>0</v>
      </c>
      <c r="Z65" s="40"/>
    </row>
    <row r="66" spans="1:26" s="56" customFormat="1" ht="18" customHeight="1" thickBot="1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403" t="s">
        <v>38</v>
      </c>
      <c r="B67" s="404"/>
      <c r="C67" s="404"/>
      <c r="D67" s="404"/>
      <c r="E67" s="404"/>
      <c r="F67" s="404"/>
      <c r="G67" s="404"/>
      <c r="H67" s="404"/>
      <c r="I67" s="404"/>
      <c r="J67" s="404"/>
      <c r="K67" s="404"/>
      <c r="L67" s="405"/>
      <c r="M67" s="24"/>
      <c r="N67" s="28"/>
      <c r="O67" s="396" t="s">
        <v>40</v>
      </c>
      <c r="P67" s="397"/>
      <c r="Q67" s="397"/>
      <c r="R67" s="398"/>
      <c r="S67" s="29"/>
      <c r="T67" s="396" t="s">
        <v>41</v>
      </c>
      <c r="U67" s="397"/>
      <c r="V67" s="397"/>
      <c r="W67" s="397"/>
      <c r="X67" s="397"/>
      <c r="Y67" s="398"/>
      <c r="Z67" s="30"/>
    </row>
    <row r="68" spans="1:26" s="25" customFormat="1" ht="18" customHeight="1" x14ac:dyDescent="0.2">
      <c r="A68" s="272"/>
      <c r="B68" s="270"/>
      <c r="C68" s="399" t="s">
        <v>202</v>
      </c>
      <c r="D68" s="399"/>
      <c r="E68" s="399"/>
      <c r="F68" s="399"/>
      <c r="G68" s="273" t="str">
        <f>$J$1</f>
        <v>June</v>
      </c>
      <c r="H68" s="400">
        <f>$K$1</f>
        <v>2024</v>
      </c>
      <c r="I68" s="400"/>
      <c r="J68" s="270"/>
      <c r="K68" s="274"/>
      <c r="L68" s="275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2"/>
      <c r="B69" s="270"/>
      <c r="C69" s="270"/>
      <c r="D69" s="276"/>
      <c r="E69" s="276"/>
      <c r="F69" s="276"/>
      <c r="G69" s="276"/>
      <c r="H69" s="276"/>
      <c r="I69" s="270"/>
      <c r="J69" s="277" t="s">
        <v>1</v>
      </c>
      <c r="K69" s="278">
        <f>50000+15000+15000</f>
        <v>80000</v>
      </c>
      <c r="L69" s="279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2"/>
      <c r="B70" s="270" t="s">
        <v>0</v>
      </c>
      <c r="C70" s="269" t="s">
        <v>168</v>
      </c>
      <c r="D70" s="270"/>
      <c r="E70" s="270"/>
      <c r="F70" s="270"/>
      <c r="G70" s="270"/>
      <c r="H70" s="280"/>
      <c r="I70" s="276"/>
      <c r="J70" s="270"/>
      <c r="K70" s="270"/>
      <c r="L70" s="281"/>
      <c r="M70" s="24"/>
      <c r="N70" s="39"/>
      <c r="O70" s="36" t="s">
        <v>69</v>
      </c>
      <c r="P70" s="36">
        <v>29</v>
      </c>
      <c r="Q70" s="36">
        <v>0</v>
      </c>
      <c r="R70" s="36">
        <v>0</v>
      </c>
      <c r="S70" s="27"/>
      <c r="T70" s="36" t="s">
        <v>69</v>
      </c>
      <c r="U70" s="63">
        <f>Y69</f>
        <v>40000</v>
      </c>
      <c r="V70" s="38"/>
      <c r="W70" s="63">
        <f>IF(U70="","",U70+V70)</f>
        <v>40000</v>
      </c>
      <c r="X70" s="38">
        <v>3000</v>
      </c>
      <c r="Y70" s="63">
        <f>IF(W70="","",W70-X70)</f>
        <v>37000</v>
      </c>
      <c r="Z70" s="40"/>
    </row>
    <row r="71" spans="1:26" s="25" customFormat="1" ht="18" customHeight="1" x14ac:dyDescent="0.2">
      <c r="A71" s="272"/>
      <c r="B71" s="282"/>
      <c r="C71" s="283"/>
      <c r="D71" s="270"/>
      <c r="E71" s="270"/>
      <c r="F71" s="406" t="s">
        <v>41</v>
      </c>
      <c r="G71" s="408"/>
      <c r="H71" s="270"/>
      <c r="I71" s="406" t="s">
        <v>42</v>
      </c>
      <c r="J71" s="407"/>
      <c r="K71" s="408"/>
      <c r="L71" s="284"/>
      <c r="N71" s="35"/>
      <c r="O71" s="36" t="s">
        <v>44</v>
      </c>
      <c r="P71" s="339">
        <v>30</v>
      </c>
      <c r="Q71" s="339">
        <v>1</v>
      </c>
      <c r="R71" s="36">
        <f>15-Q71</f>
        <v>14</v>
      </c>
      <c r="S71" s="27"/>
      <c r="T71" s="36" t="s">
        <v>44</v>
      </c>
      <c r="U71" s="63">
        <f>Y70</f>
        <v>37000</v>
      </c>
      <c r="V71" s="38"/>
      <c r="W71" s="63">
        <f t="shared" ref="W71:W80" si="13">IF(U71="","",U71+V71)</f>
        <v>37000</v>
      </c>
      <c r="X71" s="38">
        <v>2000</v>
      </c>
      <c r="Y71" s="63">
        <f t="shared" ref="Y71:Y80" si="14">IF(W71="","",W71-X71)</f>
        <v>35000</v>
      </c>
      <c r="Z71" s="40"/>
    </row>
    <row r="72" spans="1:26" s="25" customFormat="1" ht="18" customHeight="1" x14ac:dyDescent="0.2">
      <c r="A72" s="272"/>
      <c r="B72" s="270"/>
      <c r="C72" s="270"/>
      <c r="D72" s="270"/>
      <c r="E72" s="270"/>
      <c r="F72" s="270"/>
      <c r="G72" s="270"/>
      <c r="H72" s="285"/>
      <c r="I72" s="270"/>
      <c r="J72" s="270"/>
      <c r="K72" s="270"/>
      <c r="L72" s="286"/>
      <c r="N72" s="35"/>
      <c r="O72" s="36" t="s">
        <v>45</v>
      </c>
      <c r="P72" s="36">
        <v>30</v>
      </c>
      <c r="Q72" s="36">
        <v>0</v>
      </c>
      <c r="R72" s="36">
        <f>R71-Q72</f>
        <v>14</v>
      </c>
      <c r="S72" s="27"/>
      <c r="T72" s="36" t="s">
        <v>45</v>
      </c>
      <c r="U72" s="63">
        <f>IF($J$1="March","",Y71)</f>
        <v>35000</v>
      </c>
      <c r="V72" s="38"/>
      <c r="W72" s="63">
        <f t="shared" si="13"/>
        <v>35000</v>
      </c>
      <c r="X72" s="38"/>
      <c r="Y72" s="63">
        <f t="shared" si="14"/>
        <v>35000</v>
      </c>
      <c r="Z72" s="40"/>
    </row>
    <row r="73" spans="1:26" s="25" customFormat="1" ht="18" customHeight="1" x14ac:dyDescent="0.2">
      <c r="A73" s="272"/>
      <c r="B73" s="401" t="s">
        <v>40</v>
      </c>
      <c r="C73" s="402"/>
      <c r="D73" s="270"/>
      <c r="E73" s="270"/>
      <c r="F73" s="287" t="s">
        <v>62</v>
      </c>
      <c r="G73" s="288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35000</v>
      </c>
      <c r="H73" s="285"/>
      <c r="I73" s="289">
        <f>IF(C77&gt;0,$K$2,C75)</f>
        <v>30</v>
      </c>
      <c r="J73" s="290" t="s">
        <v>59</v>
      </c>
      <c r="K73" s="291">
        <f>K69/$K$2*I73</f>
        <v>80000</v>
      </c>
      <c r="L73" s="292"/>
      <c r="N73" s="35"/>
      <c r="O73" s="36" t="s">
        <v>46</v>
      </c>
      <c r="P73" s="36">
        <v>31</v>
      </c>
      <c r="Q73" s="36">
        <v>0</v>
      </c>
      <c r="R73" s="36">
        <f>R72-Q73</f>
        <v>14</v>
      </c>
      <c r="S73" s="27"/>
      <c r="T73" s="36" t="s">
        <v>46</v>
      </c>
      <c r="U73" s="63">
        <f>IF($J$1="April","",Y72)</f>
        <v>35000</v>
      </c>
      <c r="V73" s="38"/>
      <c r="W73" s="63">
        <f t="shared" si="13"/>
        <v>35000</v>
      </c>
      <c r="X73" s="38"/>
      <c r="Y73" s="63">
        <f t="shared" si="14"/>
        <v>35000</v>
      </c>
      <c r="Z73" s="40"/>
    </row>
    <row r="74" spans="1:26" s="25" customFormat="1" ht="18" customHeight="1" x14ac:dyDescent="0.2">
      <c r="A74" s="272"/>
      <c r="B74" s="293"/>
      <c r="C74" s="293"/>
      <c r="D74" s="270"/>
      <c r="E74" s="270"/>
      <c r="F74" s="287" t="s">
        <v>18</v>
      </c>
      <c r="G74" s="288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85"/>
      <c r="I74" s="289">
        <v>0</v>
      </c>
      <c r="J74" s="290" t="s">
        <v>60</v>
      </c>
      <c r="K74" s="294">
        <f>K69/$K$2/8*I74</f>
        <v>0</v>
      </c>
      <c r="L74" s="295"/>
      <c r="N74" s="35"/>
      <c r="O74" s="36" t="s">
        <v>47</v>
      </c>
      <c r="P74" s="36">
        <v>28</v>
      </c>
      <c r="Q74" s="36">
        <v>2</v>
      </c>
      <c r="R74" s="36">
        <f>R73-Q74</f>
        <v>12</v>
      </c>
      <c r="S74" s="27"/>
      <c r="T74" s="36" t="s">
        <v>47</v>
      </c>
      <c r="U74" s="63">
        <f>Y73</f>
        <v>35000</v>
      </c>
      <c r="V74" s="38"/>
      <c r="W74" s="63">
        <f>V74+U74</f>
        <v>35000</v>
      </c>
      <c r="X74" s="38">
        <v>1500</v>
      </c>
      <c r="Y74" s="63">
        <f t="shared" si="14"/>
        <v>33500</v>
      </c>
      <c r="Z74" s="40"/>
    </row>
    <row r="75" spans="1:26" s="25" customFormat="1" ht="18" customHeight="1" x14ac:dyDescent="0.2">
      <c r="A75" s="272"/>
      <c r="B75" s="287" t="s">
        <v>7</v>
      </c>
      <c r="C75" s="293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28</v>
      </c>
      <c r="D75" s="270"/>
      <c r="E75" s="270"/>
      <c r="F75" s="287" t="s">
        <v>63</v>
      </c>
      <c r="G75" s="288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35000</v>
      </c>
      <c r="H75" s="285"/>
      <c r="I75" s="389" t="s">
        <v>67</v>
      </c>
      <c r="J75" s="390"/>
      <c r="K75" s="294">
        <f>K73+K74</f>
        <v>80000</v>
      </c>
      <c r="L75" s="295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/>
      <c r="V75" s="38"/>
      <c r="W75" s="63" t="str">
        <f t="shared" si="13"/>
        <v/>
      </c>
      <c r="X75" s="38"/>
      <c r="Y75" s="63" t="str">
        <f t="shared" si="14"/>
        <v/>
      </c>
      <c r="Z75" s="40"/>
    </row>
    <row r="76" spans="1:26" s="25" customFormat="1" ht="18" customHeight="1" x14ac:dyDescent="0.2">
      <c r="A76" s="272"/>
      <c r="B76" s="287" t="s">
        <v>6</v>
      </c>
      <c r="C76" s="293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2</v>
      </c>
      <c r="D76" s="270"/>
      <c r="E76" s="270"/>
      <c r="F76" s="287" t="s">
        <v>19</v>
      </c>
      <c r="G76" s="288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1500</v>
      </c>
      <c r="H76" s="285"/>
      <c r="I76" s="389" t="s">
        <v>68</v>
      </c>
      <c r="J76" s="390"/>
      <c r="K76" s="288">
        <f>G76</f>
        <v>1500</v>
      </c>
      <c r="L76" s="296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 t="str">
        <f>IF($J$1="July","",Y75)</f>
        <v/>
      </c>
      <c r="V76" s="38"/>
      <c r="W76" s="63" t="str">
        <f t="shared" si="13"/>
        <v/>
      </c>
      <c r="X76" s="38"/>
      <c r="Y76" s="63" t="str">
        <f t="shared" si="14"/>
        <v/>
      </c>
      <c r="Z76" s="40"/>
    </row>
    <row r="77" spans="1:26" s="25" customFormat="1" ht="18" customHeight="1" x14ac:dyDescent="0.2">
      <c r="A77" s="272"/>
      <c r="B77" s="302" t="s">
        <v>66</v>
      </c>
      <c r="C77" s="293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12</v>
      </c>
      <c r="D77" s="270"/>
      <c r="E77" s="270"/>
      <c r="F77" s="302" t="s">
        <v>195</v>
      </c>
      <c r="G77" s="288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33500</v>
      </c>
      <c r="H77" s="270"/>
      <c r="I77" s="391" t="s">
        <v>61</v>
      </c>
      <c r="J77" s="391"/>
      <c r="K77" s="229">
        <f>K75-K76</f>
        <v>78500</v>
      </c>
      <c r="L77" s="297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 t="str">
        <f>Y76</f>
        <v/>
      </c>
      <c r="V77" s="38"/>
      <c r="W77" s="63" t="str">
        <f t="shared" si="13"/>
        <v/>
      </c>
      <c r="X77" s="38"/>
      <c r="Y77" s="63" t="str">
        <f t="shared" si="14"/>
        <v/>
      </c>
      <c r="Z77" s="40"/>
    </row>
    <row r="78" spans="1:26" s="25" customFormat="1" ht="18" customHeight="1" x14ac:dyDescent="0.2">
      <c r="A78" s="272"/>
      <c r="B78" s="270"/>
      <c r="C78" s="270"/>
      <c r="D78" s="270"/>
      <c r="E78" s="270"/>
      <c r="F78" s="270"/>
      <c r="G78" s="270"/>
      <c r="H78" s="270"/>
      <c r="I78" s="392"/>
      <c r="J78" s="392"/>
      <c r="K78" s="352"/>
      <c r="L78" s="284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 t="str">
        <f>Y77</f>
        <v/>
      </c>
      <c r="V78" s="38"/>
      <c r="W78" s="63" t="str">
        <f t="shared" si="13"/>
        <v/>
      </c>
      <c r="X78" s="38"/>
      <c r="Y78" s="63" t="str">
        <f t="shared" si="14"/>
        <v/>
      </c>
      <c r="Z78" s="40"/>
    </row>
    <row r="79" spans="1:26" s="25" customFormat="1" ht="18" customHeight="1" x14ac:dyDescent="0.3">
      <c r="A79" s="272"/>
      <c r="B79" s="268"/>
      <c r="C79" s="268"/>
      <c r="D79" s="268"/>
      <c r="E79" s="268"/>
      <c r="F79" s="268"/>
      <c r="G79" s="268"/>
      <c r="H79" s="268"/>
      <c r="I79" s="392"/>
      <c r="J79" s="392"/>
      <c r="K79" s="352"/>
      <c r="L79" s="284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 t="str">
        <f>Y78</f>
        <v/>
      </c>
      <c r="V79" s="38"/>
      <c r="W79" s="63" t="str">
        <f t="shared" si="13"/>
        <v/>
      </c>
      <c r="X79" s="38"/>
      <c r="Y79" s="63" t="str">
        <f t="shared" si="14"/>
        <v/>
      </c>
      <c r="Z79" s="40"/>
    </row>
    <row r="80" spans="1:26" s="25" customFormat="1" ht="18" customHeight="1" thickBot="1" x14ac:dyDescent="0.35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 t="str">
        <f>Y79</f>
        <v/>
      </c>
      <c r="V80" s="38"/>
      <c r="W80" s="63" t="str">
        <f t="shared" si="13"/>
        <v/>
      </c>
      <c r="X80" s="38"/>
      <c r="Y80" s="63" t="str">
        <f t="shared" si="14"/>
        <v/>
      </c>
      <c r="Z80" s="40"/>
    </row>
    <row r="81" spans="1:27" s="56" customFormat="1" ht="18" customHeight="1" thickBot="1" x14ac:dyDescent="0.25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403" t="s">
        <v>38</v>
      </c>
      <c r="B82" s="404"/>
      <c r="C82" s="404"/>
      <c r="D82" s="404"/>
      <c r="E82" s="404"/>
      <c r="F82" s="404"/>
      <c r="G82" s="404"/>
      <c r="H82" s="404"/>
      <c r="I82" s="404"/>
      <c r="J82" s="404"/>
      <c r="K82" s="404"/>
      <c r="L82" s="405"/>
      <c r="M82" s="24"/>
      <c r="N82" s="28"/>
      <c r="O82" s="396" t="s">
        <v>40</v>
      </c>
      <c r="P82" s="397"/>
      <c r="Q82" s="397"/>
      <c r="R82" s="398"/>
      <c r="S82" s="29"/>
      <c r="T82" s="396" t="s">
        <v>41</v>
      </c>
      <c r="U82" s="397"/>
      <c r="V82" s="397"/>
      <c r="W82" s="397"/>
      <c r="X82" s="397"/>
      <c r="Y82" s="398"/>
      <c r="Z82" s="30"/>
      <c r="AA82" s="24"/>
    </row>
    <row r="83" spans="1:27" s="25" customFormat="1" ht="18" customHeight="1" x14ac:dyDescent="0.2">
      <c r="A83" s="272"/>
      <c r="B83" s="270"/>
      <c r="C83" s="399" t="s">
        <v>202</v>
      </c>
      <c r="D83" s="399"/>
      <c r="E83" s="399"/>
      <c r="F83" s="399"/>
      <c r="G83" s="273" t="str">
        <f>$J$1</f>
        <v>June</v>
      </c>
      <c r="H83" s="400">
        <f>$K$1</f>
        <v>2024</v>
      </c>
      <c r="I83" s="400"/>
      <c r="J83" s="270"/>
      <c r="K83" s="274"/>
      <c r="L83" s="275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2"/>
      <c r="B84" s="270"/>
      <c r="C84" s="270"/>
      <c r="D84" s="276"/>
      <c r="E84" s="276"/>
      <c r="F84" s="276"/>
      <c r="G84" s="276"/>
      <c r="H84" s="276"/>
      <c r="I84" s="270"/>
      <c r="J84" s="277" t="s">
        <v>1</v>
      </c>
      <c r="K84" s="278">
        <f>45000+5000+20000</f>
        <v>70000</v>
      </c>
      <c r="L84" s="279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2"/>
      <c r="B85" s="270" t="s">
        <v>0</v>
      </c>
      <c r="C85" s="269" t="s">
        <v>72</v>
      </c>
      <c r="D85" s="270"/>
      <c r="E85" s="270"/>
      <c r="F85" s="270"/>
      <c r="G85" s="270"/>
      <c r="H85" s="280"/>
      <c r="I85" s="276"/>
      <c r="J85" s="270"/>
      <c r="K85" s="270"/>
      <c r="L85" s="281"/>
      <c r="M85" s="24"/>
      <c r="N85" s="39"/>
      <c r="O85" s="36" t="s">
        <v>69</v>
      </c>
      <c r="P85" s="36">
        <v>28</v>
      </c>
      <c r="Q85" s="36">
        <v>1</v>
      </c>
      <c r="R85" s="36">
        <f t="shared" ref="R85:R95" si="15">IF(Q85="","",R84-Q85)</f>
        <v>14</v>
      </c>
      <c r="S85" s="27"/>
      <c r="T85" s="36" t="s">
        <v>69</v>
      </c>
      <c r="U85" s="63">
        <f t="shared" ref="U85:U90" si="16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2"/>
      <c r="B86" s="282" t="s">
        <v>39</v>
      </c>
      <c r="C86" s="283"/>
      <c r="D86" s="270"/>
      <c r="E86" s="270"/>
      <c r="F86" s="406" t="s">
        <v>41</v>
      </c>
      <c r="G86" s="408"/>
      <c r="H86" s="270"/>
      <c r="I86" s="406" t="s">
        <v>42</v>
      </c>
      <c r="J86" s="407"/>
      <c r="K86" s="408"/>
      <c r="L86" s="284"/>
      <c r="N86" s="35"/>
      <c r="O86" s="36" t="s">
        <v>44</v>
      </c>
      <c r="P86" s="36">
        <v>30</v>
      </c>
      <c r="Q86" s="36">
        <v>1</v>
      </c>
      <c r="R86" s="36">
        <f t="shared" si="15"/>
        <v>13</v>
      </c>
      <c r="S86" s="27"/>
      <c r="T86" s="36" t="s">
        <v>44</v>
      </c>
      <c r="U86" s="63">
        <f t="shared" si="16"/>
        <v>0</v>
      </c>
      <c r="V86" s="38"/>
      <c r="W86" s="63">
        <f t="shared" ref="W86:W95" si="17">IF(U86="","",U86+V86)</f>
        <v>0</v>
      </c>
      <c r="X86" s="38"/>
      <c r="Y86" s="63">
        <f t="shared" ref="Y86:Y95" si="18">IF(W86="","",W86-X86)</f>
        <v>0</v>
      </c>
      <c r="Z86" s="40"/>
    </row>
    <row r="87" spans="1:27" s="25" customFormat="1" ht="18" customHeight="1" x14ac:dyDescent="0.2">
      <c r="A87" s="272"/>
      <c r="B87" s="270"/>
      <c r="C87" s="270"/>
      <c r="D87" s="270"/>
      <c r="E87" s="270"/>
      <c r="F87" s="270"/>
      <c r="G87" s="270"/>
      <c r="H87" s="285"/>
      <c r="I87" s="270"/>
      <c r="J87" s="270"/>
      <c r="K87" s="270"/>
      <c r="L87" s="286"/>
      <c r="N87" s="35"/>
      <c r="O87" s="36" t="s">
        <v>45</v>
      </c>
      <c r="P87" s="36">
        <v>29</v>
      </c>
      <c r="Q87" s="36">
        <v>1</v>
      </c>
      <c r="R87" s="36">
        <f t="shared" si="15"/>
        <v>12</v>
      </c>
      <c r="S87" s="27"/>
      <c r="T87" s="36" t="s">
        <v>45</v>
      </c>
      <c r="U87" s="63">
        <f t="shared" si="16"/>
        <v>0</v>
      </c>
      <c r="V87" s="38"/>
      <c r="W87" s="63">
        <f t="shared" si="17"/>
        <v>0</v>
      </c>
      <c r="X87" s="38"/>
      <c r="Y87" s="63">
        <f t="shared" si="18"/>
        <v>0</v>
      </c>
      <c r="Z87" s="40"/>
    </row>
    <row r="88" spans="1:27" s="25" customFormat="1" ht="18" customHeight="1" x14ac:dyDescent="0.2">
      <c r="A88" s="272"/>
      <c r="B88" s="401" t="s">
        <v>40</v>
      </c>
      <c r="C88" s="402"/>
      <c r="D88" s="270"/>
      <c r="E88" s="270"/>
      <c r="F88" s="287" t="s">
        <v>62</v>
      </c>
      <c r="G88" s="288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5"/>
      <c r="I88" s="289">
        <f>IF(C92&gt;0,$K$2,C90)</f>
        <v>30</v>
      </c>
      <c r="J88" s="290" t="s">
        <v>59</v>
      </c>
      <c r="K88" s="291">
        <f>K84/$K$2*I88</f>
        <v>70000</v>
      </c>
      <c r="L88" s="292"/>
      <c r="N88" s="35"/>
      <c r="O88" s="36" t="s">
        <v>46</v>
      </c>
      <c r="P88" s="36">
        <v>29</v>
      </c>
      <c r="Q88" s="36">
        <v>2</v>
      </c>
      <c r="R88" s="36">
        <f t="shared" si="15"/>
        <v>10</v>
      </c>
      <c r="S88" s="27"/>
      <c r="T88" s="36" t="s">
        <v>46</v>
      </c>
      <c r="U88" s="63">
        <f t="shared" si="16"/>
        <v>0</v>
      </c>
      <c r="V88" s="38"/>
      <c r="W88" s="63">
        <f t="shared" si="17"/>
        <v>0</v>
      </c>
      <c r="X88" s="38"/>
      <c r="Y88" s="63">
        <f t="shared" si="18"/>
        <v>0</v>
      </c>
      <c r="Z88" s="40"/>
    </row>
    <row r="89" spans="1:27" s="25" customFormat="1" ht="18" customHeight="1" x14ac:dyDescent="0.2">
      <c r="A89" s="272"/>
      <c r="B89" s="293"/>
      <c r="C89" s="293"/>
      <c r="D89" s="270"/>
      <c r="E89" s="270"/>
      <c r="F89" s="287" t="s">
        <v>18</v>
      </c>
      <c r="G89" s="288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5000</v>
      </c>
      <c r="H89" s="285"/>
      <c r="I89" s="289">
        <v>81</v>
      </c>
      <c r="J89" s="290" t="s">
        <v>60</v>
      </c>
      <c r="K89" s="294">
        <f>K84/$K$2/8*I89</f>
        <v>23625</v>
      </c>
      <c r="L89" s="295"/>
      <c r="N89" s="35"/>
      <c r="O89" s="36" t="s">
        <v>47</v>
      </c>
      <c r="P89" s="36">
        <v>29</v>
      </c>
      <c r="Q89" s="36">
        <v>1</v>
      </c>
      <c r="R89" s="36">
        <f t="shared" si="15"/>
        <v>9</v>
      </c>
      <c r="S89" s="27"/>
      <c r="T89" s="36" t="s">
        <v>47</v>
      </c>
      <c r="U89" s="63">
        <f t="shared" si="16"/>
        <v>0</v>
      </c>
      <c r="V89" s="38">
        <v>5000</v>
      </c>
      <c r="W89" s="63">
        <f t="shared" si="17"/>
        <v>5000</v>
      </c>
      <c r="X89" s="38">
        <v>5000</v>
      </c>
      <c r="Y89" s="63">
        <f t="shared" si="18"/>
        <v>0</v>
      </c>
      <c r="Z89" s="40"/>
    </row>
    <row r="90" spans="1:27" s="25" customFormat="1" ht="18" customHeight="1" x14ac:dyDescent="0.2">
      <c r="A90" s="272"/>
      <c r="B90" s="287" t="s">
        <v>7</v>
      </c>
      <c r="C90" s="293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29</v>
      </c>
      <c r="D90" s="270"/>
      <c r="E90" s="270"/>
      <c r="F90" s="287" t="s">
        <v>63</v>
      </c>
      <c r="G90" s="288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5000</v>
      </c>
      <c r="H90" s="285"/>
      <c r="I90" s="389" t="s">
        <v>67</v>
      </c>
      <c r="J90" s="390"/>
      <c r="K90" s="294">
        <f>K88+K89</f>
        <v>93625</v>
      </c>
      <c r="L90" s="295"/>
      <c r="N90" s="35"/>
      <c r="O90" s="36" t="s">
        <v>48</v>
      </c>
      <c r="P90" s="36"/>
      <c r="Q90" s="36"/>
      <c r="R90" s="36" t="str">
        <f t="shared" si="15"/>
        <v/>
      </c>
      <c r="S90" s="27"/>
      <c r="T90" s="36" t="s">
        <v>48</v>
      </c>
      <c r="U90" s="63">
        <f t="shared" si="16"/>
        <v>0</v>
      </c>
      <c r="V90" s="38"/>
      <c r="W90" s="63">
        <f t="shared" si="17"/>
        <v>0</v>
      </c>
      <c r="X90" s="38"/>
      <c r="Y90" s="63">
        <f t="shared" si="18"/>
        <v>0</v>
      </c>
      <c r="Z90" s="40"/>
    </row>
    <row r="91" spans="1:27" s="25" customFormat="1" ht="18" customHeight="1" x14ac:dyDescent="0.2">
      <c r="A91" s="272"/>
      <c r="B91" s="287" t="s">
        <v>6</v>
      </c>
      <c r="C91" s="293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1</v>
      </c>
      <c r="D91" s="270"/>
      <c r="E91" s="270"/>
      <c r="F91" s="287" t="s">
        <v>19</v>
      </c>
      <c r="G91" s="288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5000</v>
      </c>
      <c r="H91" s="285"/>
      <c r="I91" s="389" t="s">
        <v>68</v>
      </c>
      <c r="J91" s="390"/>
      <c r="K91" s="288">
        <f>G91</f>
        <v>5000</v>
      </c>
      <c r="L91" s="296"/>
      <c r="N91" s="35"/>
      <c r="O91" s="36" t="s">
        <v>49</v>
      </c>
      <c r="P91" s="36"/>
      <c r="Q91" s="36"/>
      <c r="R91" s="36" t="str">
        <f t="shared" si="15"/>
        <v/>
      </c>
      <c r="S91" s="27"/>
      <c r="T91" s="36" t="s">
        <v>49</v>
      </c>
      <c r="U91" s="63">
        <f>Y90</f>
        <v>0</v>
      </c>
      <c r="V91" s="38"/>
      <c r="W91" s="63">
        <f t="shared" si="17"/>
        <v>0</v>
      </c>
      <c r="X91" s="38"/>
      <c r="Y91" s="63">
        <f t="shared" si="18"/>
        <v>0</v>
      </c>
      <c r="Z91" s="40"/>
    </row>
    <row r="92" spans="1:27" s="25" customFormat="1" ht="18" customHeight="1" x14ac:dyDescent="0.2">
      <c r="A92" s="272"/>
      <c r="B92" s="302" t="s">
        <v>66</v>
      </c>
      <c r="C92" s="293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9</v>
      </c>
      <c r="D92" s="270"/>
      <c r="E92" s="270"/>
      <c r="F92" s="302" t="s">
        <v>195</v>
      </c>
      <c r="G92" s="288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0"/>
      <c r="I92" s="391" t="s">
        <v>61</v>
      </c>
      <c r="J92" s="391"/>
      <c r="K92" s="229">
        <f>K90-K91</f>
        <v>88625</v>
      </c>
      <c r="L92" s="297"/>
      <c r="N92" s="35"/>
      <c r="O92" s="36" t="s">
        <v>54</v>
      </c>
      <c r="P92" s="36"/>
      <c r="Q92" s="36"/>
      <c r="R92" s="36" t="str">
        <f t="shared" si="15"/>
        <v/>
      </c>
      <c r="S92" s="27"/>
      <c r="T92" s="36" t="s">
        <v>54</v>
      </c>
      <c r="U92" s="63">
        <f>Y91</f>
        <v>0</v>
      </c>
      <c r="V92" s="38"/>
      <c r="W92" s="63">
        <f t="shared" si="17"/>
        <v>0</v>
      </c>
      <c r="X92" s="38"/>
      <c r="Y92" s="63">
        <f t="shared" si="18"/>
        <v>0</v>
      </c>
      <c r="Z92" s="40"/>
    </row>
    <row r="93" spans="1:27" s="25" customFormat="1" ht="18" customHeight="1" x14ac:dyDescent="0.2">
      <c r="A93" s="272"/>
      <c r="B93" s="270"/>
      <c r="C93" s="270"/>
      <c r="D93" s="270"/>
      <c r="E93" s="270"/>
      <c r="F93" s="270"/>
      <c r="G93" s="270"/>
      <c r="H93" s="270"/>
      <c r="I93" s="392"/>
      <c r="J93" s="392"/>
      <c r="K93" s="352"/>
      <c r="L93" s="284"/>
      <c r="N93" s="35"/>
      <c r="O93" s="36" t="s">
        <v>50</v>
      </c>
      <c r="P93" s="36"/>
      <c r="Q93" s="36"/>
      <c r="R93" s="36" t="str">
        <f t="shared" si="15"/>
        <v/>
      </c>
      <c r="S93" s="27"/>
      <c r="T93" s="36" t="s">
        <v>50</v>
      </c>
      <c r="U93" s="63">
        <f>Y92</f>
        <v>0</v>
      </c>
      <c r="V93" s="38"/>
      <c r="W93" s="63">
        <f t="shared" si="17"/>
        <v>0</v>
      </c>
      <c r="X93" s="38"/>
      <c r="Y93" s="63">
        <f t="shared" si="18"/>
        <v>0</v>
      </c>
      <c r="Z93" s="40"/>
    </row>
    <row r="94" spans="1:27" s="25" customFormat="1" ht="18" customHeight="1" x14ac:dyDescent="0.3">
      <c r="A94" s="272"/>
      <c r="B94" s="268"/>
      <c r="C94" s="268"/>
      <c r="D94" s="268"/>
      <c r="E94" s="268"/>
      <c r="F94" s="268"/>
      <c r="G94" s="268"/>
      <c r="H94" s="268"/>
      <c r="I94" s="392"/>
      <c r="J94" s="392"/>
      <c r="K94" s="352"/>
      <c r="L94" s="284"/>
      <c r="N94" s="35"/>
      <c r="O94" s="36" t="s">
        <v>55</v>
      </c>
      <c r="P94" s="36"/>
      <c r="Q94" s="36"/>
      <c r="R94" s="36" t="str">
        <f t="shared" si="15"/>
        <v/>
      </c>
      <c r="S94" s="27"/>
      <c r="T94" s="36" t="s">
        <v>55</v>
      </c>
      <c r="U94" s="63">
        <f>Y93</f>
        <v>0</v>
      </c>
      <c r="V94" s="38"/>
      <c r="W94" s="63">
        <f t="shared" si="17"/>
        <v>0</v>
      </c>
      <c r="X94" s="38"/>
      <c r="Y94" s="63">
        <f t="shared" si="18"/>
        <v>0</v>
      </c>
      <c r="Z94" s="40"/>
    </row>
    <row r="95" spans="1:27" s="25" customFormat="1" ht="18" customHeight="1" thickBot="1" x14ac:dyDescent="0.35">
      <c r="A95" s="298"/>
      <c r="B95" s="299"/>
      <c r="C95" s="299"/>
      <c r="D95" s="299"/>
      <c r="E95" s="299"/>
      <c r="F95" s="299"/>
      <c r="G95" s="299"/>
      <c r="H95" s="299"/>
      <c r="I95" s="299"/>
      <c r="J95" s="299"/>
      <c r="K95" s="299"/>
      <c r="L95" s="300"/>
      <c r="N95" s="35"/>
      <c r="O95" s="36" t="s">
        <v>56</v>
      </c>
      <c r="P95" s="36"/>
      <c r="Q95" s="36"/>
      <c r="R95" s="36" t="str">
        <f t="shared" si="15"/>
        <v/>
      </c>
      <c r="S95" s="27"/>
      <c r="T95" s="36" t="s">
        <v>56</v>
      </c>
      <c r="U95" s="63">
        <f>Y94</f>
        <v>0</v>
      </c>
      <c r="V95" s="38"/>
      <c r="W95" s="63">
        <f t="shared" si="17"/>
        <v>0</v>
      </c>
      <c r="X95" s="38"/>
      <c r="Y95" s="63">
        <f t="shared" si="18"/>
        <v>0</v>
      </c>
      <c r="Z95" s="40"/>
    </row>
    <row r="96" spans="1:27" s="56" customFormat="1" ht="18" customHeight="1" thickBot="1" x14ac:dyDescent="0.25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403" t="s">
        <v>38</v>
      </c>
      <c r="B97" s="404"/>
      <c r="C97" s="404"/>
      <c r="D97" s="404"/>
      <c r="E97" s="404"/>
      <c r="F97" s="404"/>
      <c r="G97" s="404"/>
      <c r="H97" s="404"/>
      <c r="I97" s="404"/>
      <c r="J97" s="404"/>
      <c r="K97" s="404"/>
      <c r="L97" s="405"/>
      <c r="M97" s="24"/>
      <c r="N97" s="28"/>
      <c r="O97" s="396" t="s">
        <v>40</v>
      </c>
      <c r="P97" s="397"/>
      <c r="Q97" s="397"/>
      <c r="R97" s="398"/>
      <c r="S97" s="29"/>
      <c r="T97" s="396" t="s">
        <v>41</v>
      </c>
      <c r="U97" s="397"/>
      <c r="V97" s="397"/>
      <c r="W97" s="397"/>
      <c r="X97" s="397"/>
      <c r="Y97" s="398"/>
      <c r="Z97" s="30"/>
    </row>
    <row r="98" spans="1:27" s="25" customFormat="1" ht="18" customHeight="1" x14ac:dyDescent="0.2">
      <c r="A98" s="272"/>
      <c r="B98" s="270"/>
      <c r="C98" s="399" t="s">
        <v>202</v>
      </c>
      <c r="D98" s="399"/>
      <c r="E98" s="399"/>
      <c r="F98" s="399"/>
      <c r="G98" s="273" t="str">
        <f>$J$1</f>
        <v>June</v>
      </c>
      <c r="H98" s="400">
        <f>$K$1</f>
        <v>2024</v>
      </c>
      <c r="I98" s="400"/>
      <c r="J98" s="270"/>
      <c r="K98" s="274"/>
      <c r="L98" s="275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2"/>
      <c r="B99" s="270"/>
      <c r="C99" s="270"/>
      <c r="D99" s="276"/>
      <c r="E99" s="276"/>
      <c r="F99" s="276"/>
      <c r="G99" s="276"/>
      <c r="H99" s="276"/>
      <c r="I99" s="270"/>
      <c r="J99" s="277" t="s">
        <v>1</v>
      </c>
      <c r="K99" s="278">
        <f>38000+3000+5000</f>
        <v>46000</v>
      </c>
      <c r="L99" s="279"/>
      <c r="N99" s="35"/>
      <c r="O99" s="36" t="s">
        <v>43</v>
      </c>
      <c r="P99" s="36">
        <v>29</v>
      </c>
      <c r="Q99" s="36">
        <v>2</v>
      </c>
      <c r="R99" s="36">
        <v>5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2"/>
      <c r="B100" s="270" t="s">
        <v>0</v>
      </c>
      <c r="C100" s="269" t="s">
        <v>162</v>
      </c>
      <c r="D100" s="270"/>
      <c r="E100" s="270"/>
      <c r="F100" s="270"/>
      <c r="G100" s="270"/>
      <c r="H100" s="280"/>
      <c r="I100" s="276"/>
      <c r="J100" s="270"/>
      <c r="K100" s="270"/>
      <c r="L100" s="281"/>
      <c r="M100" s="24"/>
      <c r="N100" s="39"/>
      <c r="O100" s="36" t="s">
        <v>69</v>
      </c>
      <c r="P100" s="36">
        <v>28</v>
      </c>
      <c r="Q100" s="36">
        <v>1</v>
      </c>
      <c r="R100" s="36">
        <f t="shared" ref="R100:R102" si="19">IF(Q100="","",R99-Q100)</f>
        <v>4</v>
      </c>
      <c r="S100" s="27"/>
      <c r="T100" s="36" t="s">
        <v>69</v>
      </c>
      <c r="U100" s="63">
        <f>Y99</f>
        <v>35000</v>
      </c>
      <c r="V100" s="38"/>
      <c r="W100" s="63">
        <f>IF(U100="","",U100+V100)</f>
        <v>35000</v>
      </c>
      <c r="X100" s="38"/>
      <c r="Y100" s="63">
        <f>IF(W100="","",W100-X100)</f>
        <v>35000</v>
      </c>
      <c r="Z100" s="40"/>
    </row>
    <row r="101" spans="1:27" s="25" customFormat="1" ht="18" customHeight="1" x14ac:dyDescent="0.2">
      <c r="A101" s="272"/>
      <c r="B101" s="282" t="s">
        <v>39</v>
      </c>
      <c r="C101" s="283"/>
      <c r="D101" s="270"/>
      <c r="E101" s="270"/>
      <c r="F101" s="406" t="s">
        <v>41</v>
      </c>
      <c r="G101" s="408"/>
      <c r="H101" s="270"/>
      <c r="I101" s="406" t="s">
        <v>42</v>
      </c>
      <c r="J101" s="407"/>
      <c r="K101" s="408"/>
      <c r="L101" s="284"/>
      <c r="N101" s="35"/>
      <c r="O101" s="36" t="s">
        <v>44</v>
      </c>
      <c r="P101" s="36">
        <v>30</v>
      </c>
      <c r="Q101" s="36">
        <v>1</v>
      </c>
      <c r="R101" s="36">
        <f t="shared" si="19"/>
        <v>3</v>
      </c>
      <c r="S101" s="27"/>
      <c r="T101" s="36" t="s">
        <v>44</v>
      </c>
      <c r="U101" s="63">
        <f>Y100</f>
        <v>35000</v>
      </c>
      <c r="V101" s="38"/>
      <c r="W101" s="63">
        <f t="shared" ref="W101:W110" si="20">IF(U101="","",U101+V101)</f>
        <v>35000</v>
      </c>
      <c r="X101" s="38"/>
      <c r="Y101" s="63">
        <f t="shared" ref="Y101:Y110" si="21">IF(W101="","",W101-X101)</f>
        <v>35000</v>
      </c>
      <c r="Z101" s="40"/>
    </row>
    <row r="102" spans="1:27" s="25" customFormat="1" ht="18" customHeight="1" x14ac:dyDescent="0.2">
      <c r="A102" s="272"/>
      <c r="B102" s="270"/>
      <c r="C102" s="270"/>
      <c r="D102" s="270"/>
      <c r="E102" s="270"/>
      <c r="F102" s="270"/>
      <c r="G102" s="270"/>
      <c r="H102" s="285"/>
      <c r="I102" s="270"/>
      <c r="J102" s="270"/>
      <c r="K102" s="270"/>
      <c r="L102" s="286"/>
      <c r="N102" s="35"/>
      <c r="O102" s="36" t="s">
        <v>45</v>
      </c>
      <c r="P102" s="36">
        <v>28</v>
      </c>
      <c r="Q102" s="36">
        <v>2</v>
      </c>
      <c r="R102" s="36">
        <f t="shared" si="19"/>
        <v>1</v>
      </c>
      <c r="S102" s="27"/>
      <c r="T102" s="36" t="s">
        <v>45</v>
      </c>
      <c r="U102" s="63">
        <f>IF($J$1="March","",Y101)</f>
        <v>35000</v>
      </c>
      <c r="V102" s="38"/>
      <c r="W102" s="63">
        <f t="shared" si="20"/>
        <v>35000</v>
      </c>
      <c r="X102" s="38"/>
      <c r="Y102" s="63">
        <f t="shared" si="21"/>
        <v>35000</v>
      </c>
      <c r="Z102" s="40"/>
    </row>
    <row r="103" spans="1:27" s="25" customFormat="1" ht="18" customHeight="1" x14ac:dyDescent="0.2">
      <c r="A103" s="272"/>
      <c r="B103" s="401" t="s">
        <v>40</v>
      </c>
      <c r="C103" s="402"/>
      <c r="D103" s="270"/>
      <c r="E103" s="270"/>
      <c r="F103" s="287" t="s">
        <v>62</v>
      </c>
      <c r="G103" s="288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5"/>
      <c r="I103" s="289">
        <f>IF(C107&gt;0,$K$2,C105)</f>
        <v>0</v>
      </c>
      <c r="J103" s="290" t="s">
        <v>59</v>
      </c>
      <c r="K103" s="291">
        <f>K99/$K$2*I103</f>
        <v>0</v>
      </c>
      <c r="L103" s="292"/>
      <c r="N103" s="35"/>
      <c r="O103" s="36" t="s">
        <v>46</v>
      </c>
      <c r="P103" s="36">
        <v>31</v>
      </c>
      <c r="Q103" s="36">
        <v>0</v>
      </c>
      <c r="R103" s="36">
        <v>0</v>
      </c>
      <c r="S103" s="27"/>
      <c r="T103" s="36" t="s">
        <v>46</v>
      </c>
      <c r="U103" s="63">
        <f>Y102</f>
        <v>35000</v>
      </c>
      <c r="V103" s="38"/>
      <c r="W103" s="63">
        <f t="shared" si="20"/>
        <v>35000</v>
      </c>
      <c r="X103" s="38"/>
      <c r="Y103" s="63">
        <f t="shared" si="21"/>
        <v>35000</v>
      </c>
      <c r="Z103" s="40"/>
    </row>
    <row r="104" spans="1:27" s="25" customFormat="1" ht="18" customHeight="1" x14ac:dyDescent="0.2">
      <c r="A104" s="272"/>
      <c r="B104" s="293"/>
      <c r="C104" s="293"/>
      <c r="D104" s="270"/>
      <c r="E104" s="270"/>
      <c r="F104" s="287" t="s">
        <v>18</v>
      </c>
      <c r="G104" s="288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5000</v>
      </c>
      <c r="H104" s="285"/>
      <c r="I104" s="289">
        <v>0</v>
      </c>
      <c r="J104" s="290" t="s">
        <v>60</v>
      </c>
      <c r="K104" s="294">
        <f>K99/$K$2/8*I104</f>
        <v>0</v>
      </c>
      <c r="L104" s="295"/>
      <c r="N104" s="35"/>
      <c r="O104" s="36" t="s">
        <v>47</v>
      </c>
      <c r="P104" s="339"/>
      <c r="Q104" s="339"/>
      <c r="R104" s="36">
        <v>0</v>
      </c>
      <c r="S104" s="27"/>
      <c r="T104" s="36" t="s">
        <v>47</v>
      </c>
      <c r="U104" s="63">
        <f>Y103</f>
        <v>35000</v>
      </c>
      <c r="V104" s="38">
        <v>5000</v>
      </c>
      <c r="W104" s="63">
        <f t="shared" si="20"/>
        <v>40000</v>
      </c>
      <c r="X104" s="38">
        <v>5000</v>
      </c>
      <c r="Y104" s="63">
        <f t="shared" si="21"/>
        <v>35000</v>
      </c>
      <c r="Z104" s="40"/>
    </row>
    <row r="105" spans="1:27" s="25" customFormat="1" ht="18" customHeight="1" x14ac:dyDescent="0.2">
      <c r="A105" s="272"/>
      <c r="B105" s="287" t="s">
        <v>7</v>
      </c>
      <c r="C105" s="293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0</v>
      </c>
      <c r="D105" s="270"/>
      <c r="E105" s="270"/>
      <c r="F105" s="287" t="s">
        <v>63</v>
      </c>
      <c r="G105" s="288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40000</v>
      </c>
      <c r="H105" s="285"/>
      <c r="I105" s="389" t="s">
        <v>67</v>
      </c>
      <c r="J105" s="390"/>
      <c r="K105" s="294">
        <f>K103+K104</f>
        <v>0</v>
      </c>
      <c r="L105" s="295"/>
      <c r="N105" s="35"/>
      <c r="O105" s="36" t="s">
        <v>48</v>
      </c>
      <c r="P105" s="36"/>
      <c r="Q105" s="36"/>
      <c r="R105" s="36">
        <v>0</v>
      </c>
      <c r="S105" s="27"/>
      <c r="T105" s="36" t="s">
        <v>48</v>
      </c>
      <c r="U105" s="63"/>
      <c r="V105" s="38"/>
      <c r="W105" s="63" t="str">
        <f t="shared" si="20"/>
        <v/>
      </c>
      <c r="X105" s="38"/>
      <c r="Y105" s="63" t="str">
        <f t="shared" si="21"/>
        <v/>
      </c>
      <c r="Z105" s="40"/>
    </row>
    <row r="106" spans="1:27" s="25" customFormat="1" ht="18" customHeight="1" x14ac:dyDescent="0.2">
      <c r="A106" s="272"/>
      <c r="B106" s="287" t="s">
        <v>6</v>
      </c>
      <c r="C106" s="293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0</v>
      </c>
      <c r="D106" s="270"/>
      <c r="E106" s="270"/>
      <c r="F106" s="287" t="s">
        <v>19</v>
      </c>
      <c r="G106" s="288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5000</v>
      </c>
      <c r="H106" s="285"/>
      <c r="I106" s="389" t="s">
        <v>68</v>
      </c>
      <c r="J106" s="390"/>
      <c r="K106" s="288">
        <f>G106</f>
        <v>5000</v>
      </c>
      <c r="L106" s="296"/>
      <c r="N106" s="35"/>
      <c r="O106" s="36" t="s">
        <v>49</v>
      </c>
      <c r="P106" s="36"/>
      <c r="Q106" s="36"/>
      <c r="R106" s="36">
        <v>0</v>
      </c>
      <c r="S106" s="27"/>
      <c r="T106" s="36" t="s">
        <v>49</v>
      </c>
      <c r="U106" s="63"/>
      <c r="V106" s="38"/>
      <c r="W106" s="63" t="str">
        <f t="shared" si="20"/>
        <v/>
      </c>
      <c r="X106" s="38"/>
      <c r="Y106" s="63" t="str">
        <f t="shared" si="21"/>
        <v/>
      </c>
      <c r="Z106" s="40"/>
    </row>
    <row r="107" spans="1:27" s="25" customFormat="1" ht="18" customHeight="1" x14ac:dyDescent="0.2">
      <c r="A107" s="272"/>
      <c r="B107" s="302" t="s">
        <v>66</v>
      </c>
      <c r="C107" s="293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0</v>
      </c>
      <c r="D107" s="270"/>
      <c r="E107" s="270"/>
      <c r="F107" s="302" t="s">
        <v>195</v>
      </c>
      <c r="G107" s="288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0"/>
      <c r="I107" s="391" t="s">
        <v>61</v>
      </c>
      <c r="J107" s="391"/>
      <c r="K107" s="229">
        <f>K105-K106</f>
        <v>-5000</v>
      </c>
      <c r="L107" s="297"/>
      <c r="N107" s="35"/>
      <c r="O107" s="36" t="s">
        <v>54</v>
      </c>
      <c r="P107" s="36"/>
      <c r="Q107" s="36"/>
      <c r="R107" s="36">
        <v>0</v>
      </c>
      <c r="S107" s="27"/>
      <c r="T107" s="36" t="s">
        <v>54</v>
      </c>
      <c r="U107" s="63"/>
      <c r="V107" s="38"/>
      <c r="W107" s="63" t="str">
        <f t="shared" si="20"/>
        <v/>
      </c>
      <c r="X107" s="38"/>
      <c r="Y107" s="63" t="str">
        <f t="shared" si="21"/>
        <v/>
      </c>
      <c r="Z107" s="40"/>
    </row>
    <row r="108" spans="1:27" s="25" customFormat="1" ht="18" customHeight="1" x14ac:dyDescent="0.2">
      <c r="A108" s="272"/>
      <c r="B108" s="270"/>
      <c r="C108" s="270"/>
      <c r="D108" s="270"/>
      <c r="E108" s="270"/>
      <c r="F108" s="270"/>
      <c r="G108" s="270"/>
      <c r="H108" s="270"/>
      <c r="I108" s="392"/>
      <c r="J108" s="392"/>
      <c r="K108" s="352"/>
      <c r="L108" s="284"/>
      <c r="N108" s="35"/>
      <c r="O108" s="36" t="s">
        <v>50</v>
      </c>
      <c r="P108" s="36"/>
      <c r="Q108" s="36"/>
      <c r="R108" s="36">
        <v>0</v>
      </c>
      <c r="S108" s="27"/>
      <c r="T108" s="36" t="s">
        <v>50</v>
      </c>
      <c r="U108" s="63"/>
      <c r="V108" s="38"/>
      <c r="W108" s="63" t="str">
        <f t="shared" si="20"/>
        <v/>
      </c>
      <c r="X108" s="38"/>
      <c r="Y108" s="63" t="str">
        <f t="shared" si="21"/>
        <v/>
      </c>
      <c r="Z108" s="40"/>
    </row>
    <row r="109" spans="1:27" s="25" customFormat="1" ht="18" customHeight="1" x14ac:dyDescent="0.3">
      <c r="A109" s="272"/>
      <c r="B109" s="268"/>
      <c r="C109" s="268"/>
      <c r="D109" s="268"/>
      <c r="E109" s="268"/>
      <c r="F109" s="268"/>
      <c r="G109" s="268"/>
      <c r="H109" s="268"/>
      <c r="I109" s="392"/>
      <c r="J109" s="392"/>
      <c r="K109" s="352"/>
      <c r="L109" s="284"/>
      <c r="N109" s="35"/>
      <c r="O109" s="36" t="s">
        <v>55</v>
      </c>
      <c r="P109" s="36"/>
      <c r="Q109" s="36"/>
      <c r="R109" s="36">
        <v>0</v>
      </c>
      <c r="S109" s="27"/>
      <c r="T109" s="36" t="s">
        <v>55</v>
      </c>
      <c r="U109" s="63"/>
      <c r="V109" s="38"/>
      <c r="W109" s="63" t="str">
        <f t="shared" si="20"/>
        <v/>
      </c>
      <c r="X109" s="38"/>
      <c r="Y109" s="63" t="str">
        <f t="shared" si="21"/>
        <v/>
      </c>
      <c r="Z109" s="40"/>
    </row>
    <row r="110" spans="1:27" s="25" customFormat="1" ht="18" customHeight="1" thickBot="1" x14ac:dyDescent="0.35">
      <c r="A110" s="298"/>
      <c r="B110" s="299"/>
      <c r="C110" s="299"/>
      <c r="D110" s="299"/>
      <c r="E110" s="299"/>
      <c r="F110" s="299" t="s">
        <v>190</v>
      </c>
      <c r="G110" s="299"/>
      <c r="H110" s="299"/>
      <c r="I110" s="299"/>
      <c r="J110" s="299"/>
      <c r="K110" s="299"/>
      <c r="L110" s="300"/>
      <c r="N110" s="35"/>
      <c r="O110" s="36" t="s">
        <v>56</v>
      </c>
      <c r="P110" s="36"/>
      <c r="Q110" s="36"/>
      <c r="R110" s="36">
        <v>0</v>
      </c>
      <c r="S110" s="27"/>
      <c r="T110" s="36" t="s">
        <v>56</v>
      </c>
      <c r="U110" s="63"/>
      <c r="V110" s="38"/>
      <c r="W110" s="63" t="str">
        <f t="shared" si="20"/>
        <v/>
      </c>
      <c r="X110" s="38"/>
      <c r="Y110" s="63" t="str">
        <f t="shared" si="21"/>
        <v/>
      </c>
      <c r="Z110" s="40"/>
    </row>
    <row r="111" spans="1:27" s="56" customFormat="1" ht="18" customHeight="1" thickBot="1" x14ac:dyDescent="0.25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403" t="s">
        <v>38</v>
      </c>
      <c r="B112" s="404"/>
      <c r="C112" s="404"/>
      <c r="D112" s="404"/>
      <c r="E112" s="404"/>
      <c r="F112" s="404"/>
      <c r="G112" s="404"/>
      <c r="H112" s="404"/>
      <c r="I112" s="404"/>
      <c r="J112" s="404"/>
      <c r="K112" s="404"/>
      <c r="L112" s="405"/>
      <c r="M112" s="24"/>
      <c r="N112" s="28"/>
      <c r="O112" s="396" t="s">
        <v>40</v>
      </c>
      <c r="P112" s="397"/>
      <c r="Q112" s="397"/>
      <c r="R112" s="398"/>
      <c r="S112" s="29"/>
      <c r="T112" s="396" t="s">
        <v>41</v>
      </c>
      <c r="U112" s="397"/>
      <c r="V112" s="397"/>
      <c r="W112" s="397"/>
      <c r="X112" s="397"/>
      <c r="Y112" s="398"/>
      <c r="Z112" s="30"/>
      <c r="AA112" s="24"/>
    </row>
    <row r="113" spans="1:27" s="25" customFormat="1" ht="18" customHeight="1" x14ac:dyDescent="0.2">
      <c r="A113" s="272"/>
      <c r="B113" s="270"/>
      <c r="C113" s="399" t="s">
        <v>202</v>
      </c>
      <c r="D113" s="399"/>
      <c r="E113" s="399"/>
      <c r="F113" s="399"/>
      <c r="G113" s="273" t="str">
        <f>$J$1</f>
        <v>June</v>
      </c>
      <c r="H113" s="400">
        <f>$K$1</f>
        <v>2024</v>
      </c>
      <c r="I113" s="400"/>
      <c r="J113" s="270"/>
      <c r="K113" s="274"/>
      <c r="L113" s="275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2"/>
      <c r="B114" s="270"/>
      <c r="C114" s="270"/>
      <c r="D114" s="276"/>
      <c r="E114" s="276"/>
      <c r="F114" s="276"/>
      <c r="G114" s="276"/>
      <c r="H114" s="276"/>
      <c r="I114" s="270"/>
      <c r="J114" s="277" t="s">
        <v>1</v>
      </c>
      <c r="K114" s="278">
        <f>35000+3000+5000+17000</f>
        <v>60000</v>
      </c>
      <c r="L114" s="279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2"/>
      <c r="B115" s="270" t="s">
        <v>0</v>
      </c>
      <c r="C115" s="269" t="s">
        <v>78</v>
      </c>
      <c r="D115" s="270"/>
      <c r="E115" s="270"/>
      <c r="F115" s="270"/>
      <c r="G115" s="270"/>
      <c r="H115" s="280"/>
      <c r="I115" s="276"/>
      <c r="J115" s="270"/>
      <c r="K115" s="270"/>
      <c r="L115" s="281"/>
      <c r="M115" s="24"/>
      <c r="N115" s="39"/>
      <c r="O115" s="36" t="s">
        <v>69</v>
      </c>
      <c r="P115" s="36">
        <v>29</v>
      </c>
      <c r="Q115" s="36">
        <v>0</v>
      </c>
      <c r="R115" s="36">
        <f t="shared" ref="R115:R125" si="22">IF(Q115="","",R114-Q115)</f>
        <v>15</v>
      </c>
      <c r="S115" s="27"/>
      <c r="T115" s="36" t="s">
        <v>69</v>
      </c>
      <c r="U115" s="63">
        <f>Y114</f>
        <v>58500</v>
      </c>
      <c r="V115" s="38"/>
      <c r="W115" s="63">
        <f>IF(U115="","",U115+V115)</f>
        <v>58500</v>
      </c>
      <c r="X115" s="38">
        <v>2500</v>
      </c>
      <c r="Y115" s="63">
        <f>IF(W115="","",W115-X115)</f>
        <v>56000</v>
      </c>
      <c r="Z115" s="40"/>
      <c r="AA115" s="24"/>
    </row>
    <row r="116" spans="1:27" s="25" customFormat="1" ht="18" customHeight="1" x14ac:dyDescent="0.2">
      <c r="A116" s="272"/>
      <c r="B116" s="282" t="s">
        <v>39</v>
      </c>
      <c r="C116" s="283" t="s">
        <v>79</v>
      </c>
      <c r="D116" s="270"/>
      <c r="E116" s="270"/>
      <c r="F116" s="406" t="s">
        <v>41</v>
      </c>
      <c r="G116" s="408"/>
      <c r="H116" s="270"/>
      <c r="I116" s="406" t="s">
        <v>42</v>
      </c>
      <c r="J116" s="407"/>
      <c r="K116" s="408"/>
      <c r="L116" s="284"/>
      <c r="N116" s="35"/>
      <c r="O116" s="36" t="s">
        <v>44</v>
      </c>
      <c r="P116" s="36">
        <v>30</v>
      </c>
      <c r="Q116" s="36">
        <v>1</v>
      </c>
      <c r="R116" s="36">
        <f t="shared" si="22"/>
        <v>14</v>
      </c>
      <c r="S116" s="27"/>
      <c r="T116" s="36" t="s">
        <v>44</v>
      </c>
      <c r="U116" s="63">
        <f>Y115</f>
        <v>56000</v>
      </c>
      <c r="V116" s="38">
        <v>4000</v>
      </c>
      <c r="W116" s="63">
        <f t="shared" ref="W116:W125" si="23">IF(U116="","",U116+V116)</f>
        <v>60000</v>
      </c>
      <c r="X116" s="38"/>
      <c r="Y116" s="63">
        <f t="shared" ref="Y116:Y125" si="24">IF(W116="","",W116-X116)</f>
        <v>60000</v>
      </c>
      <c r="Z116" s="40"/>
    </row>
    <row r="117" spans="1:27" s="25" customFormat="1" ht="18" customHeight="1" x14ac:dyDescent="0.2">
      <c r="A117" s="272"/>
      <c r="B117" s="270"/>
      <c r="C117" s="270"/>
      <c r="D117" s="270"/>
      <c r="E117" s="270"/>
      <c r="F117" s="270"/>
      <c r="G117" s="270"/>
      <c r="H117" s="285"/>
      <c r="I117" s="270"/>
      <c r="J117" s="270"/>
      <c r="K117" s="270"/>
      <c r="L117" s="286"/>
      <c r="N117" s="35"/>
      <c r="O117" s="36" t="s">
        <v>45</v>
      </c>
      <c r="P117" s="36">
        <v>29</v>
      </c>
      <c r="Q117" s="36">
        <v>1</v>
      </c>
      <c r="R117" s="36">
        <f t="shared" si="22"/>
        <v>13</v>
      </c>
      <c r="S117" s="27"/>
      <c r="T117" s="36" t="s">
        <v>45</v>
      </c>
      <c r="U117" s="63">
        <f>IF($J$1="March","",Y116)</f>
        <v>60000</v>
      </c>
      <c r="V117" s="38">
        <v>18000</v>
      </c>
      <c r="W117" s="63">
        <f t="shared" si="23"/>
        <v>78000</v>
      </c>
      <c r="X117" s="38">
        <v>5000</v>
      </c>
      <c r="Y117" s="63">
        <f t="shared" si="24"/>
        <v>73000</v>
      </c>
      <c r="Z117" s="40"/>
    </row>
    <row r="118" spans="1:27" s="25" customFormat="1" ht="18" customHeight="1" x14ac:dyDescent="0.2">
      <c r="A118" s="272"/>
      <c r="B118" s="401" t="s">
        <v>40</v>
      </c>
      <c r="C118" s="402"/>
      <c r="D118" s="270"/>
      <c r="E118" s="270"/>
      <c r="F118" s="287" t="s">
        <v>62</v>
      </c>
      <c r="G118" s="288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73000</v>
      </c>
      <c r="H118" s="285"/>
      <c r="I118" s="289">
        <f>IF(C122&gt;0,$K$2,C120)</f>
        <v>30</v>
      </c>
      <c r="J118" s="290" t="s">
        <v>59</v>
      </c>
      <c r="K118" s="291">
        <f>K114/$K$2*I118</f>
        <v>60000</v>
      </c>
      <c r="L118" s="292"/>
      <c r="N118" s="35"/>
      <c r="O118" s="36" t="s">
        <v>46</v>
      </c>
      <c r="P118" s="36">
        <v>31</v>
      </c>
      <c r="Q118" s="36">
        <v>0</v>
      </c>
      <c r="R118" s="36">
        <f t="shared" si="22"/>
        <v>13</v>
      </c>
      <c r="S118" s="27"/>
      <c r="T118" s="36" t="s">
        <v>46</v>
      </c>
      <c r="U118" s="63">
        <f>Y117</f>
        <v>73000</v>
      </c>
      <c r="V118" s="38">
        <v>5000</v>
      </c>
      <c r="W118" s="63">
        <f t="shared" si="23"/>
        <v>78000</v>
      </c>
      <c r="X118" s="38">
        <v>5000</v>
      </c>
      <c r="Y118" s="63">
        <f t="shared" si="24"/>
        <v>73000</v>
      </c>
      <c r="Z118" s="40"/>
    </row>
    <row r="119" spans="1:27" s="25" customFormat="1" ht="18" customHeight="1" x14ac:dyDescent="0.2">
      <c r="A119" s="272"/>
      <c r="B119" s="293"/>
      <c r="C119" s="293"/>
      <c r="D119" s="270"/>
      <c r="E119" s="270"/>
      <c r="F119" s="287" t="s">
        <v>18</v>
      </c>
      <c r="G119" s="288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285"/>
      <c r="I119" s="289">
        <v>22</v>
      </c>
      <c r="J119" s="290" t="s">
        <v>60</v>
      </c>
      <c r="K119" s="294">
        <f>K114/$K$2/8*I119</f>
        <v>5500</v>
      </c>
      <c r="L119" s="295"/>
      <c r="N119" s="35"/>
      <c r="O119" s="36" t="s">
        <v>47</v>
      </c>
      <c r="P119" s="36"/>
      <c r="Q119" s="36"/>
      <c r="R119" s="36" t="str">
        <f t="shared" si="22"/>
        <v/>
      </c>
      <c r="S119" s="27"/>
      <c r="T119" s="36" t="s">
        <v>47</v>
      </c>
      <c r="U119" s="63">
        <f>Y118</f>
        <v>73000</v>
      </c>
      <c r="V119" s="38"/>
      <c r="W119" s="63">
        <f t="shared" si="23"/>
        <v>73000</v>
      </c>
      <c r="X119" s="38">
        <v>5000</v>
      </c>
      <c r="Y119" s="63">
        <f t="shared" si="24"/>
        <v>68000</v>
      </c>
      <c r="Z119" s="40"/>
    </row>
    <row r="120" spans="1:27" s="25" customFormat="1" ht="18" customHeight="1" x14ac:dyDescent="0.2">
      <c r="A120" s="272"/>
      <c r="B120" s="287" t="s">
        <v>7</v>
      </c>
      <c r="C120" s="293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0</v>
      </c>
      <c r="D120" s="270"/>
      <c r="E120" s="270"/>
      <c r="F120" s="287" t="s">
        <v>63</v>
      </c>
      <c r="G120" s="288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73000</v>
      </c>
      <c r="H120" s="285"/>
      <c r="I120" s="389" t="s">
        <v>67</v>
      </c>
      <c r="J120" s="390"/>
      <c r="K120" s="294">
        <f>K118+K119</f>
        <v>65500</v>
      </c>
      <c r="L120" s="295"/>
      <c r="N120" s="35"/>
      <c r="O120" s="36" t="s">
        <v>48</v>
      </c>
      <c r="P120" s="36"/>
      <c r="Q120" s="36"/>
      <c r="R120" s="36" t="str">
        <f t="shared" si="22"/>
        <v/>
      </c>
      <c r="S120" s="27"/>
      <c r="T120" s="36" t="s">
        <v>48</v>
      </c>
      <c r="U120" s="63"/>
      <c r="V120" s="38"/>
      <c r="W120" s="63" t="str">
        <f t="shared" si="23"/>
        <v/>
      </c>
      <c r="X120" s="38"/>
      <c r="Y120" s="63" t="str">
        <f t="shared" si="24"/>
        <v/>
      </c>
      <c r="Z120" s="40"/>
    </row>
    <row r="121" spans="1:27" s="25" customFormat="1" ht="18" customHeight="1" x14ac:dyDescent="0.2">
      <c r="A121" s="272"/>
      <c r="B121" s="287" t="s">
        <v>6</v>
      </c>
      <c r="C121" s="293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270"/>
      <c r="E121" s="270"/>
      <c r="F121" s="287" t="s">
        <v>19</v>
      </c>
      <c r="G121" s="288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5000</v>
      </c>
      <c r="H121" s="285"/>
      <c r="I121" s="389" t="s">
        <v>68</v>
      </c>
      <c r="J121" s="390"/>
      <c r="K121" s="288">
        <f>G121</f>
        <v>5000</v>
      </c>
      <c r="L121" s="296"/>
      <c r="N121" s="35"/>
      <c r="O121" s="36" t="s">
        <v>49</v>
      </c>
      <c r="P121" s="36"/>
      <c r="Q121" s="36"/>
      <c r="R121" s="36" t="str">
        <f t="shared" si="22"/>
        <v/>
      </c>
      <c r="S121" s="27"/>
      <c r="T121" s="36" t="s">
        <v>49</v>
      </c>
      <c r="U121" s="63"/>
      <c r="V121" s="38"/>
      <c r="W121" s="63" t="str">
        <f t="shared" si="23"/>
        <v/>
      </c>
      <c r="X121" s="38"/>
      <c r="Y121" s="63" t="str">
        <f t="shared" si="24"/>
        <v/>
      </c>
      <c r="Z121" s="40"/>
    </row>
    <row r="122" spans="1:27" s="25" customFormat="1" ht="18" customHeight="1" x14ac:dyDescent="0.2">
      <c r="A122" s="272"/>
      <c r="B122" s="302" t="s">
        <v>66</v>
      </c>
      <c r="C122" s="293" t="str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/>
      </c>
      <c r="D122" s="270"/>
      <c r="E122" s="270"/>
      <c r="F122" s="302" t="s">
        <v>195</v>
      </c>
      <c r="G122" s="288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68000</v>
      </c>
      <c r="H122" s="270"/>
      <c r="I122" s="391" t="s">
        <v>61</v>
      </c>
      <c r="J122" s="391"/>
      <c r="K122" s="229">
        <f>K120-K121</f>
        <v>60500</v>
      </c>
      <c r="L122" s="297"/>
      <c r="N122" s="35"/>
      <c r="O122" s="36" t="s">
        <v>54</v>
      </c>
      <c r="P122" s="36"/>
      <c r="Q122" s="36"/>
      <c r="R122" s="36" t="str">
        <f t="shared" si="22"/>
        <v/>
      </c>
      <c r="S122" s="27"/>
      <c r="T122" s="36" t="s">
        <v>54</v>
      </c>
      <c r="U122" s="63"/>
      <c r="V122" s="38"/>
      <c r="W122" s="63" t="str">
        <f t="shared" si="23"/>
        <v/>
      </c>
      <c r="X122" s="38"/>
      <c r="Y122" s="63" t="str">
        <f t="shared" si="24"/>
        <v/>
      </c>
      <c r="Z122" s="40"/>
    </row>
    <row r="123" spans="1:27" s="25" customFormat="1" ht="18" customHeight="1" x14ac:dyDescent="0.2">
      <c r="A123" s="272"/>
      <c r="B123" s="270"/>
      <c r="C123" s="270"/>
      <c r="D123" s="270"/>
      <c r="E123" s="270"/>
      <c r="F123" s="270"/>
      <c r="G123" s="270"/>
      <c r="H123" s="270"/>
      <c r="I123" s="392"/>
      <c r="J123" s="392"/>
      <c r="K123" s="352"/>
      <c r="L123" s="284"/>
      <c r="N123" s="35"/>
      <c r="O123" s="36" t="s">
        <v>50</v>
      </c>
      <c r="P123" s="36"/>
      <c r="Q123" s="36"/>
      <c r="R123" s="36" t="str">
        <f t="shared" si="22"/>
        <v/>
      </c>
      <c r="S123" s="27"/>
      <c r="T123" s="36" t="s">
        <v>50</v>
      </c>
      <c r="U123" s="63"/>
      <c r="V123" s="38"/>
      <c r="W123" s="63" t="str">
        <f t="shared" si="23"/>
        <v/>
      </c>
      <c r="X123" s="38"/>
      <c r="Y123" s="63" t="str">
        <f t="shared" si="24"/>
        <v/>
      </c>
      <c r="Z123" s="40"/>
    </row>
    <row r="124" spans="1:27" s="25" customFormat="1" ht="18" customHeight="1" x14ac:dyDescent="0.3">
      <c r="A124" s="272"/>
      <c r="B124" s="268"/>
      <c r="C124" s="268"/>
      <c r="D124" s="268"/>
      <c r="E124" s="268"/>
      <c r="F124" s="268"/>
      <c r="G124" s="268"/>
      <c r="H124" s="268"/>
      <c r="I124" s="392"/>
      <c r="J124" s="392"/>
      <c r="K124" s="352"/>
      <c r="L124" s="284"/>
      <c r="N124" s="35"/>
      <c r="O124" s="36" t="s">
        <v>55</v>
      </c>
      <c r="P124" s="36"/>
      <c r="Q124" s="36"/>
      <c r="R124" s="36" t="str">
        <f t="shared" si="22"/>
        <v/>
      </c>
      <c r="S124" s="27"/>
      <c r="T124" s="36" t="s">
        <v>55</v>
      </c>
      <c r="U124" s="63"/>
      <c r="V124" s="38"/>
      <c r="W124" s="63" t="str">
        <f t="shared" si="23"/>
        <v/>
      </c>
      <c r="X124" s="38"/>
      <c r="Y124" s="63" t="str">
        <f t="shared" si="24"/>
        <v/>
      </c>
      <c r="Z124" s="40"/>
    </row>
    <row r="125" spans="1:27" s="25" customFormat="1" ht="18" customHeight="1" thickBot="1" x14ac:dyDescent="0.35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0"/>
      <c r="N125" s="35"/>
      <c r="O125" s="36" t="s">
        <v>56</v>
      </c>
      <c r="P125" s="36"/>
      <c r="Q125" s="36"/>
      <c r="R125" s="36" t="str">
        <f t="shared" si="22"/>
        <v/>
      </c>
      <c r="S125" s="27"/>
      <c r="T125" s="36" t="s">
        <v>56</v>
      </c>
      <c r="U125" s="63"/>
      <c r="V125" s="38"/>
      <c r="W125" s="63" t="str">
        <f t="shared" si="23"/>
        <v/>
      </c>
      <c r="X125" s="38"/>
      <c r="Y125" s="63" t="str">
        <f t="shared" si="24"/>
        <v/>
      </c>
      <c r="Z125" s="40"/>
    </row>
    <row r="126" spans="1:27" s="56" customFormat="1" ht="18" customHeight="1" thickBot="1" x14ac:dyDescent="0.25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403" t="s">
        <v>38</v>
      </c>
      <c r="B127" s="404"/>
      <c r="C127" s="404"/>
      <c r="D127" s="404"/>
      <c r="E127" s="404"/>
      <c r="F127" s="404"/>
      <c r="G127" s="404"/>
      <c r="H127" s="404"/>
      <c r="I127" s="404"/>
      <c r="J127" s="404"/>
      <c r="K127" s="404"/>
      <c r="L127" s="405"/>
      <c r="M127" s="24"/>
      <c r="N127" s="28"/>
      <c r="O127" s="396" t="s">
        <v>40</v>
      </c>
      <c r="P127" s="397"/>
      <c r="Q127" s="397"/>
      <c r="R127" s="398"/>
      <c r="S127" s="29"/>
      <c r="T127" s="396" t="s">
        <v>41</v>
      </c>
      <c r="U127" s="397"/>
      <c r="V127" s="397"/>
      <c r="W127" s="397"/>
      <c r="X127" s="397"/>
      <c r="Y127" s="398"/>
      <c r="Z127" s="30"/>
      <c r="AA127" s="24"/>
    </row>
    <row r="128" spans="1:27" s="25" customFormat="1" ht="18" customHeight="1" x14ac:dyDescent="0.2">
      <c r="A128" s="272"/>
      <c r="B128" s="270"/>
      <c r="C128" s="399" t="s">
        <v>202</v>
      </c>
      <c r="D128" s="399"/>
      <c r="E128" s="399"/>
      <c r="F128" s="399"/>
      <c r="G128" s="273" t="str">
        <f>$J$1</f>
        <v>June</v>
      </c>
      <c r="H128" s="400">
        <f>$K$1</f>
        <v>2024</v>
      </c>
      <c r="I128" s="400"/>
      <c r="J128" s="270"/>
      <c r="K128" s="274"/>
      <c r="L128" s="275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2"/>
      <c r="B129" s="270"/>
      <c r="C129" s="270"/>
      <c r="D129" s="276"/>
      <c r="E129" s="276"/>
      <c r="F129" s="276"/>
      <c r="G129" s="276"/>
      <c r="H129" s="276"/>
      <c r="I129" s="270"/>
      <c r="J129" s="277" t="s">
        <v>1</v>
      </c>
      <c r="K129" s="278">
        <f>35000+7000</f>
        <v>42000</v>
      </c>
      <c r="L129" s="279"/>
      <c r="N129" s="35"/>
      <c r="O129" s="36" t="s">
        <v>43</v>
      </c>
      <c r="P129" s="36">
        <v>30</v>
      </c>
      <c r="Q129" s="36">
        <v>1</v>
      </c>
      <c r="R129" s="36">
        <f>15-Q129+2+4</f>
        <v>20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2"/>
      <c r="B130" s="270" t="s">
        <v>0</v>
      </c>
      <c r="C130" s="269" t="s">
        <v>74</v>
      </c>
      <c r="D130" s="270"/>
      <c r="E130" s="270"/>
      <c r="F130" s="270"/>
      <c r="G130" s="276"/>
      <c r="H130" s="280"/>
      <c r="I130" s="276"/>
      <c r="J130" s="270"/>
      <c r="K130" s="270"/>
      <c r="L130" s="281"/>
      <c r="M130" s="24"/>
      <c r="N130" s="39"/>
      <c r="O130" s="36" t="s">
        <v>69</v>
      </c>
      <c r="P130" s="36">
        <v>26</v>
      </c>
      <c r="Q130" s="36">
        <v>3</v>
      </c>
      <c r="R130" s="36">
        <f t="shared" ref="R130:R140" si="25">IF(Q130="","",R129-Q130)</f>
        <v>17</v>
      </c>
      <c r="S130" s="27"/>
      <c r="T130" s="36" t="s">
        <v>69</v>
      </c>
      <c r="U130" s="63">
        <f t="shared" ref="U130:U135" si="26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2"/>
      <c r="B131" s="282" t="s">
        <v>39</v>
      </c>
      <c r="C131" s="283"/>
      <c r="D131" s="270"/>
      <c r="E131" s="270"/>
      <c r="F131" s="406" t="s">
        <v>41</v>
      </c>
      <c r="G131" s="408"/>
      <c r="H131" s="270"/>
      <c r="I131" s="406" t="s">
        <v>42</v>
      </c>
      <c r="J131" s="407"/>
      <c r="K131" s="408"/>
      <c r="L131" s="284"/>
      <c r="N131" s="35"/>
      <c r="O131" s="36" t="s">
        <v>44</v>
      </c>
      <c r="P131" s="36">
        <v>31</v>
      </c>
      <c r="Q131" s="36">
        <v>0</v>
      </c>
      <c r="R131" s="36">
        <f t="shared" si="25"/>
        <v>17</v>
      </c>
      <c r="S131" s="27"/>
      <c r="T131" s="36" t="s">
        <v>44</v>
      </c>
      <c r="U131" s="63">
        <f t="shared" si="26"/>
        <v>0</v>
      </c>
      <c r="V131" s="38"/>
      <c r="W131" s="63">
        <f t="shared" ref="W131:W140" si="27">IF(U131="","",U131+V131)</f>
        <v>0</v>
      </c>
      <c r="X131" s="38"/>
      <c r="Y131" s="63">
        <f t="shared" ref="Y131:Y140" si="28">IF(W131="","",W131-X131)</f>
        <v>0</v>
      </c>
      <c r="Z131" s="40"/>
    </row>
    <row r="132" spans="1:28" s="25" customFormat="1" ht="18" customHeight="1" x14ac:dyDescent="0.2">
      <c r="A132" s="272"/>
      <c r="B132" s="270"/>
      <c r="C132" s="270"/>
      <c r="D132" s="270"/>
      <c r="E132" s="270"/>
      <c r="F132" s="270"/>
      <c r="G132" s="270"/>
      <c r="H132" s="285"/>
      <c r="I132" s="270"/>
      <c r="J132" s="270"/>
      <c r="K132" s="270"/>
      <c r="L132" s="286"/>
      <c r="N132" s="35"/>
      <c r="O132" s="36" t="s">
        <v>45</v>
      </c>
      <c r="P132" s="36">
        <v>28</v>
      </c>
      <c r="Q132" s="36">
        <v>2</v>
      </c>
      <c r="R132" s="36">
        <f t="shared" si="25"/>
        <v>15</v>
      </c>
      <c r="S132" s="27"/>
      <c r="T132" s="36" t="s">
        <v>45</v>
      </c>
      <c r="U132" s="63">
        <f t="shared" si="26"/>
        <v>0</v>
      </c>
      <c r="V132" s="38"/>
      <c r="W132" s="63">
        <f t="shared" si="27"/>
        <v>0</v>
      </c>
      <c r="X132" s="38"/>
      <c r="Y132" s="63">
        <f t="shared" si="28"/>
        <v>0</v>
      </c>
      <c r="Z132" s="40"/>
      <c r="AB132" s="65">
        <f>K137+K122</f>
        <v>106175</v>
      </c>
    </row>
    <row r="133" spans="1:28" s="25" customFormat="1" ht="18" customHeight="1" x14ac:dyDescent="0.2">
      <c r="A133" s="272"/>
      <c r="B133" s="401" t="s">
        <v>40</v>
      </c>
      <c r="C133" s="402"/>
      <c r="D133" s="270"/>
      <c r="E133" s="270"/>
      <c r="F133" s="287" t="s">
        <v>62</v>
      </c>
      <c r="G133" s="288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5"/>
      <c r="I133" s="289">
        <f>IF(C137&gt;0,$K$2,C135)</f>
        <v>30</v>
      </c>
      <c r="J133" s="290" t="s">
        <v>59</v>
      </c>
      <c r="K133" s="291">
        <f>K129/$K$2*I133</f>
        <v>42000</v>
      </c>
      <c r="L133" s="292"/>
      <c r="N133" s="35"/>
      <c r="O133" s="36" t="s">
        <v>46</v>
      </c>
      <c r="P133" s="36">
        <v>31</v>
      </c>
      <c r="Q133" s="36">
        <v>0</v>
      </c>
      <c r="R133" s="36">
        <f t="shared" si="25"/>
        <v>15</v>
      </c>
      <c r="S133" s="27"/>
      <c r="T133" s="36" t="s">
        <v>46</v>
      </c>
      <c r="U133" s="63">
        <f t="shared" si="26"/>
        <v>0</v>
      </c>
      <c r="V133" s="38"/>
      <c r="W133" s="63">
        <f t="shared" si="27"/>
        <v>0</v>
      </c>
      <c r="X133" s="38"/>
      <c r="Y133" s="63">
        <f t="shared" si="28"/>
        <v>0</v>
      </c>
      <c r="Z133" s="40"/>
    </row>
    <row r="134" spans="1:28" s="25" customFormat="1" ht="18" customHeight="1" x14ac:dyDescent="0.2">
      <c r="A134" s="272"/>
      <c r="B134" s="293"/>
      <c r="C134" s="293"/>
      <c r="D134" s="270"/>
      <c r="E134" s="270"/>
      <c r="F134" s="287" t="s">
        <v>18</v>
      </c>
      <c r="G134" s="288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5"/>
      <c r="I134" s="289">
        <v>21</v>
      </c>
      <c r="J134" s="290" t="s">
        <v>60</v>
      </c>
      <c r="K134" s="294">
        <f>K129/$K$2/8*I134</f>
        <v>3675</v>
      </c>
      <c r="L134" s="295"/>
      <c r="N134" s="35"/>
      <c r="O134" s="36" t="s">
        <v>47</v>
      </c>
      <c r="P134" s="36">
        <v>30</v>
      </c>
      <c r="Q134" s="36">
        <v>0</v>
      </c>
      <c r="R134" s="36">
        <f t="shared" si="25"/>
        <v>15</v>
      </c>
      <c r="S134" s="27"/>
      <c r="T134" s="36" t="s">
        <v>47</v>
      </c>
      <c r="U134" s="63">
        <f t="shared" si="26"/>
        <v>0</v>
      </c>
      <c r="V134" s="38"/>
      <c r="W134" s="63">
        <f t="shared" si="27"/>
        <v>0</v>
      </c>
      <c r="X134" s="38"/>
      <c r="Y134" s="63">
        <f t="shared" si="28"/>
        <v>0</v>
      </c>
      <c r="Z134" s="40"/>
    </row>
    <row r="135" spans="1:28" s="25" customFormat="1" ht="18" customHeight="1" x14ac:dyDescent="0.2">
      <c r="A135" s="272"/>
      <c r="B135" s="287" t="s">
        <v>7</v>
      </c>
      <c r="C135" s="293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30</v>
      </c>
      <c r="D135" s="270"/>
      <c r="E135" s="270"/>
      <c r="F135" s="287" t="s">
        <v>63</v>
      </c>
      <c r="G135" s="288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5"/>
      <c r="I135" s="389" t="s">
        <v>67</v>
      </c>
      <c r="J135" s="390"/>
      <c r="K135" s="294">
        <f>K133+K134</f>
        <v>45675</v>
      </c>
      <c r="L135" s="295"/>
      <c r="N135" s="35"/>
      <c r="O135" s="36" t="s">
        <v>48</v>
      </c>
      <c r="P135" s="36"/>
      <c r="Q135" s="36"/>
      <c r="R135" s="36" t="str">
        <f t="shared" si="25"/>
        <v/>
      </c>
      <c r="S135" s="27"/>
      <c r="T135" s="36" t="s">
        <v>48</v>
      </c>
      <c r="U135" s="63">
        <f t="shared" si="26"/>
        <v>0</v>
      </c>
      <c r="V135" s="38"/>
      <c r="W135" s="63">
        <f t="shared" si="27"/>
        <v>0</v>
      </c>
      <c r="X135" s="38"/>
      <c r="Y135" s="63">
        <f t="shared" si="28"/>
        <v>0</v>
      </c>
      <c r="Z135" s="40"/>
    </row>
    <row r="136" spans="1:28" s="25" customFormat="1" ht="18" customHeight="1" x14ac:dyDescent="0.2">
      <c r="A136" s="272"/>
      <c r="B136" s="287" t="s">
        <v>6</v>
      </c>
      <c r="C136" s="293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6" s="270"/>
      <c r="E136" s="270"/>
      <c r="F136" s="287" t="s">
        <v>19</v>
      </c>
      <c r="G136" s="288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5"/>
      <c r="I136" s="389" t="s">
        <v>68</v>
      </c>
      <c r="J136" s="390"/>
      <c r="K136" s="288">
        <f>G136</f>
        <v>0</v>
      </c>
      <c r="L136" s="296"/>
      <c r="N136" s="35"/>
      <c r="O136" s="36" t="s">
        <v>49</v>
      </c>
      <c r="P136" s="36"/>
      <c r="Q136" s="36"/>
      <c r="R136" s="36" t="str">
        <f t="shared" si="25"/>
        <v/>
      </c>
      <c r="S136" s="27"/>
      <c r="T136" s="36" t="s">
        <v>49</v>
      </c>
      <c r="U136" s="63">
        <f>Y135</f>
        <v>0</v>
      </c>
      <c r="V136" s="38"/>
      <c r="W136" s="63">
        <f t="shared" si="27"/>
        <v>0</v>
      </c>
      <c r="X136" s="38"/>
      <c r="Y136" s="63">
        <f t="shared" si="28"/>
        <v>0</v>
      </c>
      <c r="Z136" s="40"/>
    </row>
    <row r="137" spans="1:28" s="25" customFormat="1" ht="18" customHeight="1" x14ac:dyDescent="0.2">
      <c r="A137" s="272"/>
      <c r="B137" s="302" t="s">
        <v>66</v>
      </c>
      <c r="C137" s="293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15</v>
      </c>
      <c r="D137" s="270"/>
      <c r="E137" s="270"/>
      <c r="F137" s="302" t="s">
        <v>195</v>
      </c>
      <c r="G137" s="288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0"/>
      <c r="I137" s="391" t="s">
        <v>61</v>
      </c>
      <c r="J137" s="391"/>
      <c r="K137" s="229">
        <f>K135-K136</f>
        <v>45675</v>
      </c>
      <c r="L137" s="297"/>
      <c r="N137" s="35"/>
      <c r="O137" s="36" t="s">
        <v>54</v>
      </c>
      <c r="P137" s="36"/>
      <c r="Q137" s="36"/>
      <c r="R137" s="36" t="str">
        <f t="shared" si="25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7"/>
        <v/>
      </c>
      <c r="X137" s="38"/>
      <c r="Y137" s="63" t="str">
        <f t="shared" si="28"/>
        <v/>
      </c>
      <c r="Z137" s="40"/>
    </row>
    <row r="138" spans="1:28" s="25" customFormat="1" ht="18" customHeight="1" x14ac:dyDescent="0.2">
      <c r="A138" s="272"/>
      <c r="B138" s="270"/>
      <c r="C138" s="270"/>
      <c r="D138" s="270"/>
      <c r="E138" s="270"/>
      <c r="F138" s="270"/>
      <c r="G138" s="270"/>
      <c r="H138" s="270"/>
      <c r="I138" s="392"/>
      <c r="J138" s="392"/>
      <c r="K138" s="352"/>
      <c r="L138" s="284"/>
      <c r="N138" s="35"/>
      <c r="O138" s="36" t="s">
        <v>50</v>
      </c>
      <c r="P138" s="36"/>
      <c r="Q138" s="36"/>
      <c r="R138" s="36" t="str">
        <f t="shared" si="25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7"/>
        <v/>
      </c>
      <c r="X138" s="38"/>
      <c r="Y138" s="63" t="str">
        <f t="shared" si="28"/>
        <v/>
      </c>
      <c r="Z138" s="40"/>
    </row>
    <row r="139" spans="1:28" s="25" customFormat="1" ht="18" customHeight="1" x14ac:dyDescent="0.3">
      <c r="A139" s="272"/>
      <c r="B139" s="268"/>
      <c r="C139" s="268"/>
      <c r="D139" s="268"/>
      <c r="E139" s="268"/>
      <c r="F139" s="268"/>
      <c r="G139" s="268"/>
      <c r="H139" s="268"/>
      <c r="I139" s="392"/>
      <c r="J139" s="392"/>
      <c r="K139" s="352"/>
      <c r="L139" s="284"/>
      <c r="N139" s="35"/>
      <c r="O139" s="36" t="s">
        <v>55</v>
      </c>
      <c r="P139" s="36"/>
      <c r="Q139" s="36"/>
      <c r="R139" s="36" t="str">
        <f t="shared" si="25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7"/>
        <v/>
      </c>
      <c r="X139" s="38"/>
      <c r="Y139" s="63" t="str">
        <f t="shared" si="28"/>
        <v/>
      </c>
      <c r="Z139" s="40"/>
    </row>
    <row r="140" spans="1:28" s="25" customFormat="1" ht="18" customHeight="1" thickBot="1" x14ac:dyDescent="0.35">
      <c r="A140" s="298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300"/>
      <c r="N140" s="35"/>
      <c r="O140" s="36" t="s">
        <v>56</v>
      </c>
      <c r="P140" s="36"/>
      <c r="Q140" s="36"/>
      <c r="R140" s="36" t="str">
        <f t="shared" si="25"/>
        <v/>
      </c>
      <c r="S140" s="27"/>
      <c r="T140" s="36" t="s">
        <v>56</v>
      </c>
      <c r="U140" s="63">
        <v>0</v>
      </c>
      <c r="V140" s="38"/>
      <c r="W140" s="63">
        <f t="shared" si="27"/>
        <v>0</v>
      </c>
      <c r="X140" s="38"/>
      <c r="Y140" s="63">
        <f t="shared" si="28"/>
        <v>0</v>
      </c>
      <c r="Z140" s="40"/>
    </row>
    <row r="141" spans="1:28" s="56" customFormat="1" ht="18" customHeight="1" thickBot="1" x14ac:dyDescent="0.25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403" t="s">
        <v>38</v>
      </c>
      <c r="B142" s="404"/>
      <c r="C142" s="404"/>
      <c r="D142" s="404"/>
      <c r="E142" s="404"/>
      <c r="F142" s="404"/>
      <c r="G142" s="404"/>
      <c r="H142" s="404"/>
      <c r="I142" s="404"/>
      <c r="J142" s="404"/>
      <c r="K142" s="404"/>
      <c r="L142" s="405"/>
      <c r="M142" s="24"/>
      <c r="N142" s="28"/>
      <c r="O142" s="396" t="s">
        <v>40</v>
      </c>
      <c r="P142" s="397"/>
      <c r="Q142" s="397"/>
      <c r="R142" s="398"/>
      <c r="S142" s="29"/>
      <c r="T142" s="396" t="s">
        <v>41</v>
      </c>
      <c r="U142" s="397"/>
      <c r="V142" s="397"/>
      <c r="W142" s="397"/>
      <c r="X142" s="397"/>
      <c r="Y142" s="398"/>
      <c r="Z142" s="30"/>
      <c r="AA142" s="24"/>
    </row>
    <row r="143" spans="1:28" s="25" customFormat="1" ht="18" customHeight="1" x14ac:dyDescent="0.2">
      <c r="A143" s="272"/>
      <c r="B143" s="270"/>
      <c r="C143" s="399" t="s">
        <v>202</v>
      </c>
      <c r="D143" s="399"/>
      <c r="E143" s="399"/>
      <c r="F143" s="399"/>
      <c r="G143" s="273" t="str">
        <f>$J$1</f>
        <v>June</v>
      </c>
      <c r="H143" s="400">
        <f>$K$1</f>
        <v>2024</v>
      </c>
      <c r="I143" s="400"/>
      <c r="J143" s="270"/>
      <c r="K143" s="274"/>
      <c r="L143" s="275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2"/>
      <c r="B144" s="270"/>
      <c r="C144" s="270"/>
      <c r="D144" s="276"/>
      <c r="E144" s="276"/>
      <c r="F144" s="276"/>
      <c r="G144" s="276"/>
      <c r="H144" s="276"/>
      <c r="I144" s="270"/>
      <c r="J144" s="277" t="s">
        <v>1</v>
      </c>
      <c r="K144" s="278">
        <f>30000+5000</f>
        <v>35000</v>
      </c>
      <c r="L144" s="279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2"/>
      <c r="B145" s="270" t="s">
        <v>0</v>
      </c>
      <c r="C145" s="269" t="s">
        <v>21</v>
      </c>
      <c r="D145" s="270"/>
      <c r="E145" s="270"/>
      <c r="F145" s="270"/>
      <c r="G145" s="270"/>
      <c r="H145" s="280"/>
      <c r="I145" s="276"/>
      <c r="J145" s="270"/>
      <c r="K145" s="270"/>
      <c r="L145" s="281"/>
      <c r="M145" s="24"/>
      <c r="N145" s="39"/>
      <c r="O145" s="36" t="s">
        <v>69</v>
      </c>
      <c r="P145" s="36">
        <v>29</v>
      </c>
      <c r="Q145" s="36">
        <v>0</v>
      </c>
      <c r="R145" s="36">
        <f t="shared" ref="R145:R155" si="29">IF(Q145="","",R144-Q145)</f>
        <v>7</v>
      </c>
      <c r="S145" s="27"/>
      <c r="T145" s="36" t="s">
        <v>69</v>
      </c>
      <c r="U145" s="63">
        <f>Y144</f>
        <v>35867</v>
      </c>
      <c r="V145" s="38">
        <v>3000</v>
      </c>
      <c r="W145" s="63">
        <f>IF(U145="","",U145+V145)</f>
        <v>38867</v>
      </c>
      <c r="X145" s="38">
        <v>3000</v>
      </c>
      <c r="Y145" s="63">
        <f>IF(W145="","",W145-X145)</f>
        <v>35867</v>
      </c>
      <c r="Z145" s="40"/>
      <c r="AA145" s="24"/>
    </row>
    <row r="146" spans="1:27" s="25" customFormat="1" ht="18" customHeight="1" x14ac:dyDescent="0.2">
      <c r="A146" s="272"/>
      <c r="B146" s="282" t="s">
        <v>39</v>
      </c>
      <c r="C146" s="283"/>
      <c r="D146" s="270"/>
      <c r="E146" s="270"/>
      <c r="F146" s="406" t="s">
        <v>41</v>
      </c>
      <c r="G146" s="408"/>
      <c r="H146" s="270"/>
      <c r="I146" s="406" t="s">
        <v>42</v>
      </c>
      <c r="J146" s="407"/>
      <c r="K146" s="408"/>
      <c r="L146" s="284"/>
      <c r="N146" s="35"/>
      <c r="O146" s="36" t="s">
        <v>44</v>
      </c>
      <c r="P146" s="36">
        <v>31</v>
      </c>
      <c r="Q146" s="36">
        <v>0</v>
      </c>
      <c r="R146" s="36">
        <f t="shared" si="29"/>
        <v>7</v>
      </c>
      <c r="S146" s="27"/>
      <c r="T146" s="36" t="s">
        <v>44</v>
      </c>
      <c r="U146" s="63">
        <f>Y145</f>
        <v>35867</v>
      </c>
      <c r="V146" s="38">
        <v>10000</v>
      </c>
      <c r="W146" s="63">
        <f t="shared" ref="W146:W155" si="30">IF(U146="","",U146+V146)</f>
        <v>45867</v>
      </c>
      <c r="X146" s="38">
        <v>5000</v>
      </c>
      <c r="Y146" s="63">
        <f t="shared" ref="Y146:Y155" si="31">IF(W146="","",W146-X146)</f>
        <v>40867</v>
      </c>
      <c r="Z146" s="40"/>
    </row>
    <row r="147" spans="1:27" s="25" customFormat="1" ht="18" customHeight="1" x14ac:dyDescent="0.2">
      <c r="A147" s="272"/>
      <c r="B147" s="270"/>
      <c r="C147" s="270"/>
      <c r="D147" s="270"/>
      <c r="E147" s="270"/>
      <c r="F147" s="270"/>
      <c r="G147" s="270"/>
      <c r="H147" s="285"/>
      <c r="I147" s="270"/>
      <c r="J147" s="270"/>
      <c r="K147" s="270"/>
      <c r="L147" s="286"/>
      <c r="N147" s="35"/>
      <c r="O147" s="36" t="s">
        <v>45</v>
      </c>
      <c r="P147" s="36">
        <v>28</v>
      </c>
      <c r="Q147" s="36">
        <v>2</v>
      </c>
      <c r="R147" s="36">
        <f t="shared" si="29"/>
        <v>5</v>
      </c>
      <c r="S147" s="27"/>
      <c r="T147" s="36" t="s">
        <v>45</v>
      </c>
      <c r="U147" s="63">
        <f>IF($J$1="March","",Y146)</f>
        <v>40867</v>
      </c>
      <c r="V147" s="38"/>
      <c r="W147" s="63">
        <f t="shared" si="30"/>
        <v>40867</v>
      </c>
      <c r="X147" s="38">
        <v>5000</v>
      </c>
      <c r="Y147" s="63">
        <f t="shared" si="31"/>
        <v>35867</v>
      </c>
      <c r="Z147" s="40"/>
    </row>
    <row r="148" spans="1:27" s="25" customFormat="1" ht="18" customHeight="1" x14ac:dyDescent="0.2">
      <c r="A148" s="272"/>
      <c r="B148" s="401" t="s">
        <v>40</v>
      </c>
      <c r="C148" s="402"/>
      <c r="D148" s="270"/>
      <c r="E148" s="270"/>
      <c r="F148" s="287" t="s">
        <v>62</v>
      </c>
      <c r="G148" s="288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35867</v>
      </c>
      <c r="H148" s="285"/>
      <c r="I148" s="289">
        <f>IF(C152&gt;0,$K$2,C150)</f>
        <v>30</v>
      </c>
      <c r="J148" s="290" t="s">
        <v>59</v>
      </c>
      <c r="K148" s="291">
        <f>K144/$K$2*I148</f>
        <v>35000</v>
      </c>
      <c r="L148" s="292"/>
      <c r="N148" s="35"/>
      <c r="O148" s="36" t="s">
        <v>46</v>
      </c>
      <c r="P148" s="36">
        <v>31</v>
      </c>
      <c r="Q148" s="36">
        <v>0</v>
      </c>
      <c r="R148" s="36">
        <f t="shared" si="29"/>
        <v>5</v>
      </c>
      <c r="S148" s="27"/>
      <c r="T148" s="36" t="s">
        <v>46</v>
      </c>
      <c r="U148" s="63">
        <f>Y147</f>
        <v>35867</v>
      </c>
      <c r="V148" s="38"/>
      <c r="W148" s="63">
        <f t="shared" si="30"/>
        <v>35867</v>
      </c>
      <c r="X148" s="38"/>
      <c r="Y148" s="63">
        <f t="shared" si="31"/>
        <v>35867</v>
      </c>
      <c r="Z148" s="40"/>
    </row>
    <row r="149" spans="1:27" s="25" customFormat="1" ht="18" customHeight="1" x14ac:dyDescent="0.2">
      <c r="A149" s="272"/>
      <c r="B149" s="293"/>
      <c r="C149" s="293"/>
      <c r="D149" s="270"/>
      <c r="E149" s="270"/>
      <c r="F149" s="287" t="s">
        <v>18</v>
      </c>
      <c r="G149" s="288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5000</v>
      </c>
      <c r="H149" s="285"/>
      <c r="I149" s="357">
        <v>86.8</v>
      </c>
      <c r="J149" s="290" t="s">
        <v>60</v>
      </c>
      <c r="K149" s="294">
        <f>K144/$K$2/8*I149</f>
        <v>12658.333333333334</v>
      </c>
      <c r="L149" s="295"/>
      <c r="N149" s="35"/>
      <c r="O149" s="36" t="s">
        <v>47</v>
      </c>
      <c r="P149" s="36"/>
      <c r="Q149" s="36"/>
      <c r="R149" s="36" t="str">
        <f t="shared" si="29"/>
        <v/>
      </c>
      <c r="S149" s="27"/>
      <c r="T149" s="36" t="s">
        <v>47</v>
      </c>
      <c r="U149" s="63">
        <f>Y148</f>
        <v>35867</v>
      </c>
      <c r="V149" s="38">
        <v>5000</v>
      </c>
      <c r="W149" s="63">
        <f t="shared" si="30"/>
        <v>40867</v>
      </c>
      <c r="X149" s="38">
        <v>5000</v>
      </c>
      <c r="Y149" s="63">
        <f t="shared" si="31"/>
        <v>35867</v>
      </c>
      <c r="Z149" s="40"/>
    </row>
    <row r="150" spans="1:27" s="25" customFormat="1" ht="18" customHeight="1" x14ac:dyDescent="0.2">
      <c r="A150" s="272"/>
      <c r="B150" s="287" t="s">
        <v>7</v>
      </c>
      <c r="C150" s="293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0</v>
      </c>
      <c r="D150" s="270"/>
      <c r="E150" s="270"/>
      <c r="F150" s="287" t="s">
        <v>63</v>
      </c>
      <c r="G150" s="288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40867</v>
      </c>
      <c r="H150" s="285"/>
      <c r="I150" s="389" t="s">
        <v>67</v>
      </c>
      <c r="J150" s="390"/>
      <c r="K150" s="294">
        <f>K148+K149</f>
        <v>47658.333333333336</v>
      </c>
      <c r="L150" s="295"/>
      <c r="N150" s="35"/>
      <c r="O150" s="36" t="s">
        <v>48</v>
      </c>
      <c r="P150" s="36"/>
      <c r="Q150" s="36"/>
      <c r="R150" s="36" t="str">
        <f t="shared" si="29"/>
        <v/>
      </c>
      <c r="S150" s="27"/>
      <c r="T150" s="36" t="s">
        <v>48</v>
      </c>
      <c r="U150" s="63"/>
      <c r="V150" s="38"/>
      <c r="W150" s="63" t="str">
        <f t="shared" si="30"/>
        <v/>
      </c>
      <c r="X150" s="38"/>
      <c r="Y150" s="63" t="str">
        <f t="shared" si="31"/>
        <v/>
      </c>
      <c r="Z150" s="40"/>
    </row>
    <row r="151" spans="1:27" s="25" customFormat="1" ht="18" customHeight="1" x14ac:dyDescent="0.2">
      <c r="A151" s="272"/>
      <c r="B151" s="287" t="s">
        <v>6</v>
      </c>
      <c r="C151" s="293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0"/>
      <c r="E151" s="270"/>
      <c r="F151" s="287" t="s">
        <v>19</v>
      </c>
      <c r="G151" s="288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5000</v>
      </c>
      <c r="H151" s="285"/>
      <c r="I151" s="389" t="s">
        <v>68</v>
      </c>
      <c r="J151" s="390"/>
      <c r="K151" s="288">
        <f>G151</f>
        <v>5000</v>
      </c>
      <c r="L151" s="296"/>
      <c r="N151" s="35"/>
      <c r="O151" s="36" t="s">
        <v>49</v>
      </c>
      <c r="P151" s="36"/>
      <c r="Q151" s="36"/>
      <c r="R151" s="36" t="str">
        <f t="shared" si="29"/>
        <v/>
      </c>
      <c r="S151" s="27"/>
      <c r="T151" s="36" t="s">
        <v>49</v>
      </c>
      <c r="U151" s="63"/>
      <c r="V151" s="38"/>
      <c r="W151" s="63" t="str">
        <f t="shared" si="30"/>
        <v/>
      </c>
      <c r="X151" s="38"/>
      <c r="Y151" s="63" t="str">
        <f t="shared" si="31"/>
        <v/>
      </c>
      <c r="Z151" s="40"/>
    </row>
    <row r="152" spans="1:27" s="25" customFormat="1" ht="18" customHeight="1" x14ac:dyDescent="0.2">
      <c r="A152" s="272"/>
      <c r="B152" s="302" t="s">
        <v>66</v>
      </c>
      <c r="C152" s="293" t="str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/>
      </c>
      <c r="D152" s="270"/>
      <c r="E152" s="270"/>
      <c r="F152" s="302" t="s">
        <v>195</v>
      </c>
      <c r="G152" s="288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35867</v>
      </c>
      <c r="H152" s="270"/>
      <c r="I152" s="391" t="s">
        <v>61</v>
      </c>
      <c r="J152" s="391"/>
      <c r="K152" s="229">
        <f>K150-K151</f>
        <v>42658.333333333336</v>
      </c>
      <c r="L152" s="297"/>
      <c r="N152" s="35"/>
      <c r="O152" s="36" t="s">
        <v>54</v>
      </c>
      <c r="P152" s="36"/>
      <c r="Q152" s="36"/>
      <c r="R152" s="36" t="str">
        <f t="shared" si="29"/>
        <v/>
      </c>
      <c r="S152" s="27"/>
      <c r="T152" s="36" t="s">
        <v>54</v>
      </c>
      <c r="U152" s="63"/>
      <c r="V152" s="38"/>
      <c r="W152" s="63" t="str">
        <f t="shared" si="30"/>
        <v/>
      </c>
      <c r="X152" s="38"/>
      <c r="Y152" s="63" t="str">
        <f t="shared" si="31"/>
        <v/>
      </c>
      <c r="Z152" s="40"/>
    </row>
    <row r="153" spans="1:27" s="25" customFormat="1" ht="18" customHeight="1" x14ac:dyDescent="0.2">
      <c r="A153" s="272"/>
      <c r="B153" s="270"/>
      <c r="C153" s="270"/>
      <c r="D153" s="270"/>
      <c r="E153" s="270"/>
      <c r="F153" s="270"/>
      <c r="G153" s="270"/>
      <c r="H153" s="270"/>
      <c r="I153" s="392"/>
      <c r="J153" s="392"/>
      <c r="K153" s="352"/>
      <c r="L153" s="284"/>
      <c r="N153" s="35"/>
      <c r="O153" s="36" t="s">
        <v>50</v>
      </c>
      <c r="P153" s="36"/>
      <c r="Q153" s="36"/>
      <c r="R153" s="36" t="str">
        <f t="shared" si="29"/>
        <v/>
      </c>
      <c r="S153" s="27"/>
      <c r="T153" s="36" t="s">
        <v>50</v>
      </c>
      <c r="U153" s="63"/>
      <c r="V153" s="38"/>
      <c r="W153" s="63" t="str">
        <f t="shared" si="30"/>
        <v/>
      </c>
      <c r="X153" s="38"/>
      <c r="Y153" s="63" t="str">
        <f t="shared" si="31"/>
        <v/>
      </c>
      <c r="Z153" s="40"/>
    </row>
    <row r="154" spans="1:27" s="25" customFormat="1" ht="18" customHeight="1" x14ac:dyDescent="0.3">
      <c r="A154" s="272"/>
      <c r="B154" s="268"/>
      <c r="C154" s="268"/>
      <c r="D154" s="268"/>
      <c r="E154" s="268"/>
      <c r="F154" s="268"/>
      <c r="G154" s="268"/>
      <c r="H154" s="268"/>
      <c r="I154" s="392"/>
      <c r="J154" s="392"/>
      <c r="K154" s="352"/>
      <c r="L154" s="284"/>
      <c r="N154" s="35"/>
      <c r="O154" s="36" t="s">
        <v>55</v>
      </c>
      <c r="P154" s="36"/>
      <c r="Q154" s="36"/>
      <c r="R154" s="36" t="str">
        <f t="shared" si="29"/>
        <v/>
      </c>
      <c r="S154" s="27"/>
      <c r="T154" s="36" t="s">
        <v>55</v>
      </c>
      <c r="U154" s="63"/>
      <c r="V154" s="38"/>
      <c r="W154" s="63" t="str">
        <f t="shared" si="30"/>
        <v/>
      </c>
      <c r="X154" s="38"/>
      <c r="Y154" s="63" t="str">
        <f t="shared" si="31"/>
        <v/>
      </c>
      <c r="Z154" s="40"/>
    </row>
    <row r="155" spans="1:27" s="25" customFormat="1" ht="18" customHeight="1" thickBot="1" x14ac:dyDescent="0.35">
      <c r="A155" s="298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N155" s="35"/>
      <c r="O155" s="36" t="s">
        <v>56</v>
      </c>
      <c r="P155" s="36"/>
      <c r="Q155" s="36"/>
      <c r="R155" s="36" t="str">
        <f t="shared" si="29"/>
        <v/>
      </c>
      <c r="S155" s="27"/>
      <c r="T155" s="36" t="s">
        <v>56</v>
      </c>
      <c r="U155" s="63"/>
      <c r="V155" s="38"/>
      <c r="W155" s="63" t="str">
        <f t="shared" si="30"/>
        <v/>
      </c>
      <c r="X155" s="38"/>
      <c r="Y155" s="63" t="str">
        <f t="shared" si="31"/>
        <v/>
      </c>
      <c r="Z155" s="40"/>
    </row>
    <row r="156" spans="1:27" s="56" customFormat="1" ht="18" customHeight="1" thickBot="1" x14ac:dyDescent="0.25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403" t="s">
        <v>38</v>
      </c>
      <c r="B157" s="404"/>
      <c r="C157" s="404"/>
      <c r="D157" s="404"/>
      <c r="E157" s="404"/>
      <c r="F157" s="404"/>
      <c r="G157" s="404"/>
      <c r="H157" s="404"/>
      <c r="I157" s="404"/>
      <c r="J157" s="404"/>
      <c r="K157" s="404"/>
      <c r="L157" s="405"/>
      <c r="M157" s="24"/>
      <c r="N157" s="28"/>
      <c r="O157" s="396" t="s">
        <v>40</v>
      </c>
      <c r="P157" s="397"/>
      <c r="Q157" s="397"/>
      <c r="R157" s="398"/>
      <c r="S157" s="29"/>
      <c r="T157" s="396" t="s">
        <v>41</v>
      </c>
      <c r="U157" s="397"/>
      <c r="V157" s="397"/>
      <c r="W157" s="397"/>
      <c r="X157" s="397"/>
      <c r="Y157" s="398"/>
      <c r="Z157" s="30"/>
      <c r="AA157" s="24"/>
    </row>
    <row r="158" spans="1:27" s="25" customFormat="1" ht="18" customHeight="1" x14ac:dyDescent="0.2">
      <c r="A158" s="272"/>
      <c r="B158" s="270"/>
      <c r="C158" s="399" t="s">
        <v>202</v>
      </c>
      <c r="D158" s="399"/>
      <c r="E158" s="399"/>
      <c r="F158" s="399"/>
      <c r="G158" s="273" t="str">
        <f>$J$1</f>
        <v>June</v>
      </c>
      <c r="H158" s="400">
        <f>$K$1</f>
        <v>2024</v>
      </c>
      <c r="I158" s="400"/>
      <c r="J158" s="270"/>
      <c r="K158" s="274"/>
      <c r="L158" s="275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2"/>
      <c r="B159" s="270"/>
      <c r="C159" s="270"/>
      <c r="D159" s="276"/>
      <c r="E159" s="276"/>
      <c r="F159" s="276"/>
      <c r="G159" s="276"/>
      <c r="H159" s="276"/>
      <c r="I159" s="270"/>
      <c r="J159" s="277" t="s">
        <v>1</v>
      </c>
      <c r="K159" s="278">
        <f>60000+10000</f>
        <v>70000</v>
      </c>
      <c r="L159" s="279"/>
      <c r="N159" s="35"/>
      <c r="O159" s="36" t="s">
        <v>43</v>
      </c>
      <c r="P159" s="36">
        <v>27</v>
      </c>
      <c r="Q159" s="36">
        <v>4</v>
      </c>
      <c r="R159" s="36">
        <f>29-Q159</f>
        <v>25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2"/>
      <c r="B160" s="270" t="s">
        <v>0</v>
      </c>
      <c r="C160" s="269" t="s">
        <v>181</v>
      </c>
      <c r="D160" s="270"/>
      <c r="E160" s="270"/>
      <c r="F160" s="270"/>
      <c r="G160" s="270"/>
      <c r="H160" s="280"/>
      <c r="I160" s="276"/>
      <c r="J160" s="270"/>
      <c r="K160" s="270"/>
      <c r="L160" s="281"/>
      <c r="M160" s="24"/>
      <c r="N160" s="39"/>
      <c r="O160" s="36" t="s">
        <v>69</v>
      </c>
      <c r="P160" s="36">
        <v>27</v>
      </c>
      <c r="Q160" s="36">
        <v>2</v>
      </c>
      <c r="R160" s="36">
        <f t="shared" ref="R160:R170" si="32">IF(Q160="","",R159-Q160)</f>
        <v>23</v>
      </c>
      <c r="S160" s="27"/>
      <c r="T160" s="36" t="s">
        <v>69</v>
      </c>
      <c r="U160" s="63">
        <f>Y159</f>
        <v>43200</v>
      </c>
      <c r="V160" s="38"/>
      <c r="W160" s="63">
        <f>IF(U160="","",U160+V160)</f>
        <v>43200</v>
      </c>
      <c r="X160" s="38">
        <v>5000</v>
      </c>
      <c r="Y160" s="63">
        <f>IF(W160="","",W160-X160)</f>
        <v>38200</v>
      </c>
      <c r="Z160" s="40"/>
      <c r="AA160" s="24"/>
    </row>
    <row r="161" spans="1:27" s="25" customFormat="1" ht="18" customHeight="1" x14ac:dyDescent="0.2">
      <c r="A161" s="272"/>
      <c r="B161" s="282" t="s">
        <v>39</v>
      </c>
      <c r="C161" s="283"/>
      <c r="D161" s="270"/>
      <c r="E161" s="270"/>
      <c r="F161" s="406" t="s">
        <v>41</v>
      </c>
      <c r="G161" s="408"/>
      <c r="H161" s="270"/>
      <c r="I161" s="406" t="s">
        <v>42</v>
      </c>
      <c r="J161" s="407"/>
      <c r="K161" s="408"/>
      <c r="L161" s="284"/>
      <c r="N161" s="35"/>
      <c r="O161" s="36" t="s">
        <v>44</v>
      </c>
      <c r="P161" s="36">
        <v>31</v>
      </c>
      <c r="Q161" s="36">
        <v>0</v>
      </c>
      <c r="R161" s="36">
        <f t="shared" si="32"/>
        <v>23</v>
      </c>
      <c r="S161" s="27"/>
      <c r="T161" s="36" t="s">
        <v>44</v>
      </c>
      <c r="U161" s="63">
        <f>Y160</f>
        <v>38200</v>
      </c>
      <c r="V161" s="38"/>
      <c r="W161" s="63">
        <f t="shared" ref="W161:W170" si="33">IF(U161="","",U161+V161)</f>
        <v>38200</v>
      </c>
      <c r="X161" s="38">
        <v>5000</v>
      </c>
      <c r="Y161" s="63">
        <f t="shared" ref="Y161:Y170" si="34">IF(W161="","",W161-X161)</f>
        <v>33200</v>
      </c>
      <c r="Z161" s="40"/>
    </row>
    <row r="162" spans="1:27" s="25" customFormat="1" ht="18" customHeight="1" x14ac:dyDescent="0.2">
      <c r="A162" s="272"/>
      <c r="B162" s="270"/>
      <c r="C162" s="270"/>
      <c r="D162" s="270"/>
      <c r="E162" s="270"/>
      <c r="F162" s="270"/>
      <c r="G162" s="270"/>
      <c r="H162" s="285"/>
      <c r="I162" s="270"/>
      <c r="J162" s="270"/>
      <c r="K162" s="270"/>
      <c r="L162" s="286"/>
      <c r="N162" s="35"/>
      <c r="O162" s="36" t="s">
        <v>45</v>
      </c>
      <c r="P162" s="36">
        <v>30</v>
      </c>
      <c r="Q162" s="36">
        <v>0</v>
      </c>
      <c r="R162" s="36">
        <f t="shared" si="32"/>
        <v>23</v>
      </c>
      <c r="S162" s="27"/>
      <c r="T162" s="36" t="s">
        <v>45</v>
      </c>
      <c r="U162" s="63">
        <f>IF($J$1="March","",Y161)</f>
        <v>33200</v>
      </c>
      <c r="V162" s="38"/>
      <c r="W162" s="63">
        <f t="shared" si="33"/>
        <v>33200</v>
      </c>
      <c r="X162" s="38">
        <v>5000</v>
      </c>
      <c r="Y162" s="63">
        <f t="shared" si="34"/>
        <v>28200</v>
      </c>
      <c r="Z162" s="40"/>
    </row>
    <row r="163" spans="1:27" s="25" customFormat="1" ht="18" customHeight="1" x14ac:dyDescent="0.2">
      <c r="A163" s="272"/>
      <c r="B163" s="401" t="s">
        <v>40</v>
      </c>
      <c r="C163" s="402"/>
      <c r="D163" s="270"/>
      <c r="E163" s="270"/>
      <c r="F163" s="287" t="s">
        <v>62</v>
      </c>
      <c r="G163" s="288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23200</v>
      </c>
      <c r="H163" s="285"/>
      <c r="I163" s="289">
        <f>IF(C167&gt;=C166,$K$2,C165+C167)</f>
        <v>30</v>
      </c>
      <c r="J163" s="290" t="s">
        <v>59</v>
      </c>
      <c r="K163" s="291">
        <f>K159/$K$2*I163</f>
        <v>70000</v>
      </c>
      <c r="L163" s="292"/>
      <c r="N163" s="35"/>
      <c r="O163" s="36" t="s">
        <v>46</v>
      </c>
      <c r="P163" s="36">
        <v>26</v>
      </c>
      <c r="Q163" s="36">
        <v>5</v>
      </c>
      <c r="R163" s="36">
        <f t="shared" si="32"/>
        <v>18</v>
      </c>
      <c r="S163" s="27"/>
      <c r="T163" s="36" t="s">
        <v>46</v>
      </c>
      <c r="U163" s="63">
        <f>Y162</f>
        <v>28200</v>
      </c>
      <c r="V163" s="38"/>
      <c r="W163" s="63">
        <f t="shared" si="33"/>
        <v>28200</v>
      </c>
      <c r="X163" s="38">
        <v>5000</v>
      </c>
      <c r="Y163" s="63">
        <f t="shared" si="34"/>
        <v>23200</v>
      </c>
      <c r="Z163" s="40"/>
    </row>
    <row r="164" spans="1:27" s="25" customFormat="1" ht="18" customHeight="1" x14ac:dyDescent="0.2">
      <c r="A164" s="272"/>
      <c r="B164" s="293"/>
      <c r="C164" s="293"/>
      <c r="D164" s="270"/>
      <c r="E164" s="270"/>
      <c r="F164" s="287" t="s">
        <v>18</v>
      </c>
      <c r="G164" s="288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5"/>
      <c r="I164" s="289">
        <v>51</v>
      </c>
      <c r="J164" s="290" t="s">
        <v>60</v>
      </c>
      <c r="K164" s="294">
        <f>K159/$K$2/8*I164</f>
        <v>14875.000000000002</v>
      </c>
      <c r="L164" s="295"/>
      <c r="N164" s="35"/>
      <c r="O164" s="36" t="s">
        <v>47</v>
      </c>
      <c r="P164" s="36"/>
      <c r="Q164" s="36"/>
      <c r="R164" s="36" t="str">
        <f t="shared" si="32"/>
        <v/>
      </c>
      <c r="S164" s="27"/>
      <c r="T164" s="36" t="s">
        <v>47</v>
      </c>
      <c r="U164" s="63">
        <f>Y163</f>
        <v>23200</v>
      </c>
      <c r="V164" s="38"/>
      <c r="W164" s="63">
        <f t="shared" si="33"/>
        <v>23200</v>
      </c>
      <c r="X164" s="38">
        <v>5000</v>
      </c>
      <c r="Y164" s="63">
        <f t="shared" si="34"/>
        <v>18200</v>
      </c>
      <c r="Z164" s="40"/>
    </row>
    <row r="165" spans="1:27" s="25" customFormat="1" ht="18" customHeight="1" x14ac:dyDescent="0.2">
      <c r="A165" s="272"/>
      <c r="B165" s="287" t="s">
        <v>7</v>
      </c>
      <c r="C165" s="293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0</v>
      </c>
      <c r="D165" s="270"/>
      <c r="E165" s="270"/>
      <c r="F165" s="287" t="s">
        <v>63</v>
      </c>
      <c r="G165" s="288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23200</v>
      </c>
      <c r="H165" s="285"/>
      <c r="I165" s="389" t="s">
        <v>67</v>
      </c>
      <c r="J165" s="390"/>
      <c r="K165" s="294">
        <f>K163+K164</f>
        <v>84875</v>
      </c>
      <c r="L165" s="295"/>
      <c r="N165" s="35"/>
      <c r="O165" s="36" t="s">
        <v>48</v>
      </c>
      <c r="P165" s="36"/>
      <c r="Q165" s="36"/>
      <c r="R165" s="36" t="str">
        <f t="shared" si="32"/>
        <v/>
      </c>
      <c r="S165" s="27"/>
      <c r="T165" s="36" t="s">
        <v>48</v>
      </c>
      <c r="U165" s="63"/>
      <c r="V165" s="38"/>
      <c r="W165" s="63" t="str">
        <f t="shared" si="33"/>
        <v/>
      </c>
      <c r="X165" s="38"/>
      <c r="Y165" s="63" t="str">
        <f t="shared" si="34"/>
        <v/>
      </c>
      <c r="Z165" s="40"/>
    </row>
    <row r="166" spans="1:27" s="25" customFormat="1" ht="18" customHeight="1" x14ac:dyDescent="0.2">
      <c r="A166" s="272"/>
      <c r="B166" s="287" t="s">
        <v>6</v>
      </c>
      <c r="C166" s="293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0</v>
      </c>
      <c r="D166" s="270"/>
      <c r="E166" s="270"/>
      <c r="F166" s="287" t="s">
        <v>19</v>
      </c>
      <c r="G166" s="288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85"/>
      <c r="I166" s="389" t="s">
        <v>68</v>
      </c>
      <c r="J166" s="390"/>
      <c r="K166" s="288">
        <f>G166</f>
        <v>5000</v>
      </c>
      <c r="L166" s="296"/>
      <c r="N166" s="35"/>
      <c r="O166" s="36" t="s">
        <v>49</v>
      </c>
      <c r="P166" s="36"/>
      <c r="Q166" s="36"/>
      <c r="R166" s="36" t="str">
        <f t="shared" si="32"/>
        <v/>
      </c>
      <c r="S166" s="27"/>
      <c r="T166" s="36" t="s">
        <v>49</v>
      </c>
      <c r="U166" s="63"/>
      <c r="V166" s="38"/>
      <c r="W166" s="63" t="str">
        <f t="shared" si="33"/>
        <v/>
      </c>
      <c r="X166" s="38"/>
      <c r="Y166" s="63" t="str">
        <f t="shared" si="34"/>
        <v/>
      </c>
      <c r="Z166" s="40"/>
    </row>
    <row r="167" spans="1:27" s="25" customFormat="1" ht="18" customHeight="1" x14ac:dyDescent="0.2">
      <c r="A167" s="272"/>
      <c r="B167" s="302" t="s">
        <v>66</v>
      </c>
      <c r="C167" s="293" t="str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/>
      </c>
      <c r="D167" s="270"/>
      <c r="E167" s="270"/>
      <c r="F167" s="302" t="s">
        <v>195</v>
      </c>
      <c r="G167" s="288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18200</v>
      </c>
      <c r="H167" s="270"/>
      <c r="I167" s="391" t="s">
        <v>61</v>
      </c>
      <c r="J167" s="391"/>
      <c r="K167" s="229">
        <f>K165-K166</f>
        <v>79875</v>
      </c>
      <c r="L167" s="297"/>
      <c r="N167" s="35"/>
      <c r="O167" s="36" t="s">
        <v>54</v>
      </c>
      <c r="P167" s="36"/>
      <c r="Q167" s="36"/>
      <c r="R167" s="36" t="str">
        <f t="shared" si="32"/>
        <v/>
      </c>
      <c r="S167" s="27"/>
      <c r="T167" s="36" t="s">
        <v>54</v>
      </c>
      <c r="U167" s="63"/>
      <c r="V167" s="38"/>
      <c r="W167" s="63" t="str">
        <f t="shared" si="33"/>
        <v/>
      </c>
      <c r="X167" s="38"/>
      <c r="Y167" s="63" t="str">
        <f t="shared" si="34"/>
        <v/>
      </c>
      <c r="Z167" s="40"/>
    </row>
    <row r="168" spans="1:27" s="25" customFormat="1" ht="18" customHeight="1" x14ac:dyDescent="0.2">
      <c r="A168" s="272"/>
      <c r="B168" s="270"/>
      <c r="C168" s="270"/>
      <c r="D168" s="270"/>
      <c r="E168" s="270"/>
      <c r="F168" s="270"/>
      <c r="G168" s="270"/>
      <c r="H168" s="270"/>
      <c r="I168" s="392"/>
      <c r="J168" s="392"/>
      <c r="K168" s="352"/>
      <c r="L168" s="284"/>
      <c r="N168" s="35"/>
      <c r="O168" s="36" t="s">
        <v>50</v>
      </c>
      <c r="P168" s="36"/>
      <c r="Q168" s="36"/>
      <c r="R168" s="36" t="str">
        <f t="shared" si="32"/>
        <v/>
      </c>
      <c r="S168" s="27"/>
      <c r="T168" s="36" t="s">
        <v>50</v>
      </c>
      <c r="U168" s="63"/>
      <c r="V168" s="38"/>
      <c r="W168" s="63" t="str">
        <f t="shared" si="33"/>
        <v/>
      </c>
      <c r="X168" s="38"/>
      <c r="Y168" s="63" t="str">
        <f t="shared" si="34"/>
        <v/>
      </c>
      <c r="Z168" s="40"/>
    </row>
    <row r="169" spans="1:27" s="25" customFormat="1" ht="18" customHeight="1" x14ac:dyDescent="0.3">
      <c r="A169" s="272"/>
      <c r="B169" s="268"/>
      <c r="C169" s="268"/>
      <c r="D169" s="268"/>
      <c r="E169" s="268"/>
      <c r="F169" s="268"/>
      <c r="G169" s="268"/>
      <c r="H169" s="268"/>
      <c r="I169" s="392"/>
      <c r="J169" s="392"/>
      <c r="K169" s="352"/>
      <c r="L169" s="284"/>
      <c r="N169" s="35"/>
      <c r="O169" s="36" t="s">
        <v>55</v>
      </c>
      <c r="P169" s="36"/>
      <c r="Q169" s="36"/>
      <c r="R169" s="36" t="str">
        <f t="shared" si="32"/>
        <v/>
      </c>
      <c r="S169" s="27"/>
      <c r="T169" s="36" t="s">
        <v>55</v>
      </c>
      <c r="U169" s="63"/>
      <c r="V169" s="38"/>
      <c r="W169" s="63" t="str">
        <f t="shared" si="33"/>
        <v/>
      </c>
      <c r="X169" s="38"/>
      <c r="Y169" s="63" t="str">
        <f t="shared" si="34"/>
        <v/>
      </c>
      <c r="Z169" s="40"/>
    </row>
    <row r="170" spans="1:27" s="25" customFormat="1" ht="18" customHeight="1" thickBot="1" x14ac:dyDescent="0.35">
      <c r="A170" s="298"/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300"/>
      <c r="N170" s="35"/>
      <c r="O170" s="36" t="s">
        <v>56</v>
      </c>
      <c r="P170" s="36"/>
      <c r="Q170" s="36"/>
      <c r="R170" s="36" t="str">
        <f t="shared" si="32"/>
        <v/>
      </c>
      <c r="S170" s="27"/>
      <c r="T170" s="36" t="s">
        <v>56</v>
      </c>
      <c r="U170" s="63"/>
      <c r="V170" s="38"/>
      <c r="W170" s="63" t="str">
        <f t="shared" si="33"/>
        <v/>
      </c>
      <c r="X170" s="38"/>
      <c r="Y170" s="63" t="str">
        <f t="shared" si="34"/>
        <v/>
      </c>
      <c r="Z170" s="40"/>
    </row>
    <row r="171" spans="1:27" s="56" customFormat="1" ht="18" customHeight="1" thickBot="1" x14ac:dyDescent="0.25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403" t="s">
        <v>38</v>
      </c>
      <c r="B172" s="404"/>
      <c r="C172" s="404"/>
      <c r="D172" s="404"/>
      <c r="E172" s="404"/>
      <c r="F172" s="404"/>
      <c r="G172" s="404"/>
      <c r="H172" s="404"/>
      <c r="I172" s="404"/>
      <c r="J172" s="404"/>
      <c r="K172" s="404"/>
      <c r="L172" s="405"/>
      <c r="M172" s="24"/>
      <c r="N172" s="28"/>
      <c r="O172" s="396" t="s">
        <v>40</v>
      </c>
      <c r="P172" s="397"/>
      <c r="Q172" s="397"/>
      <c r="R172" s="398"/>
      <c r="S172" s="29"/>
      <c r="T172" s="396" t="s">
        <v>41</v>
      </c>
      <c r="U172" s="397"/>
      <c r="V172" s="397"/>
      <c r="W172" s="397"/>
      <c r="X172" s="397"/>
      <c r="Y172" s="398"/>
      <c r="Z172" s="30"/>
      <c r="AA172" s="24"/>
    </row>
    <row r="173" spans="1:27" s="25" customFormat="1" ht="18" customHeight="1" x14ac:dyDescent="0.2">
      <c r="A173" s="272"/>
      <c r="B173" s="270"/>
      <c r="C173" s="399" t="s">
        <v>202</v>
      </c>
      <c r="D173" s="399"/>
      <c r="E173" s="399"/>
      <c r="F173" s="399"/>
      <c r="G173" s="273" t="str">
        <f>$J$1</f>
        <v>June</v>
      </c>
      <c r="H173" s="400">
        <f>$K$1</f>
        <v>2024</v>
      </c>
      <c r="I173" s="400"/>
      <c r="J173" s="270"/>
      <c r="K173" s="274"/>
      <c r="L173" s="275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2"/>
      <c r="B174" s="270"/>
      <c r="C174" s="270"/>
      <c r="D174" s="276"/>
      <c r="E174" s="276"/>
      <c r="F174" s="276"/>
      <c r="G174" s="276"/>
      <c r="H174" s="276"/>
      <c r="I174" s="270"/>
      <c r="J174" s="277" t="s">
        <v>1</v>
      </c>
      <c r="K174" s="278">
        <f>45000+2000+3000</f>
        <v>50000</v>
      </c>
      <c r="L174" s="279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2"/>
      <c r="B175" s="270" t="s">
        <v>0</v>
      </c>
      <c r="C175" s="269" t="s">
        <v>139</v>
      </c>
      <c r="D175" s="270"/>
      <c r="E175" s="270"/>
      <c r="F175" s="270"/>
      <c r="G175" s="270"/>
      <c r="H175" s="280"/>
      <c r="I175" s="276"/>
      <c r="J175" s="270"/>
      <c r="K175" s="270"/>
      <c r="L175" s="281"/>
      <c r="M175" s="24"/>
      <c r="N175" s="39"/>
      <c r="O175" s="36" t="s">
        <v>69</v>
      </c>
      <c r="P175" s="36">
        <v>28</v>
      </c>
      <c r="Q175" s="36">
        <v>1</v>
      </c>
      <c r="R175" s="36">
        <f t="shared" ref="R175:R185" si="35">IF(Q175="","",R174-Q175)</f>
        <v>14</v>
      </c>
      <c r="S175" s="27"/>
      <c r="T175" s="36" t="s">
        <v>69</v>
      </c>
      <c r="U175" s="63">
        <f>Y174</f>
        <v>87000</v>
      </c>
      <c r="V175" s="38">
        <v>1000</v>
      </c>
      <c r="W175" s="63">
        <f>IF(U175="","",U175+V175)</f>
        <v>88000</v>
      </c>
      <c r="X175" s="38"/>
      <c r="Y175" s="63">
        <f>IF(W175="","",W175-X175)</f>
        <v>88000</v>
      </c>
      <c r="Z175" s="40"/>
      <c r="AA175" s="24"/>
    </row>
    <row r="176" spans="1:27" s="25" customFormat="1" ht="18" customHeight="1" x14ac:dyDescent="0.2">
      <c r="A176" s="272"/>
      <c r="B176" s="282" t="s">
        <v>39</v>
      </c>
      <c r="C176" s="283"/>
      <c r="D176" s="270"/>
      <c r="E176" s="270"/>
      <c r="F176" s="406" t="s">
        <v>41</v>
      </c>
      <c r="G176" s="408"/>
      <c r="H176" s="270"/>
      <c r="I176" s="406" t="s">
        <v>42</v>
      </c>
      <c r="J176" s="407"/>
      <c r="K176" s="408"/>
      <c r="L176" s="284"/>
      <c r="N176" s="35"/>
      <c r="O176" s="36" t="s">
        <v>44</v>
      </c>
      <c r="P176" s="36">
        <v>29</v>
      </c>
      <c r="Q176" s="36">
        <v>2</v>
      </c>
      <c r="R176" s="36">
        <f t="shared" si="35"/>
        <v>12</v>
      </c>
      <c r="S176" s="27"/>
      <c r="T176" s="36" t="s">
        <v>44</v>
      </c>
      <c r="U176" s="63">
        <f>Y175</f>
        <v>88000</v>
      </c>
      <c r="V176" s="38">
        <v>2000</v>
      </c>
      <c r="W176" s="63">
        <f t="shared" ref="W176:W185" si="36">IF(U176="","",U176+V176)</f>
        <v>90000</v>
      </c>
      <c r="X176" s="38"/>
      <c r="Y176" s="63">
        <f t="shared" ref="Y176:Y185" si="37">IF(W176="","",W176-X176)</f>
        <v>90000</v>
      </c>
      <c r="Z176" s="40"/>
    </row>
    <row r="177" spans="1:27" s="25" customFormat="1" ht="18" customHeight="1" x14ac:dyDescent="0.2">
      <c r="A177" s="272"/>
      <c r="B177" s="270"/>
      <c r="C177" s="270"/>
      <c r="D177" s="270"/>
      <c r="E177" s="270"/>
      <c r="F177" s="270"/>
      <c r="G177" s="270"/>
      <c r="H177" s="285"/>
      <c r="I177" s="270"/>
      <c r="J177" s="270"/>
      <c r="K177" s="270"/>
      <c r="L177" s="286"/>
      <c r="N177" s="35"/>
      <c r="O177" s="36" t="s">
        <v>45</v>
      </c>
      <c r="P177" s="36">
        <v>30</v>
      </c>
      <c r="Q177" s="36">
        <v>0</v>
      </c>
      <c r="R177" s="36">
        <f t="shared" si="35"/>
        <v>12</v>
      </c>
      <c r="S177" s="27"/>
      <c r="T177" s="36" t="s">
        <v>45</v>
      </c>
      <c r="U177" s="63">
        <f>IF($J$1="March","",Y176)</f>
        <v>90000</v>
      </c>
      <c r="V177" s="38"/>
      <c r="W177" s="63">
        <f t="shared" si="36"/>
        <v>90000</v>
      </c>
      <c r="X177" s="38"/>
      <c r="Y177" s="63">
        <f t="shared" si="37"/>
        <v>90000</v>
      </c>
      <c r="Z177" s="40"/>
    </row>
    <row r="178" spans="1:27" s="25" customFormat="1" ht="18" customHeight="1" x14ac:dyDescent="0.2">
      <c r="A178" s="272"/>
      <c r="B178" s="401" t="s">
        <v>40</v>
      </c>
      <c r="C178" s="402"/>
      <c r="D178" s="270"/>
      <c r="E178" s="270"/>
      <c r="F178" s="287" t="s">
        <v>62</v>
      </c>
      <c r="G178" s="28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95000</v>
      </c>
      <c r="H178" s="285"/>
      <c r="I178" s="289">
        <f>IF(C182&gt;0,$K$2,C180)</f>
        <v>30</v>
      </c>
      <c r="J178" s="290" t="s">
        <v>59</v>
      </c>
      <c r="K178" s="291">
        <f>K174/$K$2*I178</f>
        <v>50000</v>
      </c>
      <c r="L178" s="292"/>
      <c r="N178" s="35"/>
      <c r="O178" s="36" t="s">
        <v>46</v>
      </c>
      <c r="P178" s="36">
        <v>30</v>
      </c>
      <c r="Q178" s="36">
        <v>1</v>
      </c>
      <c r="R178" s="36">
        <f t="shared" si="35"/>
        <v>11</v>
      </c>
      <c r="S178" s="27"/>
      <c r="T178" s="36" t="s">
        <v>46</v>
      </c>
      <c r="U178" s="63">
        <f>IF($J$1="March","",Y177)</f>
        <v>90000</v>
      </c>
      <c r="V178" s="38">
        <v>10000</v>
      </c>
      <c r="W178" s="63">
        <f t="shared" si="36"/>
        <v>100000</v>
      </c>
      <c r="X178" s="38">
        <v>5000</v>
      </c>
      <c r="Y178" s="63">
        <f t="shared" si="37"/>
        <v>95000</v>
      </c>
      <c r="Z178" s="40"/>
    </row>
    <row r="179" spans="1:27" s="25" customFormat="1" ht="18" customHeight="1" x14ac:dyDescent="0.2">
      <c r="A179" s="272"/>
      <c r="B179" s="293"/>
      <c r="C179" s="293"/>
      <c r="D179" s="270"/>
      <c r="E179" s="270"/>
      <c r="F179" s="287" t="s">
        <v>18</v>
      </c>
      <c r="G179" s="28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0</v>
      </c>
      <c r="H179" s="285"/>
      <c r="I179" s="289">
        <v>16</v>
      </c>
      <c r="J179" s="290" t="s">
        <v>60</v>
      </c>
      <c r="K179" s="294">
        <f>K174/$K$2/8*I179</f>
        <v>3333.3333333333335</v>
      </c>
      <c r="L179" s="295"/>
      <c r="N179" s="35"/>
      <c r="O179" s="36" t="s">
        <v>47</v>
      </c>
      <c r="P179" s="36"/>
      <c r="Q179" s="36"/>
      <c r="R179" s="36" t="str">
        <f t="shared" si="35"/>
        <v/>
      </c>
      <c r="S179" s="27"/>
      <c r="T179" s="36" t="s">
        <v>47</v>
      </c>
      <c r="U179" s="63">
        <f>Y178</f>
        <v>95000</v>
      </c>
      <c r="V179" s="38"/>
      <c r="W179" s="63">
        <f t="shared" si="36"/>
        <v>95000</v>
      </c>
      <c r="X179" s="38">
        <v>5000</v>
      </c>
      <c r="Y179" s="63">
        <f t="shared" si="37"/>
        <v>90000</v>
      </c>
      <c r="Z179" s="40"/>
    </row>
    <row r="180" spans="1:27" s="25" customFormat="1" ht="18" customHeight="1" x14ac:dyDescent="0.2">
      <c r="A180" s="272"/>
      <c r="B180" s="287" t="s">
        <v>7</v>
      </c>
      <c r="C180" s="29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0</v>
      </c>
      <c r="D180" s="270"/>
      <c r="E180" s="270"/>
      <c r="F180" s="287" t="s">
        <v>63</v>
      </c>
      <c r="G180" s="28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95000</v>
      </c>
      <c r="H180" s="285"/>
      <c r="I180" s="389" t="s">
        <v>67</v>
      </c>
      <c r="J180" s="390"/>
      <c r="K180" s="294">
        <f>K178+K179</f>
        <v>53333.333333333336</v>
      </c>
      <c r="L180" s="295"/>
      <c r="N180" s="35"/>
      <c r="O180" s="36" t="s">
        <v>48</v>
      </c>
      <c r="P180" s="36"/>
      <c r="Q180" s="36"/>
      <c r="R180" s="36" t="str">
        <f t="shared" si="35"/>
        <v/>
      </c>
      <c r="S180" s="27"/>
      <c r="T180" s="36" t="s">
        <v>48</v>
      </c>
      <c r="U180" s="63"/>
      <c r="V180" s="38"/>
      <c r="W180" s="63" t="str">
        <f t="shared" si="36"/>
        <v/>
      </c>
      <c r="X180" s="38"/>
      <c r="Y180" s="63" t="str">
        <f t="shared" si="37"/>
        <v/>
      </c>
      <c r="Z180" s="40"/>
    </row>
    <row r="181" spans="1:27" s="25" customFormat="1" ht="18" customHeight="1" x14ac:dyDescent="0.2">
      <c r="A181" s="272"/>
      <c r="B181" s="287" t="s">
        <v>6</v>
      </c>
      <c r="C181" s="29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81" s="270"/>
      <c r="E181" s="270"/>
      <c r="F181" s="287" t="s">
        <v>19</v>
      </c>
      <c r="G181" s="28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5000</v>
      </c>
      <c r="H181" s="285"/>
      <c r="I181" s="389" t="s">
        <v>68</v>
      </c>
      <c r="J181" s="390"/>
      <c r="K181" s="288">
        <f>G181</f>
        <v>5000</v>
      </c>
      <c r="L181" s="296"/>
      <c r="N181" s="35"/>
      <c r="O181" s="36" t="s">
        <v>49</v>
      </c>
      <c r="P181" s="36"/>
      <c r="Q181" s="36"/>
      <c r="R181" s="36" t="str">
        <f t="shared" si="35"/>
        <v/>
      </c>
      <c r="S181" s="27"/>
      <c r="T181" s="36" t="s">
        <v>49</v>
      </c>
      <c r="U181" s="63"/>
      <c r="V181" s="38"/>
      <c r="W181" s="63" t="str">
        <f t="shared" si="36"/>
        <v/>
      </c>
      <c r="X181" s="38"/>
      <c r="Y181" s="63" t="str">
        <f t="shared" si="37"/>
        <v/>
      </c>
      <c r="Z181" s="40"/>
    </row>
    <row r="182" spans="1:27" s="25" customFormat="1" ht="18" customHeight="1" x14ac:dyDescent="0.2">
      <c r="A182" s="272"/>
      <c r="B182" s="302" t="s">
        <v>66</v>
      </c>
      <c r="C182" s="293" t="str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/>
      </c>
      <c r="D182" s="270"/>
      <c r="E182" s="270"/>
      <c r="F182" s="302" t="s">
        <v>195</v>
      </c>
      <c r="G182" s="28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90000</v>
      </c>
      <c r="H182" s="270"/>
      <c r="I182" s="391" t="s">
        <v>61</v>
      </c>
      <c r="J182" s="391"/>
      <c r="K182" s="229">
        <f>K180-K181</f>
        <v>48333.333333333336</v>
      </c>
      <c r="L182" s="297"/>
      <c r="N182" s="35"/>
      <c r="O182" s="36" t="s">
        <v>54</v>
      </c>
      <c r="P182" s="36"/>
      <c r="Q182" s="36"/>
      <c r="R182" s="36" t="str">
        <f t="shared" si="35"/>
        <v/>
      </c>
      <c r="S182" s="27"/>
      <c r="T182" s="36" t="s">
        <v>54</v>
      </c>
      <c r="U182" s="63"/>
      <c r="V182" s="38"/>
      <c r="W182" s="63" t="str">
        <f t="shared" si="36"/>
        <v/>
      </c>
      <c r="X182" s="38"/>
      <c r="Y182" s="63" t="str">
        <f t="shared" si="37"/>
        <v/>
      </c>
      <c r="Z182" s="40"/>
    </row>
    <row r="183" spans="1:27" s="25" customFormat="1" ht="18" customHeight="1" x14ac:dyDescent="0.2">
      <c r="A183" s="272"/>
      <c r="B183" s="270"/>
      <c r="C183" s="270"/>
      <c r="D183" s="270"/>
      <c r="E183" s="270"/>
      <c r="F183" s="270"/>
      <c r="G183" s="270"/>
      <c r="H183" s="270"/>
      <c r="I183" s="392"/>
      <c r="J183" s="392"/>
      <c r="K183" s="352"/>
      <c r="L183" s="284"/>
      <c r="N183" s="35"/>
      <c r="O183" s="36" t="s">
        <v>50</v>
      </c>
      <c r="P183" s="36"/>
      <c r="Q183" s="36"/>
      <c r="R183" s="36" t="str">
        <f t="shared" si="35"/>
        <v/>
      </c>
      <c r="S183" s="27"/>
      <c r="T183" s="36" t="s">
        <v>50</v>
      </c>
      <c r="U183" s="63"/>
      <c r="V183" s="38"/>
      <c r="W183" s="63" t="str">
        <f t="shared" si="36"/>
        <v/>
      </c>
      <c r="X183" s="38"/>
      <c r="Y183" s="63" t="str">
        <f t="shared" si="37"/>
        <v/>
      </c>
      <c r="Z183" s="40"/>
    </row>
    <row r="184" spans="1:27" s="25" customFormat="1" ht="18" customHeight="1" x14ac:dyDescent="0.3">
      <c r="A184" s="272"/>
      <c r="B184" s="268"/>
      <c r="C184" s="268"/>
      <c r="D184" s="268"/>
      <c r="E184" s="268"/>
      <c r="F184" s="268"/>
      <c r="G184" s="268"/>
      <c r="H184" s="268"/>
      <c r="I184" s="392"/>
      <c r="J184" s="392"/>
      <c r="K184" s="352"/>
      <c r="L184" s="284"/>
      <c r="N184" s="35"/>
      <c r="O184" s="36" t="s">
        <v>55</v>
      </c>
      <c r="P184" s="36"/>
      <c r="Q184" s="36"/>
      <c r="R184" s="36" t="str">
        <f t="shared" si="35"/>
        <v/>
      </c>
      <c r="S184" s="27"/>
      <c r="T184" s="36" t="s">
        <v>55</v>
      </c>
      <c r="U184" s="63"/>
      <c r="V184" s="38"/>
      <c r="W184" s="63" t="str">
        <f t="shared" si="36"/>
        <v/>
      </c>
      <c r="X184" s="38"/>
      <c r="Y184" s="63" t="str">
        <f t="shared" si="37"/>
        <v/>
      </c>
      <c r="Z184" s="40"/>
    </row>
    <row r="185" spans="1:27" s="25" customFormat="1" ht="18" customHeight="1" thickBot="1" x14ac:dyDescent="0.35">
      <c r="A185" s="298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300"/>
      <c r="N185" s="35"/>
      <c r="O185" s="36" t="s">
        <v>56</v>
      </c>
      <c r="P185" s="36"/>
      <c r="Q185" s="36"/>
      <c r="R185" s="36" t="str">
        <f t="shared" si="35"/>
        <v/>
      </c>
      <c r="S185" s="27"/>
      <c r="T185" s="36" t="s">
        <v>56</v>
      </c>
      <c r="U185" s="63"/>
      <c r="V185" s="38"/>
      <c r="W185" s="63" t="str">
        <f t="shared" si="36"/>
        <v/>
      </c>
      <c r="X185" s="38"/>
      <c r="Y185" s="63" t="str">
        <f t="shared" si="37"/>
        <v/>
      </c>
      <c r="Z185" s="40"/>
    </row>
    <row r="186" spans="1:27" s="56" customFormat="1" ht="18" customHeight="1" thickBot="1" x14ac:dyDescent="0.25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403" t="s">
        <v>38</v>
      </c>
      <c r="B187" s="404"/>
      <c r="C187" s="404"/>
      <c r="D187" s="404"/>
      <c r="E187" s="404"/>
      <c r="F187" s="404"/>
      <c r="G187" s="404"/>
      <c r="H187" s="404"/>
      <c r="I187" s="404"/>
      <c r="J187" s="404"/>
      <c r="K187" s="404"/>
      <c r="L187" s="405"/>
      <c r="M187" s="24"/>
      <c r="N187" s="28"/>
      <c r="O187" s="396" t="s">
        <v>40</v>
      </c>
      <c r="P187" s="397"/>
      <c r="Q187" s="397"/>
      <c r="R187" s="398"/>
      <c r="S187" s="29"/>
      <c r="T187" s="396" t="s">
        <v>41</v>
      </c>
      <c r="U187" s="397"/>
      <c r="V187" s="397"/>
      <c r="W187" s="397"/>
      <c r="X187" s="397"/>
      <c r="Y187" s="398"/>
      <c r="Z187" s="30"/>
      <c r="AA187" s="24"/>
    </row>
    <row r="188" spans="1:27" s="25" customFormat="1" ht="18" customHeight="1" x14ac:dyDescent="0.2">
      <c r="A188" s="272"/>
      <c r="B188" s="270"/>
      <c r="C188" s="399" t="s">
        <v>202</v>
      </c>
      <c r="D188" s="399"/>
      <c r="E188" s="399"/>
      <c r="F188" s="399"/>
      <c r="G188" s="273" t="str">
        <f>$J$1</f>
        <v>June</v>
      </c>
      <c r="H188" s="400">
        <f>$K$1</f>
        <v>2024</v>
      </c>
      <c r="I188" s="400"/>
      <c r="J188" s="270"/>
      <c r="K188" s="274"/>
      <c r="L188" s="275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2"/>
      <c r="B189" s="270"/>
      <c r="C189" s="270"/>
      <c r="D189" s="276"/>
      <c r="E189" s="276"/>
      <c r="F189" s="276"/>
      <c r="G189" s="276"/>
      <c r="H189" s="276"/>
      <c r="I189" s="270"/>
      <c r="J189" s="277" t="s">
        <v>1</v>
      </c>
      <c r="K189" s="278">
        <f>24000+3000+3000+5000</f>
        <v>35000</v>
      </c>
      <c r="L189" s="279"/>
      <c r="N189" s="35"/>
      <c r="O189" s="36" t="s">
        <v>43</v>
      </c>
      <c r="P189" s="36">
        <v>31</v>
      </c>
      <c r="Q189" s="36">
        <v>0</v>
      </c>
      <c r="R189" s="36">
        <f>15-Q189-5</f>
        <v>10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2"/>
      <c r="B190" s="270" t="s">
        <v>0</v>
      </c>
      <c r="C190" s="269" t="s">
        <v>71</v>
      </c>
      <c r="D190" s="270"/>
      <c r="E190" s="270"/>
      <c r="F190" s="270"/>
      <c r="G190" s="270"/>
      <c r="H190" s="280"/>
      <c r="I190" s="276"/>
      <c r="J190" s="270"/>
      <c r="K190" s="270"/>
      <c r="L190" s="281"/>
      <c r="M190" s="24"/>
      <c r="N190" s="39"/>
      <c r="O190" s="36" t="s">
        <v>69</v>
      </c>
      <c r="P190" s="36">
        <v>28</v>
      </c>
      <c r="Q190" s="36">
        <v>1</v>
      </c>
      <c r="R190" s="36">
        <f t="shared" ref="R190:R197" si="38">IF(Q190="","",R189-Q190)</f>
        <v>9</v>
      </c>
      <c r="S190" s="27"/>
      <c r="T190" s="36" t="s">
        <v>69</v>
      </c>
      <c r="U190" s="63">
        <f>Y189</f>
        <v>79000</v>
      </c>
      <c r="V190" s="38"/>
      <c r="W190" s="63">
        <f>IF(U190="","",U190+V190)</f>
        <v>79000</v>
      </c>
      <c r="X190" s="38">
        <v>5000</v>
      </c>
      <c r="Y190" s="63">
        <f>IF(W190="","",W190-X190)</f>
        <v>74000</v>
      </c>
      <c r="Z190" s="40"/>
      <c r="AA190" s="24"/>
    </row>
    <row r="191" spans="1:27" s="25" customFormat="1" ht="18" customHeight="1" x14ac:dyDescent="0.2">
      <c r="A191" s="272"/>
      <c r="B191" s="282" t="s">
        <v>39</v>
      </c>
      <c r="C191" s="283"/>
      <c r="D191" s="270"/>
      <c r="E191" s="270"/>
      <c r="F191" s="406" t="s">
        <v>41</v>
      </c>
      <c r="G191" s="408"/>
      <c r="H191" s="270"/>
      <c r="I191" s="406" t="s">
        <v>42</v>
      </c>
      <c r="J191" s="407"/>
      <c r="K191" s="408"/>
      <c r="L191" s="284"/>
      <c r="N191" s="35"/>
      <c r="O191" s="36" t="s">
        <v>44</v>
      </c>
      <c r="P191" s="36">
        <v>29</v>
      </c>
      <c r="Q191" s="36">
        <v>2</v>
      </c>
      <c r="R191" s="36">
        <f t="shared" si="38"/>
        <v>7</v>
      </c>
      <c r="S191" s="27"/>
      <c r="T191" s="36" t="s">
        <v>44</v>
      </c>
      <c r="U191" s="63">
        <f>Y190</f>
        <v>74000</v>
      </c>
      <c r="V191" s="38"/>
      <c r="W191" s="63">
        <f t="shared" ref="W191:W200" si="39">IF(U191="","",U191+V191)</f>
        <v>74000</v>
      </c>
      <c r="X191" s="38">
        <v>5000</v>
      </c>
      <c r="Y191" s="63">
        <f t="shared" ref="Y191:Y200" si="40">IF(W191="","",W191-X191)</f>
        <v>69000</v>
      </c>
      <c r="Z191" s="40"/>
    </row>
    <row r="192" spans="1:27" s="25" customFormat="1" ht="18" customHeight="1" x14ac:dyDescent="0.2">
      <c r="A192" s="272"/>
      <c r="B192" s="270"/>
      <c r="C192" s="270"/>
      <c r="D192" s="270"/>
      <c r="E192" s="270"/>
      <c r="F192" s="270"/>
      <c r="G192" s="270"/>
      <c r="H192" s="285"/>
      <c r="I192" s="270"/>
      <c r="J192" s="270"/>
      <c r="K192" s="270"/>
      <c r="L192" s="286"/>
      <c r="N192" s="35"/>
      <c r="O192" s="36" t="s">
        <v>45</v>
      </c>
      <c r="P192" s="36">
        <v>29</v>
      </c>
      <c r="Q192" s="36">
        <v>1</v>
      </c>
      <c r="R192" s="36">
        <f t="shared" si="38"/>
        <v>6</v>
      </c>
      <c r="S192" s="27"/>
      <c r="T192" s="36" t="s">
        <v>45</v>
      </c>
      <c r="U192" s="63">
        <f>IF($J$1="March","",Y191)</f>
        <v>69000</v>
      </c>
      <c r="V192" s="38"/>
      <c r="W192" s="63">
        <f t="shared" si="39"/>
        <v>69000</v>
      </c>
      <c r="X192" s="38">
        <v>5000</v>
      </c>
      <c r="Y192" s="63">
        <f t="shared" si="40"/>
        <v>64000</v>
      </c>
      <c r="Z192" s="40"/>
    </row>
    <row r="193" spans="1:26" s="25" customFormat="1" ht="18" customHeight="1" x14ac:dyDescent="0.2">
      <c r="A193" s="272"/>
      <c r="B193" s="401" t="s">
        <v>40</v>
      </c>
      <c r="C193" s="402"/>
      <c r="D193" s="270"/>
      <c r="E193" s="270"/>
      <c r="F193" s="287" t="s">
        <v>62</v>
      </c>
      <c r="G193" s="288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59000</v>
      </c>
      <c r="H193" s="285"/>
      <c r="I193" s="289">
        <f>IF(C197&gt;=C196,$K$2,C195+C197)</f>
        <v>30</v>
      </c>
      <c r="J193" s="290" t="s">
        <v>59</v>
      </c>
      <c r="K193" s="291">
        <f>K189/$K$2*I193</f>
        <v>35000</v>
      </c>
      <c r="L193" s="292"/>
      <c r="N193" s="35"/>
      <c r="O193" s="36" t="s">
        <v>46</v>
      </c>
      <c r="P193" s="36">
        <v>30</v>
      </c>
      <c r="Q193" s="36">
        <v>1</v>
      </c>
      <c r="R193" s="36">
        <f t="shared" si="38"/>
        <v>5</v>
      </c>
      <c r="S193" s="27"/>
      <c r="T193" s="36" t="s">
        <v>46</v>
      </c>
      <c r="U193" s="63">
        <f>Y192</f>
        <v>64000</v>
      </c>
      <c r="V193" s="38"/>
      <c r="W193" s="63">
        <f t="shared" si="39"/>
        <v>64000</v>
      </c>
      <c r="X193" s="38">
        <v>5000</v>
      </c>
      <c r="Y193" s="63">
        <f t="shared" si="40"/>
        <v>59000</v>
      </c>
      <c r="Z193" s="40"/>
    </row>
    <row r="194" spans="1:26" s="25" customFormat="1" ht="18" customHeight="1" x14ac:dyDescent="0.2">
      <c r="A194" s="272"/>
      <c r="B194" s="293"/>
      <c r="C194" s="293"/>
      <c r="D194" s="270"/>
      <c r="E194" s="270"/>
      <c r="F194" s="287" t="s">
        <v>18</v>
      </c>
      <c r="G194" s="288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5"/>
      <c r="I194" s="289">
        <v>124</v>
      </c>
      <c r="J194" s="290" t="s">
        <v>60</v>
      </c>
      <c r="K194" s="294">
        <f>K189/$K$2/8*I194</f>
        <v>18083.333333333336</v>
      </c>
      <c r="L194" s="295"/>
      <c r="N194" s="35"/>
      <c r="O194" s="36" t="s">
        <v>47</v>
      </c>
      <c r="P194" s="36"/>
      <c r="Q194" s="36"/>
      <c r="R194" s="36" t="str">
        <f t="shared" si="38"/>
        <v/>
      </c>
      <c r="S194" s="27"/>
      <c r="T194" s="36" t="s">
        <v>47</v>
      </c>
      <c r="U194" s="63">
        <f>Y193</f>
        <v>59000</v>
      </c>
      <c r="V194" s="38"/>
      <c r="W194" s="63">
        <f t="shared" si="39"/>
        <v>59000</v>
      </c>
      <c r="X194" s="38">
        <v>5000</v>
      </c>
      <c r="Y194" s="63">
        <f t="shared" si="40"/>
        <v>54000</v>
      </c>
      <c r="Z194" s="40"/>
    </row>
    <row r="195" spans="1:26" s="25" customFormat="1" ht="18" customHeight="1" x14ac:dyDescent="0.2">
      <c r="A195" s="272"/>
      <c r="B195" s="287" t="s">
        <v>7</v>
      </c>
      <c r="C195" s="293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0</v>
      </c>
      <c r="D195" s="270"/>
      <c r="E195" s="270"/>
      <c r="F195" s="287" t="s">
        <v>63</v>
      </c>
      <c r="G195" s="288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59000</v>
      </c>
      <c r="H195" s="285"/>
      <c r="I195" s="389" t="s">
        <v>67</v>
      </c>
      <c r="J195" s="390"/>
      <c r="K195" s="294">
        <f>K193+K194</f>
        <v>53083.333333333336</v>
      </c>
      <c r="L195" s="295"/>
      <c r="N195" s="35"/>
      <c r="O195" s="36" t="s">
        <v>48</v>
      </c>
      <c r="P195" s="36"/>
      <c r="Q195" s="36"/>
      <c r="R195" s="36" t="str">
        <f t="shared" si="38"/>
        <v/>
      </c>
      <c r="S195" s="27"/>
      <c r="T195" s="36" t="s">
        <v>48</v>
      </c>
      <c r="U195" s="63"/>
      <c r="V195" s="38"/>
      <c r="W195" s="63" t="str">
        <f t="shared" si="39"/>
        <v/>
      </c>
      <c r="X195" s="38"/>
      <c r="Y195" s="63" t="str">
        <f t="shared" si="40"/>
        <v/>
      </c>
      <c r="Z195" s="40"/>
    </row>
    <row r="196" spans="1:26" s="25" customFormat="1" ht="18" customHeight="1" x14ac:dyDescent="0.2">
      <c r="A196" s="272"/>
      <c r="B196" s="287" t="s">
        <v>6</v>
      </c>
      <c r="C196" s="293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0</v>
      </c>
      <c r="D196" s="270"/>
      <c r="E196" s="270"/>
      <c r="F196" s="287" t="s">
        <v>19</v>
      </c>
      <c r="G196" s="288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85"/>
      <c r="I196" s="389" t="s">
        <v>68</v>
      </c>
      <c r="J196" s="390"/>
      <c r="K196" s="288">
        <f>G196</f>
        <v>5000</v>
      </c>
      <c r="L196" s="296"/>
      <c r="N196" s="35"/>
      <c r="O196" s="36" t="s">
        <v>49</v>
      </c>
      <c r="P196" s="36"/>
      <c r="Q196" s="36"/>
      <c r="R196" s="36" t="str">
        <f t="shared" si="38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39"/>
        <v/>
      </c>
      <c r="X196" s="38"/>
      <c r="Y196" s="63" t="str">
        <f t="shared" si="40"/>
        <v/>
      </c>
      <c r="Z196" s="40"/>
    </row>
    <row r="197" spans="1:26" s="25" customFormat="1" ht="18" customHeight="1" x14ac:dyDescent="0.2">
      <c r="A197" s="272"/>
      <c r="B197" s="302" t="s">
        <v>66</v>
      </c>
      <c r="C197" s="293" t="str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/>
      </c>
      <c r="D197" s="270"/>
      <c r="E197" s="270"/>
      <c r="F197" s="302" t="s">
        <v>195</v>
      </c>
      <c r="G197" s="288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54000</v>
      </c>
      <c r="H197" s="270"/>
      <c r="I197" s="391" t="s">
        <v>61</v>
      </c>
      <c r="J197" s="391"/>
      <c r="K197" s="229">
        <f>K195-K196</f>
        <v>48083.333333333336</v>
      </c>
      <c r="L197" s="297"/>
      <c r="N197" s="35"/>
      <c r="O197" s="36" t="s">
        <v>54</v>
      </c>
      <c r="P197" s="36"/>
      <c r="Q197" s="36"/>
      <c r="R197" s="36" t="str">
        <f t="shared" si="38"/>
        <v/>
      </c>
      <c r="S197" s="27"/>
      <c r="T197" s="36" t="s">
        <v>54</v>
      </c>
      <c r="U197" s="63" t="str">
        <f>Y196</f>
        <v/>
      </c>
      <c r="V197" s="38"/>
      <c r="W197" s="63" t="str">
        <f t="shared" si="39"/>
        <v/>
      </c>
      <c r="X197" s="38"/>
      <c r="Y197" s="63" t="str">
        <f t="shared" si="40"/>
        <v/>
      </c>
      <c r="Z197" s="40"/>
    </row>
    <row r="198" spans="1:26" s="25" customFormat="1" ht="18" customHeight="1" x14ac:dyDescent="0.2">
      <c r="A198" s="272"/>
      <c r="B198" s="270"/>
      <c r="C198" s="270"/>
      <c r="D198" s="270"/>
      <c r="E198" s="270"/>
      <c r="F198" s="270"/>
      <c r="G198" s="270"/>
      <c r="H198" s="270"/>
      <c r="I198" s="392"/>
      <c r="J198" s="392"/>
      <c r="K198" s="352"/>
      <c r="L198" s="284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39"/>
        <v/>
      </c>
      <c r="X198" s="38"/>
      <c r="Y198" s="63" t="str">
        <f t="shared" si="40"/>
        <v/>
      </c>
      <c r="Z198" s="40"/>
    </row>
    <row r="199" spans="1:26" s="25" customFormat="1" ht="18" customHeight="1" x14ac:dyDescent="0.3">
      <c r="A199" s="272"/>
      <c r="B199" s="268"/>
      <c r="C199" s="268"/>
      <c r="D199" s="268"/>
      <c r="E199" s="268"/>
      <c r="F199" s="332"/>
      <c r="G199" s="268"/>
      <c r="H199" s="268"/>
      <c r="I199" s="392"/>
      <c r="J199" s="392"/>
      <c r="K199" s="352"/>
      <c r="L199" s="284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39"/>
        <v/>
      </c>
      <c r="X199" s="38"/>
      <c r="Y199" s="63" t="str">
        <f t="shared" si="40"/>
        <v/>
      </c>
      <c r="Z199" s="40"/>
    </row>
    <row r="200" spans="1:26" s="25" customFormat="1" ht="18" customHeight="1" thickBot="1" x14ac:dyDescent="0.35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300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39"/>
        <v/>
      </c>
      <c r="X200" s="38"/>
      <c r="Y200" s="63" t="str">
        <f t="shared" si="40"/>
        <v/>
      </c>
      <c r="Z200" s="40"/>
    </row>
    <row r="201" spans="1:26" s="56" customFormat="1" ht="18" customHeight="1" thickBot="1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403" t="s">
        <v>38</v>
      </c>
      <c r="B202" s="404"/>
      <c r="C202" s="404"/>
      <c r="D202" s="404"/>
      <c r="E202" s="404"/>
      <c r="F202" s="404"/>
      <c r="G202" s="404"/>
      <c r="H202" s="404"/>
      <c r="I202" s="404"/>
      <c r="J202" s="404"/>
      <c r="K202" s="404"/>
      <c r="L202" s="405"/>
      <c r="M202" s="24"/>
      <c r="N202" s="28"/>
      <c r="O202" s="396" t="s">
        <v>40</v>
      </c>
      <c r="P202" s="397"/>
      <c r="Q202" s="397"/>
      <c r="R202" s="398"/>
      <c r="S202" s="29"/>
      <c r="T202" s="396" t="s">
        <v>41</v>
      </c>
      <c r="U202" s="397"/>
      <c r="V202" s="397"/>
      <c r="W202" s="397"/>
      <c r="X202" s="397"/>
      <c r="Y202" s="398"/>
      <c r="Z202" s="30"/>
    </row>
    <row r="203" spans="1:26" s="25" customFormat="1" ht="18" customHeight="1" x14ac:dyDescent="0.2">
      <c r="A203" s="272"/>
      <c r="B203" s="270"/>
      <c r="C203" s="399" t="s">
        <v>202</v>
      </c>
      <c r="D203" s="399"/>
      <c r="E203" s="399"/>
      <c r="F203" s="399"/>
      <c r="G203" s="273" t="str">
        <f>$J$1</f>
        <v>June</v>
      </c>
      <c r="H203" s="400">
        <f>$K$1</f>
        <v>2024</v>
      </c>
      <c r="I203" s="400"/>
      <c r="J203" s="270"/>
      <c r="K203" s="274"/>
      <c r="L203" s="275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2"/>
      <c r="B204" s="270"/>
      <c r="C204" s="270"/>
      <c r="D204" s="276"/>
      <c r="E204" s="276"/>
      <c r="F204" s="276"/>
      <c r="G204" s="276"/>
      <c r="H204" s="276"/>
      <c r="I204" s="270"/>
      <c r="J204" s="277" t="s">
        <v>1</v>
      </c>
      <c r="K204" s="278">
        <f>22000+2000+2000</f>
        <v>26000</v>
      </c>
      <c r="L204" s="279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2"/>
      <c r="B205" s="270" t="s">
        <v>0</v>
      </c>
      <c r="C205" s="269" t="s">
        <v>80</v>
      </c>
      <c r="D205" s="270"/>
      <c r="E205" s="270"/>
      <c r="F205" s="270"/>
      <c r="G205" s="270"/>
      <c r="H205" s="280"/>
      <c r="I205" s="276"/>
      <c r="J205" s="270"/>
      <c r="K205" s="270"/>
      <c r="L205" s="281"/>
      <c r="M205" s="24"/>
      <c r="N205" s="39"/>
      <c r="O205" s="36" t="s">
        <v>69</v>
      </c>
      <c r="P205" s="36">
        <v>29</v>
      </c>
      <c r="Q205" s="36">
        <v>0</v>
      </c>
      <c r="R205" s="36">
        <f t="shared" ref="R205:R207" si="41">IF(Q205="","",R204-Q205)</f>
        <v>13</v>
      </c>
      <c r="S205" s="27"/>
      <c r="T205" s="36" t="s">
        <v>69</v>
      </c>
      <c r="U205" s="63">
        <f>Y204</f>
        <v>11225</v>
      </c>
      <c r="V205" s="38">
        <f>2000+1000+5000</f>
        <v>8000</v>
      </c>
      <c r="W205" s="63">
        <f>IF(U205="","",U205+V205)</f>
        <v>19225</v>
      </c>
      <c r="X205" s="38">
        <v>8000</v>
      </c>
      <c r="Y205" s="63">
        <f>IF(W205="","",W205-X205)</f>
        <v>11225</v>
      </c>
      <c r="Z205" s="40"/>
    </row>
    <row r="206" spans="1:26" s="25" customFormat="1" ht="18" customHeight="1" x14ac:dyDescent="0.2">
      <c r="A206" s="272"/>
      <c r="B206" s="282" t="s">
        <v>39</v>
      </c>
      <c r="C206" s="283"/>
      <c r="D206" s="270"/>
      <c r="E206" s="270"/>
      <c r="F206" s="406" t="s">
        <v>41</v>
      </c>
      <c r="G206" s="408"/>
      <c r="H206" s="270"/>
      <c r="I206" s="406" t="s">
        <v>42</v>
      </c>
      <c r="J206" s="407"/>
      <c r="K206" s="408"/>
      <c r="L206" s="284"/>
      <c r="N206" s="35"/>
      <c r="O206" s="36" t="s">
        <v>44</v>
      </c>
      <c r="P206" s="36">
        <v>31</v>
      </c>
      <c r="Q206" s="36">
        <v>0</v>
      </c>
      <c r="R206" s="36">
        <f t="shared" si="41"/>
        <v>13</v>
      </c>
      <c r="S206" s="27"/>
      <c r="T206" s="36" t="s">
        <v>44</v>
      </c>
      <c r="U206" s="63">
        <f>Y205</f>
        <v>11225</v>
      </c>
      <c r="V206" s="38">
        <v>3000</v>
      </c>
      <c r="W206" s="63">
        <f t="shared" ref="W206:W215" si="42">IF(U206="","",U206+V206)</f>
        <v>14225</v>
      </c>
      <c r="X206" s="38">
        <v>5000</v>
      </c>
      <c r="Y206" s="63">
        <f t="shared" ref="Y206:Y215" si="43">IF(W206="","",W206-X206)</f>
        <v>9225</v>
      </c>
      <c r="Z206" s="40"/>
    </row>
    <row r="207" spans="1:26" s="25" customFormat="1" ht="18" customHeight="1" x14ac:dyDescent="0.2">
      <c r="A207" s="272"/>
      <c r="B207" s="270"/>
      <c r="C207" s="270"/>
      <c r="D207" s="270"/>
      <c r="E207" s="270"/>
      <c r="F207" s="270"/>
      <c r="G207" s="270"/>
      <c r="H207" s="285"/>
      <c r="I207" s="270"/>
      <c r="J207" s="270"/>
      <c r="K207" s="270"/>
      <c r="L207" s="286"/>
      <c r="N207" s="35"/>
      <c r="O207" s="36" t="s">
        <v>45</v>
      </c>
      <c r="P207" s="36">
        <v>30</v>
      </c>
      <c r="Q207" s="36">
        <v>0</v>
      </c>
      <c r="R207" s="36">
        <f t="shared" si="41"/>
        <v>13</v>
      </c>
      <c r="S207" s="27"/>
      <c r="T207" s="36" t="s">
        <v>45</v>
      </c>
      <c r="U207" s="63">
        <f>IF($J$1="March","",Y206)</f>
        <v>9225</v>
      </c>
      <c r="V207" s="38">
        <f>6000+3000</f>
        <v>9000</v>
      </c>
      <c r="W207" s="63">
        <f t="shared" si="42"/>
        <v>18225</v>
      </c>
      <c r="X207" s="38">
        <v>5000</v>
      </c>
      <c r="Y207" s="63">
        <f t="shared" si="43"/>
        <v>13225</v>
      </c>
      <c r="Z207" s="40"/>
    </row>
    <row r="208" spans="1:26" s="25" customFormat="1" ht="18" customHeight="1" x14ac:dyDescent="0.2">
      <c r="A208" s="272"/>
      <c r="B208" s="401" t="s">
        <v>40</v>
      </c>
      <c r="C208" s="402"/>
      <c r="D208" s="270"/>
      <c r="E208" s="270"/>
      <c r="F208" s="287" t="s">
        <v>62</v>
      </c>
      <c r="G208" s="288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18225</v>
      </c>
      <c r="H208" s="285"/>
      <c r="I208" s="289">
        <f>IF(C212&gt;=C211,$K$2,C210+C212)</f>
        <v>30</v>
      </c>
      <c r="J208" s="290" t="s">
        <v>59</v>
      </c>
      <c r="K208" s="291">
        <f>K204/$K$2*I208</f>
        <v>26000</v>
      </c>
      <c r="L208" s="292"/>
      <c r="N208" s="35"/>
      <c r="O208" s="36" t="s">
        <v>46</v>
      </c>
      <c r="P208" s="36">
        <v>31</v>
      </c>
      <c r="Q208" s="36">
        <v>0</v>
      </c>
      <c r="R208" s="36">
        <v>0</v>
      </c>
      <c r="S208" s="27"/>
      <c r="T208" s="36" t="s">
        <v>46</v>
      </c>
      <c r="U208" s="63">
        <f>Y207</f>
        <v>13225</v>
      </c>
      <c r="V208" s="38">
        <f>3000+5000+2000</f>
        <v>10000</v>
      </c>
      <c r="W208" s="63">
        <f t="shared" si="42"/>
        <v>23225</v>
      </c>
      <c r="X208" s="38">
        <v>5000</v>
      </c>
      <c r="Y208" s="63">
        <f t="shared" si="43"/>
        <v>18225</v>
      </c>
      <c r="Z208" s="40"/>
    </row>
    <row r="209" spans="1:26" s="25" customFormat="1" ht="18" customHeight="1" x14ac:dyDescent="0.2">
      <c r="A209" s="272"/>
      <c r="B209" s="293"/>
      <c r="C209" s="293"/>
      <c r="D209" s="270"/>
      <c r="E209" s="270"/>
      <c r="F209" s="287" t="s">
        <v>18</v>
      </c>
      <c r="G209" s="288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10000</v>
      </c>
      <c r="H209" s="285"/>
      <c r="I209" s="289">
        <v>24</v>
      </c>
      <c r="J209" s="290" t="s">
        <v>60</v>
      </c>
      <c r="K209" s="294">
        <f>K204/$K$2/8*I209</f>
        <v>2600</v>
      </c>
      <c r="L209" s="295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>
        <f>Y208</f>
        <v>18225</v>
      </c>
      <c r="V209" s="38">
        <f>5000+5000</f>
        <v>10000</v>
      </c>
      <c r="W209" s="63">
        <f t="shared" si="42"/>
        <v>28225</v>
      </c>
      <c r="X209" s="38">
        <v>10000</v>
      </c>
      <c r="Y209" s="63">
        <f t="shared" si="43"/>
        <v>18225</v>
      </c>
      <c r="Z209" s="40"/>
    </row>
    <row r="210" spans="1:26" s="25" customFormat="1" ht="18" customHeight="1" x14ac:dyDescent="0.2">
      <c r="A210" s="272"/>
      <c r="B210" s="287" t="s">
        <v>7</v>
      </c>
      <c r="C210" s="293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0</v>
      </c>
      <c r="D210" s="270"/>
      <c r="E210" s="270"/>
      <c r="F210" s="287" t="s">
        <v>63</v>
      </c>
      <c r="G210" s="288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28225</v>
      </c>
      <c r="H210" s="285"/>
      <c r="I210" s="389" t="s">
        <v>67</v>
      </c>
      <c r="J210" s="390"/>
      <c r="K210" s="294">
        <f>K208+K209</f>
        <v>28600</v>
      </c>
      <c r="L210" s="295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2"/>
        <v/>
      </c>
      <c r="X210" s="38"/>
      <c r="Y210" s="63" t="str">
        <f t="shared" si="43"/>
        <v/>
      </c>
      <c r="Z210" s="40"/>
    </row>
    <row r="211" spans="1:26" s="25" customFormat="1" ht="18" customHeight="1" x14ac:dyDescent="0.2">
      <c r="A211" s="272"/>
      <c r="B211" s="287" t="s">
        <v>6</v>
      </c>
      <c r="C211" s="293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70"/>
      <c r="E211" s="270"/>
      <c r="F211" s="287" t="s">
        <v>19</v>
      </c>
      <c r="G211" s="288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10000</v>
      </c>
      <c r="H211" s="285"/>
      <c r="I211" s="389" t="s">
        <v>68</v>
      </c>
      <c r="J211" s="390"/>
      <c r="K211" s="288">
        <f>G211</f>
        <v>10000</v>
      </c>
      <c r="L211" s="296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2"/>
        <v/>
      </c>
      <c r="X211" s="38"/>
      <c r="Y211" s="63" t="str">
        <f t="shared" si="43"/>
        <v/>
      </c>
      <c r="Z211" s="40"/>
    </row>
    <row r="212" spans="1:26" s="25" customFormat="1" ht="18" customHeight="1" x14ac:dyDescent="0.2">
      <c r="A212" s="272"/>
      <c r="B212" s="302" t="s">
        <v>66</v>
      </c>
      <c r="C212" s="293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12" s="270"/>
      <c r="E212" s="270"/>
      <c r="F212" s="302" t="s">
        <v>195</v>
      </c>
      <c r="G212" s="288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18225</v>
      </c>
      <c r="H212" s="270"/>
      <c r="I212" s="391" t="s">
        <v>61</v>
      </c>
      <c r="J212" s="391"/>
      <c r="K212" s="229">
        <f>K210-K211</f>
        <v>18600</v>
      </c>
      <c r="L212" s="297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2"/>
        <v/>
      </c>
      <c r="X212" s="38"/>
      <c r="Y212" s="63" t="str">
        <f t="shared" si="43"/>
        <v/>
      </c>
      <c r="Z212" s="40"/>
    </row>
    <row r="213" spans="1:26" s="25" customFormat="1" ht="18" customHeight="1" x14ac:dyDescent="0.2">
      <c r="A213" s="272"/>
      <c r="B213" s="270"/>
      <c r="C213" s="270"/>
      <c r="D213" s="270"/>
      <c r="E213" s="270"/>
      <c r="F213" s="270"/>
      <c r="G213" s="270"/>
      <c r="H213" s="270"/>
      <c r="I213" s="392"/>
      <c r="J213" s="392"/>
      <c r="K213" s="352"/>
      <c r="L213" s="284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2"/>
        <v/>
      </c>
      <c r="X213" s="38"/>
      <c r="Y213" s="63" t="str">
        <f t="shared" si="43"/>
        <v/>
      </c>
      <c r="Z213" s="40"/>
    </row>
    <row r="214" spans="1:26" s="25" customFormat="1" ht="18" customHeight="1" x14ac:dyDescent="0.3">
      <c r="A214" s="272"/>
      <c r="B214" s="268"/>
      <c r="C214" s="268"/>
      <c r="D214" s="268"/>
      <c r="E214" s="268"/>
      <c r="F214" s="268"/>
      <c r="G214" s="268"/>
      <c r="H214" s="268"/>
      <c r="I214" s="392"/>
      <c r="J214" s="392"/>
      <c r="K214" s="352"/>
      <c r="L214" s="284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2"/>
        <v/>
      </c>
      <c r="X214" s="38"/>
      <c r="Y214" s="63" t="str">
        <f t="shared" si="43"/>
        <v/>
      </c>
      <c r="Z214" s="40"/>
    </row>
    <row r="215" spans="1:26" s="25" customFormat="1" ht="18" customHeight="1" thickBot="1" x14ac:dyDescent="0.35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300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2"/>
        <v/>
      </c>
      <c r="X215" s="38"/>
      <c r="Y215" s="63" t="str">
        <f t="shared" si="43"/>
        <v/>
      </c>
      <c r="Z215" s="40"/>
    </row>
    <row r="216" spans="1:26" s="56" customFormat="1" ht="18" customHeight="1" thickBot="1" x14ac:dyDescent="0.25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403" t="s">
        <v>38</v>
      </c>
      <c r="B217" s="404"/>
      <c r="C217" s="404"/>
      <c r="D217" s="404"/>
      <c r="E217" s="404"/>
      <c r="F217" s="404"/>
      <c r="G217" s="404"/>
      <c r="H217" s="404"/>
      <c r="I217" s="404"/>
      <c r="J217" s="404"/>
      <c r="K217" s="404"/>
      <c r="L217" s="405"/>
      <c r="M217" s="24"/>
      <c r="N217" s="28"/>
      <c r="O217" s="396" t="s">
        <v>40</v>
      </c>
      <c r="P217" s="397"/>
      <c r="Q217" s="397"/>
      <c r="R217" s="398"/>
      <c r="S217" s="29"/>
      <c r="T217" s="396" t="s">
        <v>41</v>
      </c>
      <c r="U217" s="397"/>
      <c r="V217" s="397"/>
      <c r="W217" s="397"/>
      <c r="X217" s="397"/>
      <c r="Y217" s="398"/>
      <c r="Z217" s="30"/>
    </row>
    <row r="218" spans="1:26" s="25" customFormat="1" ht="18" customHeight="1" x14ac:dyDescent="0.2">
      <c r="A218" s="272"/>
      <c r="B218" s="270"/>
      <c r="C218" s="399" t="s">
        <v>202</v>
      </c>
      <c r="D218" s="399"/>
      <c r="E218" s="399"/>
      <c r="F218" s="399"/>
      <c r="G218" s="273" t="str">
        <f>$J$1</f>
        <v>June</v>
      </c>
      <c r="H218" s="400">
        <f>$K$1</f>
        <v>2024</v>
      </c>
      <c r="I218" s="400"/>
      <c r="J218" s="270"/>
      <c r="K218" s="274"/>
      <c r="L218" s="275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2"/>
      <c r="B219" s="270"/>
      <c r="C219" s="270"/>
      <c r="D219" s="276"/>
      <c r="E219" s="276"/>
      <c r="F219" s="276"/>
      <c r="G219" s="276"/>
      <c r="H219" s="276"/>
      <c r="I219" s="270"/>
      <c r="J219" s="277" t="s">
        <v>1</v>
      </c>
      <c r="K219" s="278">
        <f>17000+2000+4000+12000</f>
        <v>35000</v>
      </c>
      <c r="L219" s="279"/>
      <c r="N219" s="35"/>
      <c r="O219" s="36" t="s">
        <v>43</v>
      </c>
      <c r="P219" s="36"/>
      <c r="Q219" s="36"/>
      <c r="R219" s="36">
        <f>11-Q219+2</f>
        <v>13</v>
      </c>
      <c r="S219" s="37"/>
      <c r="T219" s="36" t="s">
        <v>43</v>
      </c>
      <c r="U219" s="38"/>
      <c r="V219" s="38"/>
      <c r="W219" s="38">
        <f>V219+U219</f>
        <v>0</v>
      </c>
      <c r="X219" s="38"/>
      <c r="Y219" s="38">
        <f>W219-X219</f>
        <v>0</v>
      </c>
      <c r="Z219" s="34"/>
    </row>
    <row r="220" spans="1:26" s="25" customFormat="1" ht="18" customHeight="1" x14ac:dyDescent="0.2">
      <c r="A220" s="272"/>
      <c r="B220" s="270" t="s">
        <v>0</v>
      </c>
      <c r="C220" s="269" t="s">
        <v>245</v>
      </c>
      <c r="D220" s="270"/>
      <c r="E220" s="270"/>
      <c r="F220" s="270"/>
      <c r="G220" s="270"/>
      <c r="H220" s="280"/>
      <c r="I220" s="276"/>
      <c r="J220" s="270"/>
      <c r="K220" s="270"/>
      <c r="L220" s="281"/>
      <c r="M220" s="24"/>
      <c r="N220" s="39"/>
      <c r="O220" s="36" t="s">
        <v>69</v>
      </c>
      <c r="P220" s="36"/>
      <c r="Q220" s="36"/>
      <c r="R220" s="348" t="e">
        <f>IF(Q220="","",R219-Q220)+6</f>
        <v>#VALUE!</v>
      </c>
      <c r="S220" s="27"/>
      <c r="T220" s="36" t="s">
        <v>69</v>
      </c>
      <c r="U220" s="63"/>
      <c r="V220" s="38"/>
      <c r="W220" s="63" t="str">
        <f>IF(U220="","",U220+V220)</f>
        <v/>
      </c>
      <c r="X220" s="38"/>
      <c r="Y220" s="63" t="str">
        <f>IF(W220="","",W220-X220)</f>
        <v/>
      </c>
      <c r="Z220" s="40"/>
    </row>
    <row r="221" spans="1:26" s="25" customFormat="1" ht="18" customHeight="1" x14ac:dyDescent="0.2">
      <c r="A221" s="272"/>
      <c r="B221" s="282" t="s">
        <v>39</v>
      </c>
      <c r="C221" s="283"/>
      <c r="D221" s="270"/>
      <c r="E221" s="270"/>
      <c r="F221" s="406" t="s">
        <v>41</v>
      </c>
      <c r="G221" s="408"/>
      <c r="H221" s="270"/>
      <c r="I221" s="406" t="s">
        <v>42</v>
      </c>
      <c r="J221" s="407"/>
      <c r="K221" s="408"/>
      <c r="L221" s="284"/>
      <c r="N221" s="35"/>
      <c r="O221" s="36" t="s">
        <v>44</v>
      </c>
      <c r="P221" s="36"/>
      <c r="Q221" s="36"/>
      <c r="R221" s="36" t="str">
        <f t="shared" ref="R221:R226" si="44">IF(Q221="","",R220-Q221)</f>
        <v/>
      </c>
      <c r="S221" s="27"/>
      <c r="T221" s="36" t="s">
        <v>44</v>
      </c>
      <c r="U221" s="63"/>
      <c r="V221" s="38"/>
      <c r="W221" s="63" t="str">
        <f t="shared" ref="W221:W230" si="45">IF(U221="","",U221+V221)</f>
        <v/>
      </c>
      <c r="X221" s="38"/>
      <c r="Y221" s="63" t="str">
        <f t="shared" ref="Y221:Y230" si="46">IF(W221="","",W221-X221)</f>
        <v/>
      </c>
      <c r="Z221" s="40"/>
    </row>
    <row r="222" spans="1:26" s="25" customFormat="1" ht="18" customHeight="1" x14ac:dyDescent="0.2">
      <c r="A222" s="272"/>
      <c r="B222" s="270"/>
      <c r="C222" s="270"/>
      <c r="D222" s="270"/>
      <c r="E222" s="270"/>
      <c r="F222" s="270"/>
      <c r="G222" s="270"/>
      <c r="H222" s="285"/>
      <c r="I222" s="270"/>
      <c r="J222" s="270"/>
      <c r="K222" s="270"/>
      <c r="L222" s="286"/>
      <c r="N222" s="35"/>
      <c r="O222" s="36" t="s">
        <v>45</v>
      </c>
      <c r="P222" s="36"/>
      <c r="Q222" s="36"/>
      <c r="R222" s="36">
        <f>0+2</f>
        <v>2</v>
      </c>
      <c r="S222" s="27"/>
      <c r="T222" s="36" t="s">
        <v>45</v>
      </c>
      <c r="U222" s="63" t="str">
        <f>Y221</f>
        <v/>
      </c>
      <c r="V222" s="38"/>
      <c r="W222" s="63" t="str">
        <f t="shared" si="45"/>
        <v/>
      </c>
      <c r="X222" s="38"/>
      <c r="Y222" s="63" t="str">
        <f t="shared" si="46"/>
        <v/>
      </c>
      <c r="Z222" s="40"/>
    </row>
    <row r="223" spans="1:26" s="25" customFormat="1" ht="18" customHeight="1" x14ac:dyDescent="0.2">
      <c r="A223" s="272"/>
      <c r="B223" s="401" t="s">
        <v>40</v>
      </c>
      <c r="C223" s="402"/>
      <c r="D223" s="270"/>
      <c r="E223" s="270"/>
      <c r="F223" s="287" t="s">
        <v>62</v>
      </c>
      <c r="G223" s="288" t="str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/>
      </c>
      <c r="H223" s="285"/>
      <c r="I223" s="289">
        <v>10</v>
      </c>
      <c r="J223" s="290" t="s">
        <v>59</v>
      </c>
      <c r="K223" s="291">
        <f>K219/$K$2*I223</f>
        <v>11666.666666666668</v>
      </c>
      <c r="L223" s="292"/>
      <c r="N223" s="35"/>
      <c r="O223" s="36" t="s">
        <v>46</v>
      </c>
      <c r="P223" s="36"/>
      <c r="Q223" s="36"/>
      <c r="R223" s="36">
        <v>0</v>
      </c>
      <c r="S223" s="27"/>
      <c r="T223" s="36" t="s">
        <v>46</v>
      </c>
      <c r="U223" s="63" t="str">
        <f>IF($J$1="May",Y222,Y222)</f>
        <v/>
      </c>
      <c r="V223" s="38"/>
      <c r="W223" s="63" t="str">
        <f t="shared" si="45"/>
        <v/>
      </c>
      <c r="X223" s="38"/>
      <c r="Y223" s="63" t="str">
        <f t="shared" si="46"/>
        <v/>
      </c>
      <c r="Z223" s="40"/>
    </row>
    <row r="224" spans="1:26" s="25" customFormat="1" ht="18" customHeight="1" x14ac:dyDescent="0.2">
      <c r="A224" s="272"/>
      <c r="B224" s="293"/>
      <c r="C224" s="293"/>
      <c r="D224" s="270"/>
      <c r="E224" s="270"/>
      <c r="F224" s="287" t="s">
        <v>18</v>
      </c>
      <c r="G224" s="288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85"/>
      <c r="I224" s="289"/>
      <c r="J224" s="290" t="s">
        <v>60</v>
      </c>
      <c r="K224" s="294">
        <f>K219/$K$2/8*I224</f>
        <v>0</v>
      </c>
      <c r="L224" s="295"/>
      <c r="N224" s="35"/>
      <c r="O224" s="36" t="s">
        <v>47</v>
      </c>
      <c r="P224" s="36"/>
      <c r="Q224" s="36"/>
      <c r="R224" s="36" t="str">
        <f t="shared" si="44"/>
        <v/>
      </c>
      <c r="S224" s="27"/>
      <c r="T224" s="36" t="s">
        <v>47</v>
      </c>
      <c r="U224" s="63" t="str">
        <f>IF($J$1="May",Y223,Y223)</f>
        <v/>
      </c>
      <c r="V224" s="38"/>
      <c r="W224" s="63" t="str">
        <f t="shared" si="45"/>
        <v/>
      </c>
      <c r="X224" s="38"/>
      <c r="Y224" s="63" t="str">
        <f t="shared" si="46"/>
        <v/>
      </c>
      <c r="Z224" s="40"/>
    </row>
    <row r="225" spans="1:26" s="25" customFormat="1" ht="18" customHeight="1" x14ac:dyDescent="0.2">
      <c r="A225" s="272"/>
      <c r="B225" s="287" t="s">
        <v>7</v>
      </c>
      <c r="C225" s="293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0</v>
      </c>
      <c r="D225" s="270"/>
      <c r="E225" s="270"/>
      <c r="F225" s="287" t="s">
        <v>63</v>
      </c>
      <c r="G225" s="288" t="str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/>
      </c>
      <c r="H225" s="285"/>
      <c r="I225" s="389" t="s">
        <v>67</v>
      </c>
      <c r="J225" s="390"/>
      <c r="K225" s="294">
        <f>K223+K224</f>
        <v>11666.666666666668</v>
      </c>
      <c r="L225" s="295"/>
      <c r="N225" s="35"/>
      <c r="O225" s="36" t="s">
        <v>48</v>
      </c>
      <c r="P225" s="36"/>
      <c r="Q225" s="36"/>
      <c r="R225" s="36" t="str">
        <f t="shared" si="44"/>
        <v/>
      </c>
      <c r="S225" s="27"/>
      <c r="T225" s="36" t="s">
        <v>48</v>
      </c>
      <c r="U225" s="63" t="str">
        <f t="shared" ref="U225:U230" si="47">Y224</f>
        <v/>
      </c>
      <c r="V225" s="38"/>
      <c r="W225" s="63" t="str">
        <f t="shared" si="45"/>
        <v/>
      </c>
      <c r="X225" s="38"/>
      <c r="Y225" s="63" t="str">
        <f t="shared" si="46"/>
        <v/>
      </c>
      <c r="Z225" s="40"/>
    </row>
    <row r="226" spans="1:26" s="25" customFormat="1" ht="18" customHeight="1" x14ac:dyDescent="0.2">
      <c r="A226" s="272"/>
      <c r="B226" s="287" t="s">
        <v>6</v>
      </c>
      <c r="C226" s="293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6" s="270"/>
      <c r="E226" s="270"/>
      <c r="F226" s="287" t="s">
        <v>19</v>
      </c>
      <c r="G226" s="288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6" s="285"/>
      <c r="I226" s="389" t="s">
        <v>68</v>
      </c>
      <c r="J226" s="390"/>
      <c r="K226" s="288">
        <f>G226</f>
        <v>0</v>
      </c>
      <c r="L226" s="296"/>
      <c r="N226" s="35"/>
      <c r="O226" s="36" t="s">
        <v>49</v>
      </c>
      <c r="P226" s="36"/>
      <c r="Q226" s="36"/>
      <c r="R226" s="36" t="str">
        <f t="shared" si="44"/>
        <v/>
      </c>
      <c r="S226" s="27"/>
      <c r="T226" s="36" t="s">
        <v>49</v>
      </c>
      <c r="U226" s="63" t="str">
        <f t="shared" si="47"/>
        <v/>
      </c>
      <c r="V226" s="38"/>
      <c r="W226" s="63" t="str">
        <f t="shared" si="45"/>
        <v/>
      </c>
      <c r="X226" s="38"/>
      <c r="Y226" s="63" t="str">
        <f t="shared" si="46"/>
        <v/>
      </c>
      <c r="Z226" s="40"/>
    </row>
    <row r="227" spans="1:26" s="25" customFormat="1" ht="18" customHeight="1" x14ac:dyDescent="0.2">
      <c r="A227" s="272"/>
      <c r="B227" s="302" t="s">
        <v>66</v>
      </c>
      <c r="C227" s="293" t="str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/>
      </c>
      <c r="D227" s="270"/>
      <c r="E227" s="270"/>
      <c r="F227" s="302" t="s">
        <v>195</v>
      </c>
      <c r="G227" s="288" t="str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/>
      </c>
      <c r="H227" s="270"/>
      <c r="I227" s="391" t="s">
        <v>61</v>
      </c>
      <c r="J227" s="391"/>
      <c r="K227" s="229">
        <f>K225-K226</f>
        <v>11666.666666666668</v>
      </c>
      <c r="L227" s="297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 t="str">
        <f t="shared" si="47"/>
        <v/>
      </c>
      <c r="V227" s="38"/>
      <c r="W227" s="63" t="str">
        <f t="shared" si="45"/>
        <v/>
      </c>
      <c r="X227" s="38"/>
      <c r="Y227" s="63" t="str">
        <f t="shared" si="46"/>
        <v/>
      </c>
      <c r="Z227" s="40"/>
    </row>
    <row r="228" spans="1:26" s="25" customFormat="1" ht="18" customHeight="1" x14ac:dyDescent="0.2">
      <c r="A228" s="272"/>
      <c r="B228" s="270"/>
      <c r="C228" s="270"/>
      <c r="D228" s="270"/>
      <c r="E228" s="270"/>
      <c r="F228" s="270"/>
      <c r="G228" s="270"/>
      <c r="H228" s="270"/>
      <c r="I228" s="392"/>
      <c r="J228" s="392"/>
      <c r="K228" s="352"/>
      <c r="L228" s="284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 t="str">
        <f t="shared" si="47"/>
        <v/>
      </c>
      <c r="V228" s="38"/>
      <c r="W228" s="63" t="str">
        <f t="shared" si="45"/>
        <v/>
      </c>
      <c r="X228" s="38"/>
      <c r="Y228" s="63" t="str">
        <f t="shared" si="46"/>
        <v/>
      </c>
      <c r="Z228" s="40"/>
    </row>
    <row r="229" spans="1:26" s="25" customFormat="1" ht="18" customHeight="1" x14ac:dyDescent="0.3">
      <c r="A229" s="272"/>
      <c r="B229" s="268"/>
      <c r="C229" s="268"/>
      <c r="D229" s="268"/>
      <c r="E229" s="268"/>
      <c r="F229" s="268"/>
      <c r="G229" s="268"/>
      <c r="H229" s="268"/>
      <c r="I229" s="392"/>
      <c r="J229" s="392"/>
      <c r="K229" s="352"/>
      <c r="L229" s="284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 t="str">
        <f t="shared" si="47"/>
        <v/>
      </c>
      <c r="V229" s="38"/>
      <c r="W229" s="63" t="str">
        <f t="shared" si="45"/>
        <v/>
      </c>
      <c r="X229" s="38"/>
      <c r="Y229" s="63" t="str">
        <f t="shared" si="46"/>
        <v/>
      </c>
      <c r="Z229" s="40"/>
    </row>
    <row r="230" spans="1:26" s="25" customFormat="1" ht="18" customHeight="1" thickBot="1" x14ac:dyDescent="0.35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300"/>
      <c r="N230" s="35"/>
      <c r="O230" s="36" t="s">
        <v>56</v>
      </c>
      <c r="P230" s="340"/>
      <c r="Q230" s="340"/>
      <c r="R230" s="330"/>
      <c r="S230" s="27"/>
      <c r="T230" s="36" t="s">
        <v>56</v>
      </c>
      <c r="U230" s="63" t="str">
        <f t="shared" si="47"/>
        <v/>
      </c>
      <c r="V230" s="38"/>
      <c r="W230" s="63" t="str">
        <f t="shared" si="45"/>
        <v/>
      </c>
      <c r="X230" s="38"/>
      <c r="Y230" s="63" t="str">
        <f t="shared" si="46"/>
        <v/>
      </c>
      <c r="Z230" s="40"/>
    </row>
    <row r="231" spans="1:26" s="56" customFormat="1" ht="18" customHeight="1" thickBot="1" x14ac:dyDescent="0.25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403" t="s">
        <v>38</v>
      </c>
      <c r="B232" s="404"/>
      <c r="C232" s="404"/>
      <c r="D232" s="404"/>
      <c r="E232" s="404"/>
      <c r="F232" s="404"/>
      <c r="G232" s="404"/>
      <c r="H232" s="404"/>
      <c r="I232" s="404"/>
      <c r="J232" s="404"/>
      <c r="K232" s="404"/>
      <c r="L232" s="405"/>
      <c r="M232" s="24"/>
      <c r="N232" s="28"/>
      <c r="O232" s="396" t="s">
        <v>40</v>
      </c>
      <c r="P232" s="397"/>
      <c r="Q232" s="397"/>
      <c r="R232" s="398"/>
      <c r="S232" s="29"/>
      <c r="T232" s="396" t="s">
        <v>41</v>
      </c>
      <c r="U232" s="397"/>
      <c r="V232" s="397"/>
      <c r="W232" s="397"/>
      <c r="X232" s="397"/>
      <c r="Y232" s="398"/>
      <c r="Z232" s="27"/>
    </row>
    <row r="233" spans="1:26" s="25" customFormat="1" ht="18" customHeight="1" x14ac:dyDescent="0.2">
      <c r="A233" s="272"/>
      <c r="B233" s="270"/>
      <c r="C233" s="399" t="s">
        <v>202</v>
      </c>
      <c r="D233" s="399"/>
      <c r="E233" s="399"/>
      <c r="F233" s="399"/>
      <c r="G233" s="273" t="str">
        <f>$J$1</f>
        <v>June</v>
      </c>
      <c r="H233" s="400">
        <f>$K$1</f>
        <v>2024</v>
      </c>
      <c r="I233" s="400"/>
      <c r="J233" s="270"/>
      <c r="K233" s="274"/>
      <c r="L233" s="275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2"/>
      <c r="B234" s="270"/>
      <c r="C234" s="270"/>
      <c r="D234" s="276"/>
      <c r="E234" s="276"/>
      <c r="F234" s="276"/>
      <c r="G234" s="276"/>
      <c r="H234" s="276"/>
      <c r="I234" s="270"/>
      <c r="J234" s="277" t="s">
        <v>1</v>
      </c>
      <c r="K234" s="278">
        <f>25000+7000</f>
        <v>32000</v>
      </c>
      <c r="L234" s="279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2"/>
      <c r="B235" s="270" t="s">
        <v>0</v>
      </c>
      <c r="C235" s="269" t="s">
        <v>205</v>
      </c>
      <c r="D235" s="270"/>
      <c r="E235" s="270"/>
      <c r="F235" s="270"/>
      <c r="G235" s="270"/>
      <c r="H235" s="280"/>
      <c r="I235" s="276"/>
      <c r="J235" s="270"/>
      <c r="K235" s="270"/>
      <c r="L235" s="281"/>
      <c r="M235" s="24"/>
      <c r="N235" s="39"/>
      <c r="O235" s="36" t="s">
        <v>69</v>
      </c>
      <c r="P235" s="36">
        <v>28</v>
      </c>
      <c r="Q235" s="36">
        <v>1</v>
      </c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2"/>
      <c r="B236" s="282" t="s">
        <v>39</v>
      </c>
      <c r="C236" s="309">
        <v>45223</v>
      </c>
      <c r="D236" s="270"/>
      <c r="E236" s="270"/>
      <c r="F236" s="406" t="s">
        <v>41</v>
      </c>
      <c r="G236" s="408"/>
      <c r="H236" s="270"/>
      <c r="I236" s="406" t="s">
        <v>42</v>
      </c>
      <c r="J236" s="407"/>
      <c r="K236" s="408"/>
      <c r="L236" s="284"/>
      <c r="N236" s="35"/>
      <c r="O236" s="36" t="s">
        <v>44</v>
      </c>
      <c r="P236" s="36">
        <v>31</v>
      </c>
      <c r="Q236" s="36">
        <v>0</v>
      </c>
      <c r="R236" s="36"/>
      <c r="S236" s="27"/>
      <c r="T236" s="36" t="s">
        <v>44</v>
      </c>
      <c r="U236" s="63"/>
      <c r="V236" s="38"/>
      <c r="W236" s="63" t="str">
        <f t="shared" ref="W236:W245" si="48">IF(U236="","",U236+V236)</f>
        <v/>
      </c>
      <c r="X236" s="38"/>
      <c r="Y236" s="63" t="str">
        <f t="shared" ref="Y236:Y245" si="49">IF(W236="","",W236-X236)</f>
        <v/>
      </c>
      <c r="Z236" s="27"/>
    </row>
    <row r="237" spans="1:26" s="25" customFormat="1" ht="18" customHeight="1" x14ac:dyDescent="0.2">
      <c r="A237" s="272"/>
      <c r="B237" s="270"/>
      <c r="C237" s="270"/>
      <c r="D237" s="270"/>
      <c r="E237" s="270"/>
      <c r="F237" s="270"/>
      <c r="G237" s="270"/>
      <c r="H237" s="285"/>
      <c r="I237" s="270"/>
      <c r="J237" s="270"/>
      <c r="K237" s="270"/>
      <c r="L237" s="286"/>
      <c r="N237" s="35"/>
      <c r="O237" s="36" t="s">
        <v>45</v>
      </c>
      <c r="P237" s="36">
        <v>21</v>
      </c>
      <c r="Q237" s="36">
        <v>9</v>
      </c>
      <c r="R237" s="36"/>
      <c r="S237" s="27"/>
      <c r="T237" s="36" t="s">
        <v>45</v>
      </c>
      <c r="U237" s="63"/>
      <c r="V237" s="38"/>
      <c r="W237" s="63" t="str">
        <f t="shared" si="48"/>
        <v/>
      </c>
      <c r="X237" s="38"/>
      <c r="Y237" s="63" t="str">
        <f t="shared" si="49"/>
        <v/>
      </c>
      <c r="Z237" s="27"/>
    </row>
    <row r="238" spans="1:26" s="25" customFormat="1" ht="18" customHeight="1" x14ac:dyDescent="0.2">
      <c r="A238" s="272"/>
      <c r="B238" s="401" t="s">
        <v>40</v>
      </c>
      <c r="C238" s="402"/>
      <c r="D238" s="270"/>
      <c r="E238" s="270"/>
      <c r="F238" s="287" t="s">
        <v>62</v>
      </c>
      <c r="G238" s="288" t="str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/>
      </c>
      <c r="H238" s="285"/>
      <c r="I238" s="289">
        <f>IF(C242&gt;=C241,$K$2,C240+C242)</f>
        <v>24</v>
      </c>
      <c r="J238" s="290" t="s">
        <v>59</v>
      </c>
      <c r="K238" s="291">
        <f>K234/$K$2*I238</f>
        <v>25600</v>
      </c>
      <c r="L238" s="292"/>
      <c r="N238" s="35"/>
      <c r="O238" s="36" t="s">
        <v>46</v>
      </c>
      <c r="P238" s="36">
        <v>29</v>
      </c>
      <c r="Q238" s="36">
        <v>2</v>
      </c>
      <c r="R238" s="36"/>
      <c r="S238" s="27"/>
      <c r="T238" s="36" t="s">
        <v>46</v>
      </c>
      <c r="U238" s="63"/>
      <c r="V238" s="38"/>
      <c r="W238" s="63" t="str">
        <f t="shared" si="48"/>
        <v/>
      </c>
      <c r="X238" s="38"/>
      <c r="Y238" s="63" t="str">
        <f t="shared" si="49"/>
        <v/>
      </c>
      <c r="Z238" s="27"/>
    </row>
    <row r="239" spans="1:26" s="25" customFormat="1" ht="18" customHeight="1" x14ac:dyDescent="0.2">
      <c r="A239" s="272"/>
      <c r="B239" s="293"/>
      <c r="C239" s="293"/>
      <c r="D239" s="270"/>
      <c r="E239" s="270"/>
      <c r="F239" s="287" t="s">
        <v>18</v>
      </c>
      <c r="G239" s="28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5"/>
      <c r="I239" s="289">
        <v>49</v>
      </c>
      <c r="J239" s="290" t="s">
        <v>60</v>
      </c>
      <c r="K239" s="294">
        <f>K234/$K$2/8*I239</f>
        <v>6533.3333333333339</v>
      </c>
      <c r="L239" s="295"/>
      <c r="N239" s="35"/>
      <c r="O239" s="36" t="s">
        <v>47</v>
      </c>
      <c r="P239" s="36">
        <v>24</v>
      </c>
      <c r="Q239" s="36">
        <v>6</v>
      </c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49"/>
        <v/>
      </c>
      <c r="Z239" s="27"/>
    </row>
    <row r="240" spans="1:26" s="25" customFormat="1" ht="18" customHeight="1" x14ac:dyDescent="0.2">
      <c r="A240" s="272"/>
      <c r="B240" s="287" t="s">
        <v>7</v>
      </c>
      <c r="C240" s="293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24</v>
      </c>
      <c r="D240" s="270"/>
      <c r="E240" s="270"/>
      <c r="F240" s="287" t="s">
        <v>63</v>
      </c>
      <c r="G240" s="288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0</v>
      </c>
      <c r="H240" s="285"/>
      <c r="I240" s="389" t="s">
        <v>67</v>
      </c>
      <c r="J240" s="390"/>
      <c r="K240" s="294">
        <f>K238+K239</f>
        <v>32133.333333333336</v>
      </c>
      <c r="L240" s="295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48"/>
        <v/>
      </c>
      <c r="X240" s="38"/>
      <c r="Y240" s="63" t="str">
        <f t="shared" si="49"/>
        <v/>
      </c>
      <c r="Z240" s="27"/>
    </row>
    <row r="241" spans="1:26" s="25" customFormat="1" ht="18" customHeight="1" x14ac:dyDescent="0.2">
      <c r="A241" s="272"/>
      <c r="B241" s="287" t="s">
        <v>6</v>
      </c>
      <c r="C241" s="293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6</v>
      </c>
      <c r="D241" s="270"/>
      <c r="E241" s="270"/>
      <c r="F241" s="287" t="s">
        <v>19</v>
      </c>
      <c r="G241" s="28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5"/>
      <c r="I241" s="389" t="s">
        <v>68</v>
      </c>
      <c r="J241" s="390"/>
      <c r="K241" s="288">
        <f>G241</f>
        <v>0</v>
      </c>
      <c r="L241" s="296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48"/>
        <v/>
      </c>
      <c r="X241" s="38"/>
      <c r="Y241" s="63" t="str">
        <f t="shared" si="49"/>
        <v/>
      </c>
      <c r="Z241" s="27"/>
    </row>
    <row r="242" spans="1:26" s="25" customFormat="1" ht="18" customHeight="1" x14ac:dyDescent="0.2">
      <c r="A242" s="272"/>
      <c r="B242" s="302" t="s">
        <v>66</v>
      </c>
      <c r="C242" s="293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0"/>
      <c r="E242" s="270"/>
      <c r="F242" s="302" t="s">
        <v>195</v>
      </c>
      <c r="G242" s="288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0"/>
      <c r="I242" s="391" t="s">
        <v>61</v>
      </c>
      <c r="J242" s="391"/>
      <c r="K242" s="229">
        <f>K240-K241</f>
        <v>32133.333333333336</v>
      </c>
      <c r="L242" s="297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48"/>
        <v/>
      </c>
      <c r="X242" s="38"/>
      <c r="Y242" s="63" t="str">
        <f t="shared" si="49"/>
        <v/>
      </c>
      <c r="Z242" s="40"/>
    </row>
    <row r="243" spans="1:26" s="25" customFormat="1" ht="18" customHeight="1" x14ac:dyDescent="0.2">
      <c r="A243" s="272"/>
      <c r="B243" s="270"/>
      <c r="C243" s="270"/>
      <c r="D243" s="270"/>
      <c r="E243" s="270"/>
      <c r="F243" s="270"/>
      <c r="G243" s="270"/>
      <c r="H243" s="270"/>
      <c r="I243" s="392"/>
      <c r="J243" s="392"/>
      <c r="K243" s="352"/>
      <c r="L243" s="284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48"/>
        <v/>
      </c>
      <c r="X243" s="38"/>
      <c r="Y243" s="63" t="str">
        <f t="shared" si="49"/>
        <v/>
      </c>
      <c r="Z243" s="40"/>
    </row>
    <row r="244" spans="1:26" s="25" customFormat="1" ht="18" customHeight="1" x14ac:dyDescent="0.3">
      <c r="A244" s="272"/>
      <c r="B244" s="268"/>
      <c r="C244" s="268"/>
      <c r="D244" s="268"/>
      <c r="E244" s="268"/>
      <c r="F244" s="268"/>
      <c r="G244" s="268"/>
      <c r="H244" s="268"/>
      <c r="I244" s="392"/>
      <c r="J244" s="392"/>
      <c r="K244" s="352"/>
      <c r="L244" s="284"/>
      <c r="N244" s="35"/>
      <c r="O244" s="36" t="s">
        <v>55</v>
      </c>
      <c r="P244" s="339"/>
      <c r="Q244" s="339"/>
      <c r="R244" s="36"/>
      <c r="S244" s="27"/>
      <c r="T244" s="36" t="s">
        <v>55</v>
      </c>
      <c r="U244" s="63"/>
      <c r="V244" s="38"/>
      <c r="W244" s="63" t="str">
        <f t="shared" si="48"/>
        <v/>
      </c>
      <c r="X244" s="38"/>
      <c r="Y244" s="63" t="str">
        <f t="shared" si="49"/>
        <v/>
      </c>
      <c r="Z244" s="27"/>
    </row>
    <row r="245" spans="1:26" s="25" customFormat="1" ht="18" customHeight="1" thickBot="1" x14ac:dyDescent="0.35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300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48"/>
        <v/>
      </c>
      <c r="X245" s="38"/>
      <c r="Y245" s="63" t="str">
        <f t="shared" si="49"/>
        <v/>
      </c>
      <c r="Z245" s="27"/>
    </row>
    <row r="246" spans="1:26" s="56" customFormat="1" ht="18" customHeight="1" thickBot="1" x14ac:dyDescent="0.25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403" t="s">
        <v>38</v>
      </c>
      <c r="B247" s="404"/>
      <c r="C247" s="404"/>
      <c r="D247" s="404"/>
      <c r="E247" s="404"/>
      <c r="F247" s="404"/>
      <c r="G247" s="404"/>
      <c r="H247" s="404"/>
      <c r="I247" s="404"/>
      <c r="J247" s="404"/>
      <c r="K247" s="404"/>
      <c r="L247" s="405"/>
      <c r="M247" s="24"/>
      <c r="N247" s="28"/>
      <c r="O247" s="396" t="s">
        <v>40</v>
      </c>
      <c r="P247" s="397"/>
      <c r="Q247" s="397"/>
      <c r="R247" s="398"/>
      <c r="S247" s="29"/>
      <c r="T247" s="396" t="s">
        <v>41</v>
      </c>
      <c r="U247" s="397"/>
      <c r="V247" s="397"/>
      <c r="W247" s="397"/>
      <c r="X247" s="397"/>
      <c r="Y247" s="398"/>
      <c r="Z247" s="27"/>
    </row>
    <row r="248" spans="1:26" s="25" customFormat="1" ht="18" customHeight="1" x14ac:dyDescent="0.2">
      <c r="A248" s="272"/>
      <c r="B248" s="270"/>
      <c r="C248" s="399" t="s">
        <v>202</v>
      </c>
      <c r="D248" s="399"/>
      <c r="E248" s="399"/>
      <c r="F248" s="399"/>
      <c r="G248" s="273" t="str">
        <f>$J$1</f>
        <v>June</v>
      </c>
      <c r="H248" s="400">
        <f>$K$1</f>
        <v>2024</v>
      </c>
      <c r="I248" s="400"/>
      <c r="J248" s="270"/>
      <c r="K248" s="274"/>
      <c r="L248" s="275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2"/>
      <c r="B249" s="270"/>
      <c r="C249" s="270"/>
      <c r="D249" s="276"/>
      <c r="E249" s="276"/>
      <c r="F249" s="276"/>
      <c r="G249" s="276"/>
      <c r="H249" s="276"/>
      <c r="I249" s="270"/>
      <c r="J249" s="277" t="s">
        <v>1</v>
      </c>
      <c r="K249" s="278">
        <f>35000+10000</f>
        <v>45000</v>
      </c>
      <c r="L249" s="279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2"/>
      <c r="B250" s="270" t="s">
        <v>0</v>
      </c>
      <c r="C250" s="269" t="s">
        <v>194</v>
      </c>
      <c r="D250" s="270"/>
      <c r="E250" s="270"/>
      <c r="F250" s="270"/>
      <c r="G250" s="270"/>
      <c r="H250" s="280"/>
      <c r="I250" s="276"/>
      <c r="J250" s="270"/>
      <c r="K250" s="270"/>
      <c r="L250" s="281"/>
      <c r="M250" s="24"/>
      <c r="N250" s="39"/>
      <c r="O250" s="36" t="s">
        <v>69</v>
      </c>
      <c r="P250" s="36">
        <v>29</v>
      </c>
      <c r="Q250" s="36">
        <v>0</v>
      </c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2"/>
      <c r="B251" s="282" t="s">
        <v>39</v>
      </c>
      <c r="C251" s="283"/>
      <c r="D251" s="270"/>
      <c r="E251" s="270"/>
      <c r="F251" s="406" t="s">
        <v>41</v>
      </c>
      <c r="G251" s="408"/>
      <c r="H251" s="270"/>
      <c r="I251" s="406" t="s">
        <v>42</v>
      </c>
      <c r="J251" s="407"/>
      <c r="K251" s="408"/>
      <c r="L251" s="284"/>
      <c r="N251" s="35"/>
      <c r="O251" s="36" t="s">
        <v>44</v>
      </c>
      <c r="P251" s="36">
        <v>31</v>
      </c>
      <c r="Q251" s="36">
        <v>0</v>
      </c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2"/>
      <c r="B252" s="270"/>
      <c r="C252" s="270"/>
      <c r="D252" s="270"/>
      <c r="E252" s="270"/>
      <c r="F252" s="270"/>
      <c r="G252" s="270"/>
      <c r="H252" s="285"/>
      <c r="I252" s="270"/>
      <c r="J252" s="270"/>
      <c r="K252" s="270"/>
      <c r="L252" s="286"/>
      <c r="N252" s="35"/>
      <c r="O252" s="36" t="s">
        <v>45</v>
      </c>
      <c r="P252" s="36">
        <v>30</v>
      </c>
      <c r="Q252" s="36">
        <v>0</v>
      </c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2"/>
      <c r="B253" s="401" t="s">
        <v>40</v>
      </c>
      <c r="C253" s="402"/>
      <c r="D253" s="270"/>
      <c r="E253" s="270"/>
      <c r="F253" s="287" t="s">
        <v>62</v>
      </c>
      <c r="G253" s="288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5"/>
      <c r="I253" s="289">
        <f>IF(C257&gt;=C256,$K$2,C255+C257)</f>
        <v>30</v>
      </c>
      <c r="J253" s="290" t="s">
        <v>59</v>
      </c>
      <c r="K253" s="291">
        <f>K249/$K$2*I253</f>
        <v>45000</v>
      </c>
      <c r="L253" s="292"/>
      <c r="N253" s="35"/>
      <c r="O253" s="36" t="s">
        <v>46</v>
      </c>
      <c r="P253" s="36">
        <v>31</v>
      </c>
      <c r="Q253" s="36">
        <v>0</v>
      </c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2"/>
      <c r="B254" s="293"/>
      <c r="C254" s="293"/>
      <c r="D254" s="270"/>
      <c r="E254" s="270"/>
      <c r="F254" s="287" t="s">
        <v>18</v>
      </c>
      <c r="G254" s="288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5"/>
      <c r="I254" s="289">
        <v>91</v>
      </c>
      <c r="J254" s="290" t="s">
        <v>60</v>
      </c>
      <c r="K254" s="294">
        <f>K249/$K$2/8*I254</f>
        <v>17062.5</v>
      </c>
      <c r="L254" s="295"/>
      <c r="N254" s="35"/>
      <c r="O254" s="36" t="s">
        <v>47</v>
      </c>
      <c r="P254" s="339">
        <v>30</v>
      </c>
      <c r="Q254" s="339">
        <v>0</v>
      </c>
      <c r="R254" s="36">
        <v>0</v>
      </c>
      <c r="S254" s="27"/>
      <c r="T254" s="36" t="s">
        <v>47</v>
      </c>
      <c r="U254" s="63">
        <f t="shared" ref="U254" si="50">Y253</f>
        <v>0</v>
      </c>
      <c r="V254" s="38"/>
      <c r="W254" s="63">
        <f t="shared" ref="W254" si="51">IF(U254="","",U254+V254)</f>
        <v>0</v>
      </c>
      <c r="X254" s="38"/>
      <c r="Y254" s="63">
        <f t="shared" ref="Y254" si="52">IF(W254="","",W254-X254)</f>
        <v>0</v>
      </c>
      <c r="Z254" s="27"/>
    </row>
    <row r="255" spans="1:26" s="25" customFormat="1" ht="18" customHeight="1" x14ac:dyDescent="0.2">
      <c r="A255" s="272"/>
      <c r="B255" s="287" t="s">
        <v>7</v>
      </c>
      <c r="C255" s="293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30</v>
      </c>
      <c r="D255" s="270"/>
      <c r="E255" s="270"/>
      <c r="F255" s="287" t="s">
        <v>63</v>
      </c>
      <c r="G255" s="288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5"/>
      <c r="I255" s="389" t="s">
        <v>67</v>
      </c>
      <c r="J255" s="390"/>
      <c r="K255" s="294">
        <f>K253+K254</f>
        <v>62062.5</v>
      </c>
      <c r="L255" s="295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2"/>
      <c r="B256" s="287" t="s">
        <v>6</v>
      </c>
      <c r="C256" s="293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0"/>
      <c r="E256" s="270"/>
      <c r="F256" s="287" t="s">
        <v>19</v>
      </c>
      <c r="G256" s="288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5"/>
      <c r="I256" s="389" t="s">
        <v>68</v>
      </c>
      <c r="J256" s="390"/>
      <c r="K256" s="288">
        <f>G256</f>
        <v>0</v>
      </c>
      <c r="L256" s="296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2"/>
      <c r="B257" s="302" t="s">
        <v>66</v>
      </c>
      <c r="C257" s="293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0"/>
      <c r="E257" s="270"/>
      <c r="F257" s="302" t="s">
        <v>195</v>
      </c>
      <c r="G257" s="288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0"/>
      <c r="I257" s="391" t="s">
        <v>61</v>
      </c>
      <c r="J257" s="391"/>
      <c r="K257" s="229">
        <f>K255-K256</f>
        <v>62062.5</v>
      </c>
      <c r="L257" s="297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3">IF(U257="","",U257+V257)</f>
        <v/>
      </c>
      <c r="X257" s="38"/>
      <c r="Y257" s="63" t="str">
        <f t="shared" ref="Y257:Y258" si="54">IF(W257="","",W257-X257)</f>
        <v/>
      </c>
      <c r="Z257" s="40"/>
    </row>
    <row r="258" spans="1:26" s="25" customFormat="1" ht="18" customHeight="1" x14ac:dyDescent="0.2">
      <c r="A258" s="272"/>
      <c r="B258" s="270"/>
      <c r="C258" s="270"/>
      <c r="D258" s="270"/>
      <c r="E258" s="270"/>
      <c r="F258" s="270"/>
      <c r="G258" s="270"/>
      <c r="H258" s="270"/>
      <c r="I258" s="392"/>
      <c r="J258" s="392"/>
      <c r="K258" s="352"/>
      <c r="L258" s="284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3"/>
        <v/>
      </c>
      <c r="X258" s="38"/>
      <c r="Y258" s="63" t="str">
        <f t="shared" si="54"/>
        <v/>
      </c>
      <c r="Z258" s="40"/>
    </row>
    <row r="259" spans="1:26" s="25" customFormat="1" ht="18" customHeight="1" x14ac:dyDescent="0.3">
      <c r="A259" s="272"/>
      <c r="B259" s="268"/>
      <c r="C259" s="268"/>
      <c r="D259" s="268"/>
      <c r="E259" s="268"/>
      <c r="F259" s="268"/>
      <c r="G259" s="268"/>
      <c r="H259" s="268"/>
      <c r="I259" s="392"/>
      <c r="J259" s="392"/>
      <c r="K259" s="352"/>
      <c r="L259" s="284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300"/>
      <c r="N260" s="35"/>
      <c r="O260" s="36" t="s">
        <v>56</v>
      </c>
      <c r="P260" s="36"/>
      <c r="Q260" s="36"/>
      <c r="R260" s="36" t="str">
        <f t="shared" ref="R260" si="55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403" t="s">
        <v>38</v>
      </c>
      <c r="B262" s="404"/>
      <c r="C262" s="404"/>
      <c r="D262" s="404"/>
      <c r="E262" s="404"/>
      <c r="F262" s="404"/>
      <c r="G262" s="404"/>
      <c r="H262" s="404"/>
      <c r="I262" s="404"/>
      <c r="J262" s="404"/>
      <c r="K262" s="404"/>
      <c r="L262" s="405"/>
      <c r="M262" s="24"/>
      <c r="N262" s="28"/>
      <c r="O262" s="396" t="s">
        <v>40</v>
      </c>
      <c r="P262" s="397"/>
      <c r="Q262" s="397"/>
      <c r="R262" s="398"/>
      <c r="S262" s="29"/>
      <c r="T262" s="396" t="s">
        <v>41</v>
      </c>
      <c r="U262" s="397"/>
      <c r="V262" s="397"/>
      <c r="W262" s="397"/>
      <c r="X262" s="397"/>
      <c r="Y262" s="398"/>
      <c r="Z262" s="30"/>
    </row>
    <row r="263" spans="1:26" s="25" customFormat="1" ht="18" customHeight="1" x14ac:dyDescent="0.2">
      <c r="A263" s="272"/>
      <c r="B263" s="270"/>
      <c r="C263" s="399" t="s">
        <v>202</v>
      </c>
      <c r="D263" s="399"/>
      <c r="E263" s="399"/>
      <c r="F263" s="399"/>
      <c r="G263" s="273" t="str">
        <f>$J$1</f>
        <v>June</v>
      </c>
      <c r="H263" s="400">
        <f>$K$1</f>
        <v>2024</v>
      </c>
      <c r="I263" s="400"/>
      <c r="J263" s="270"/>
      <c r="K263" s="274"/>
      <c r="L263" s="275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2"/>
      <c r="B264" s="270"/>
      <c r="C264" s="270"/>
      <c r="D264" s="276"/>
      <c r="E264" s="276"/>
      <c r="F264" s="276"/>
      <c r="G264" s="276"/>
      <c r="H264" s="276"/>
      <c r="I264" s="270"/>
      <c r="J264" s="277" t="s">
        <v>1</v>
      </c>
      <c r="K264" s="278">
        <v>35000</v>
      </c>
      <c r="L264" s="279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2"/>
      <c r="B265" s="270" t="s">
        <v>0</v>
      </c>
      <c r="C265" s="269" t="s">
        <v>193</v>
      </c>
      <c r="D265" s="270"/>
      <c r="E265" s="270"/>
      <c r="F265" s="270"/>
      <c r="G265" s="270"/>
      <c r="H265" s="280"/>
      <c r="I265" s="276"/>
      <c r="J265" s="270"/>
      <c r="K265" s="270"/>
      <c r="L265" s="281"/>
      <c r="M265" s="24"/>
      <c r="N265" s="39"/>
      <c r="O265" s="36" t="s">
        <v>69</v>
      </c>
      <c r="P265" s="36">
        <v>27</v>
      </c>
      <c r="Q265" s="36">
        <v>2</v>
      </c>
      <c r="R265" s="36">
        <v>0</v>
      </c>
      <c r="S265" s="27"/>
      <c r="T265" s="36" t="s">
        <v>69</v>
      </c>
      <c r="U265" s="63">
        <f t="shared" ref="U265:U271" si="56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2"/>
      <c r="B266" s="282" t="s">
        <v>39</v>
      </c>
      <c r="C266" s="283"/>
      <c r="D266" s="270"/>
      <c r="E266" s="270"/>
      <c r="F266" s="406" t="s">
        <v>41</v>
      </c>
      <c r="G266" s="408"/>
      <c r="H266" s="270"/>
      <c r="I266" s="406" t="s">
        <v>42</v>
      </c>
      <c r="J266" s="407"/>
      <c r="K266" s="408"/>
      <c r="L266" s="284"/>
      <c r="N266" s="35"/>
      <c r="O266" s="36" t="s">
        <v>44</v>
      </c>
      <c r="P266" s="36">
        <v>31</v>
      </c>
      <c r="Q266" s="36">
        <v>0</v>
      </c>
      <c r="R266" s="36">
        <v>0</v>
      </c>
      <c r="S266" s="27"/>
      <c r="T266" s="36" t="s">
        <v>44</v>
      </c>
      <c r="U266" s="63">
        <f t="shared" si="56"/>
        <v>0</v>
      </c>
      <c r="V266" s="38"/>
      <c r="W266" s="63">
        <f t="shared" ref="W266:W275" si="57">IF(U266="","",U266+V266)</f>
        <v>0</v>
      </c>
      <c r="X266" s="38"/>
      <c r="Y266" s="63">
        <f t="shared" ref="Y266:Y275" si="58">IF(W266="","",W266-X266)</f>
        <v>0</v>
      </c>
      <c r="Z266" s="40"/>
    </row>
    <row r="267" spans="1:26" s="25" customFormat="1" ht="18" customHeight="1" x14ac:dyDescent="0.2">
      <c r="A267" s="272"/>
      <c r="B267" s="270"/>
      <c r="C267" s="270"/>
      <c r="D267" s="270"/>
      <c r="E267" s="270"/>
      <c r="F267" s="270"/>
      <c r="G267" s="270"/>
      <c r="H267" s="285"/>
      <c r="I267" s="270"/>
      <c r="J267" s="270"/>
      <c r="K267" s="270"/>
      <c r="L267" s="286"/>
      <c r="N267" s="35"/>
      <c r="O267" s="36" t="s">
        <v>45</v>
      </c>
      <c r="P267" s="36">
        <v>28</v>
      </c>
      <c r="Q267" s="36">
        <v>2</v>
      </c>
      <c r="R267" s="36">
        <v>0</v>
      </c>
      <c r="S267" s="27"/>
      <c r="T267" s="36" t="s">
        <v>45</v>
      </c>
      <c r="U267" s="63">
        <f>Y266</f>
        <v>0</v>
      </c>
      <c r="V267" s="38"/>
      <c r="W267" s="63">
        <f t="shared" si="57"/>
        <v>0</v>
      </c>
      <c r="X267" s="38"/>
      <c r="Y267" s="63">
        <f t="shared" si="58"/>
        <v>0</v>
      </c>
      <c r="Z267" s="40"/>
    </row>
    <row r="268" spans="1:26" s="25" customFormat="1" ht="18" customHeight="1" x14ac:dyDescent="0.2">
      <c r="A268" s="272"/>
      <c r="B268" s="401" t="s">
        <v>40</v>
      </c>
      <c r="C268" s="402"/>
      <c r="D268" s="270"/>
      <c r="E268" s="270"/>
      <c r="F268" s="287" t="s">
        <v>62</v>
      </c>
      <c r="G268" s="288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5"/>
      <c r="I268" s="289">
        <f>IF(C272&gt;=C271,$K$2,C270+C272)</f>
        <v>26</v>
      </c>
      <c r="J268" s="290" t="s">
        <v>59</v>
      </c>
      <c r="K268" s="291">
        <f>K264/$K$2*I268</f>
        <v>30333.333333333336</v>
      </c>
      <c r="L268" s="292"/>
      <c r="N268" s="35"/>
      <c r="O268" s="36" t="s">
        <v>46</v>
      </c>
      <c r="P268" s="36">
        <v>29</v>
      </c>
      <c r="Q268" s="36">
        <v>2</v>
      </c>
      <c r="R268" s="36">
        <v>0</v>
      </c>
      <c r="S268" s="27"/>
      <c r="T268" s="36" t="s">
        <v>46</v>
      </c>
      <c r="U268" s="63">
        <v>0</v>
      </c>
      <c r="V268" s="38"/>
      <c r="W268" s="63">
        <f t="shared" si="57"/>
        <v>0</v>
      </c>
      <c r="X268" s="38"/>
      <c r="Y268" s="63">
        <f t="shared" si="58"/>
        <v>0</v>
      </c>
      <c r="Z268" s="40"/>
    </row>
    <row r="269" spans="1:26" s="25" customFormat="1" ht="18" customHeight="1" x14ac:dyDescent="0.2">
      <c r="A269" s="272"/>
      <c r="B269" s="293"/>
      <c r="C269" s="293"/>
      <c r="D269" s="270"/>
      <c r="E269" s="270"/>
      <c r="F269" s="287" t="s">
        <v>18</v>
      </c>
      <c r="G269" s="288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5"/>
      <c r="I269" s="289">
        <v>53</v>
      </c>
      <c r="J269" s="290" t="s">
        <v>60</v>
      </c>
      <c r="K269" s="294">
        <f>K264/$K$2/8*I269</f>
        <v>7729.166666666667</v>
      </c>
      <c r="L269" s="295"/>
      <c r="N269" s="35"/>
      <c r="O269" s="36" t="s">
        <v>47</v>
      </c>
      <c r="P269" s="339">
        <v>26</v>
      </c>
      <c r="Q269" s="339">
        <v>4</v>
      </c>
      <c r="R269" s="36">
        <v>0</v>
      </c>
      <c r="S269" s="27"/>
      <c r="T269" s="36" t="s">
        <v>47</v>
      </c>
      <c r="U269" s="63">
        <f t="shared" si="56"/>
        <v>0</v>
      </c>
      <c r="V269" s="38"/>
      <c r="W269" s="63">
        <f t="shared" si="57"/>
        <v>0</v>
      </c>
      <c r="X269" s="38"/>
      <c r="Y269" s="63">
        <f t="shared" si="58"/>
        <v>0</v>
      </c>
      <c r="Z269" s="40"/>
    </row>
    <row r="270" spans="1:26" s="25" customFormat="1" ht="18" customHeight="1" x14ac:dyDescent="0.2">
      <c r="A270" s="272"/>
      <c r="B270" s="287" t="s">
        <v>7</v>
      </c>
      <c r="C270" s="293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26</v>
      </c>
      <c r="D270" s="270"/>
      <c r="E270" s="270"/>
      <c r="F270" s="287" t="s">
        <v>63</v>
      </c>
      <c r="G270" s="288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5"/>
      <c r="I270" s="389" t="s">
        <v>67</v>
      </c>
      <c r="J270" s="390"/>
      <c r="K270" s="294">
        <f>K268+K269</f>
        <v>38062.5</v>
      </c>
      <c r="L270" s="295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6"/>
        <v>0</v>
      </c>
      <c r="V270" s="38"/>
      <c r="W270" s="63">
        <f t="shared" si="57"/>
        <v>0</v>
      </c>
      <c r="X270" s="38"/>
      <c r="Y270" s="63">
        <f t="shared" si="58"/>
        <v>0</v>
      </c>
      <c r="Z270" s="40"/>
    </row>
    <row r="271" spans="1:26" s="25" customFormat="1" ht="18" customHeight="1" x14ac:dyDescent="0.2">
      <c r="A271" s="272"/>
      <c r="B271" s="287" t="s">
        <v>6</v>
      </c>
      <c r="C271" s="293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4</v>
      </c>
      <c r="D271" s="270"/>
      <c r="E271" s="270"/>
      <c r="F271" s="287" t="s">
        <v>19</v>
      </c>
      <c r="G271" s="288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5"/>
      <c r="I271" s="389" t="s">
        <v>68</v>
      </c>
      <c r="J271" s="390"/>
      <c r="K271" s="288">
        <f>G271</f>
        <v>0</v>
      </c>
      <c r="L271" s="296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6"/>
        <v>0</v>
      </c>
      <c r="V271" s="38"/>
      <c r="W271" s="63">
        <f t="shared" si="57"/>
        <v>0</v>
      </c>
      <c r="X271" s="38"/>
      <c r="Y271" s="63">
        <f t="shared" si="58"/>
        <v>0</v>
      </c>
      <c r="Z271" s="40"/>
    </row>
    <row r="272" spans="1:26" s="25" customFormat="1" ht="18" customHeight="1" x14ac:dyDescent="0.2">
      <c r="A272" s="272"/>
      <c r="B272" s="302" t="s">
        <v>66</v>
      </c>
      <c r="C272" s="293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0"/>
      <c r="E272" s="270"/>
      <c r="F272" s="302" t="s">
        <v>195</v>
      </c>
      <c r="G272" s="288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0"/>
      <c r="I272" s="391" t="s">
        <v>61</v>
      </c>
      <c r="J272" s="391"/>
      <c r="K272" s="229">
        <f>K270-K271</f>
        <v>38062.5</v>
      </c>
      <c r="L272" s="297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57"/>
        <v>0</v>
      </c>
      <c r="X272" s="38"/>
      <c r="Y272" s="63">
        <f t="shared" si="58"/>
        <v>0</v>
      </c>
      <c r="Z272" s="40"/>
    </row>
    <row r="273" spans="1:27" s="25" customFormat="1" ht="18" customHeight="1" x14ac:dyDescent="0.2">
      <c r="A273" s="272"/>
      <c r="B273" s="270"/>
      <c r="C273" s="270"/>
      <c r="D273" s="270"/>
      <c r="E273" s="270"/>
      <c r="F273" s="270"/>
      <c r="G273" s="270"/>
      <c r="H273" s="270"/>
      <c r="I273" s="392"/>
      <c r="J273" s="392"/>
      <c r="K273" s="352"/>
      <c r="L273" s="284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57"/>
        <v>0</v>
      </c>
      <c r="X273" s="38"/>
      <c r="Y273" s="63">
        <f t="shared" si="58"/>
        <v>0</v>
      </c>
      <c r="Z273" s="40"/>
    </row>
    <row r="274" spans="1:27" s="25" customFormat="1" ht="18" customHeight="1" x14ac:dyDescent="0.3">
      <c r="A274" s="272"/>
      <c r="B274" s="268"/>
      <c r="C274" s="268"/>
      <c r="D274" s="268"/>
      <c r="E274" s="268"/>
      <c r="F274" s="268"/>
      <c r="G274" s="268"/>
      <c r="H274" s="268"/>
      <c r="I274" s="392"/>
      <c r="J274" s="392"/>
      <c r="K274" s="352"/>
      <c r="L274" s="284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57"/>
        <v>0</v>
      </c>
      <c r="X274" s="38"/>
      <c r="Y274" s="63">
        <f t="shared" si="58"/>
        <v>0</v>
      </c>
      <c r="Z274" s="40"/>
    </row>
    <row r="275" spans="1:27" s="25" customFormat="1" ht="18" customHeight="1" thickBot="1" x14ac:dyDescent="0.35">
      <c r="A275" s="298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300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57"/>
        <v>0</v>
      </c>
      <c r="X275" s="38"/>
      <c r="Y275" s="63">
        <f t="shared" si="58"/>
        <v>0</v>
      </c>
      <c r="Z275" s="40"/>
    </row>
    <row r="276" spans="1:27" s="56" customFormat="1" ht="18" customHeight="1" thickBot="1" x14ac:dyDescent="0.25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403" t="s">
        <v>38</v>
      </c>
      <c r="B277" s="404"/>
      <c r="C277" s="404"/>
      <c r="D277" s="404"/>
      <c r="E277" s="404"/>
      <c r="F277" s="404"/>
      <c r="G277" s="404"/>
      <c r="H277" s="404"/>
      <c r="I277" s="404"/>
      <c r="J277" s="404"/>
      <c r="K277" s="404"/>
      <c r="L277" s="405"/>
      <c r="M277" s="24"/>
      <c r="N277" s="28"/>
      <c r="O277" s="396" t="s">
        <v>40</v>
      </c>
      <c r="P277" s="397"/>
      <c r="Q277" s="397"/>
      <c r="R277" s="398"/>
      <c r="S277" s="29"/>
      <c r="T277" s="396" t="s">
        <v>41</v>
      </c>
      <c r="U277" s="397"/>
      <c r="V277" s="397"/>
      <c r="W277" s="397"/>
      <c r="X277" s="397"/>
      <c r="Y277" s="398"/>
      <c r="Z277" s="30"/>
      <c r="AA277" s="24"/>
    </row>
    <row r="278" spans="1:27" s="25" customFormat="1" ht="18" customHeight="1" x14ac:dyDescent="0.2">
      <c r="A278" s="272"/>
      <c r="B278" s="270"/>
      <c r="C278" s="399" t="s">
        <v>202</v>
      </c>
      <c r="D278" s="399"/>
      <c r="E278" s="399"/>
      <c r="F278" s="399"/>
      <c r="G278" s="273" t="str">
        <f>$J$1</f>
        <v>June</v>
      </c>
      <c r="H278" s="400">
        <f>$K$1</f>
        <v>2024</v>
      </c>
      <c r="I278" s="400"/>
      <c r="J278" s="270"/>
      <c r="K278" s="274"/>
      <c r="L278" s="275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2"/>
      <c r="B279" s="270"/>
      <c r="C279" s="270"/>
      <c r="D279" s="276"/>
      <c r="E279" s="276"/>
      <c r="F279" s="276"/>
      <c r="G279" s="276"/>
      <c r="H279" s="276"/>
      <c r="I279" s="270"/>
      <c r="J279" s="277" t="s">
        <v>1</v>
      </c>
      <c r="K279" s="278">
        <f>32000+3000+15000</f>
        <v>50000</v>
      </c>
      <c r="L279" s="279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2"/>
      <c r="B280" s="270" t="s">
        <v>0</v>
      </c>
      <c r="C280" s="269" t="s">
        <v>149</v>
      </c>
      <c r="D280" s="270"/>
      <c r="E280" s="270"/>
      <c r="F280" s="270"/>
      <c r="G280" s="270"/>
      <c r="H280" s="280"/>
      <c r="I280" s="276"/>
      <c r="J280" s="270"/>
      <c r="K280" s="270"/>
      <c r="L280" s="281"/>
      <c r="M280" s="24"/>
      <c r="N280" s="39"/>
      <c r="O280" s="36" t="s">
        <v>69</v>
      </c>
      <c r="P280" s="36">
        <v>29</v>
      </c>
      <c r="Q280" s="36">
        <v>0</v>
      </c>
      <c r="R280" s="36">
        <f>R279-Q280</f>
        <v>8</v>
      </c>
      <c r="S280" s="27"/>
      <c r="T280" s="36" t="s">
        <v>69</v>
      </c>
      <c r="U280" s="63">
        <f>Y279</f>
        <v>56870</v>
      </c>
      <c r="V280" s="38">
        <v>4000</v>
      </c>
      <c r="W280" s="63">
        <f>IF(U280="","",U280+V280)</f>
        <v>60870</v>
      </c>
      <c r="X280" s="38">
        <v>5000</v>
      </c>
      <c r="Y280" s="63">
        <f>IF(W280="","",W280-X280)</f>
        <v>55870</v>
      </c>
      <c r="Z280" s="40"/>
      <c r="AA280" s="24"/>
    </row>
    <row r="281" spans="1:27" s="25" customFormat="1" ht="18" customHeight="1" x14ac:dyDescent="0.2">
      <c r="A281" s="272"/>
      <c r="B281" s="282" t="s">
        <v>39</v>
      </c>
      <c r="C281" s="283"/>
      <c r="D281" s="270"/>
      <c r="E281" s="270"/>
      <c r="F281" s="406" t="s">
        <v>41</v>
      </c>
      <c r="G281" s="408"/>
      <c r="H281" s="270"/>
      <c r="I281" s="406" t="s">
        <v>42</v>
      </c>
      <c r="J281" s="407"/>
      <c r="K281" s="408"/>
      <c r="L281" s="284"/>
      <c r="N281" s="35"/>
      <c r="O281" s="36" t="s">
        <v>44</v>
      </c>
      <c r="P281" s="36">
        <v>29</v>
      </c>
      <c r="Q281" s="36">
        <v>1</v>
      </c>
      <c r="R281" s="36">
        <f t="shared" ref="R281:R290" si="59">R280-Q281</f>
        <v>7</v>
      </c>
      <c r="S281" s="27"/>
      <c r="T281" s="36" t="s">
        <v>44</v>
      </c>
      <c r="U281" s="63">
        <f>Y280</f>
        <v>55870</v>
      </c>
      <c r="V281" s="38"/>
      <c r="W281" s="63">
        <f t="shared" ref="W281:W288" si="60">IF(U281="","",U281+V281)</f>
        <v>55870</v>
      </c>
      <c r="X281" s="38">
        <v>5000</v>
      </c>
      <c r="Y281" s="63">
        <f t="shared" ref="Y281:Y288" si="61">IF(W281="","",W281-X281)</f>
        <v>50870</v>
      </c>
      <c r="Z281" s="40"/>
    </row>
    <row r="282" spans="1:27" s="25" customFormat="1" ht="18" customHeight="1" x14ac:dyDescent="0.2">
      <c r="A282" s="272"/>
      <c r="B282" s="270"/>
      <c r="C282" s="270"/>
      <c r="D282" s="270"/>
      <c r="E282" s="270"/>
      <c r="F282" s="270"/>
      <c r="G282" s="270"/>
      <c r="H282" s="285"/>
      <c r="I282" s="270"/>
      <c r="J282" s="270"/>
      <c r="K282" s="270"/>
      <c r="L282" s="286"/>
      <c r="N282" s="35"/>
      <c r="O282" s="36" t="s">
        <v>45</v>
      </c>
      <c r="P282" s="36">
        <v>29</v>
      </c>
      <c r="Q282" s="36">
        <v>1</v>
      </c>
      <c r="R282" s="36">
        <f t="shared" si="59"/>
        <v>6</v>
      </c>
      <c r="S282" s="27"/>
      <c r="T282" s="36" t="s">
        <v>45</v>
      </c>
      <c r="U282" s="63">
        <f>IF($J$1="March","",Y281)</f>
        <v>50870</v>
      </c>
      <c r="V282" s="38">
        <v>100000</v>
      </c>
      <c r="W282" s="63">
        <f t="shared" si="60"/>
        <v>150870</v>
      </c>
      <c r="X282" s="38">
        <v>5000</v>
      </c>
      <c r="Y282" s="63">
        <f t="shared" si="61"/>
        <v>145870</v>
      </c>
      <c r="Z282" s="40"/>
    </row>
    <row r="283" spans="1:27" s="25" customFormat="1" ht="18" customHeight="1" x14ac:dyDescent="0.2">
      <c r="A283" s="272"/>
      <c r="B283" s="401" t="s">
        <v>40</v>
      </c>
      <c r="C283" s="402"/>
      <c r="D283" s="270"/>
      <c r="E283" s="270"/>
      <c r="F283" s="287" t="s">
        <v>62</v>
      </c>
      <c r="G283" s="288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140870</v>
      </c>
      <c r="H283" s="285"/>
      <c r="I283" s="289">
        <f>IF(C287&gt;=C286,$K$2,C285+C287)</f>
        <v>30</v>
      </c>
      <c r="J283" s="290" t="s">
        <v>59</v>
      </c>
      <c r="K283" s="291">
        <f>K279/$K$2*I283</f>
        <v>50000</v>
      </c>
      <c r="L283" s="292"/>
      <c r="N283" s="35"/>
      <c r="O283" s="36" t="s">
        <v>46</v>
      </c>
      <c r="P283" s="36">
        <v>29</v>
      </c>
      <c r="Q283" s="36">
        <v>2</v>
      </c>
      <c r="R283" s="36">
        <f t="shared" si="59"/>
        <v>4</v>
      </c>
      <c r="S283" s="27"/>
      <c r="T283" s="36" t="s">
        <v>46</v>
      </c>
      <c r="U283" s="63">
        <f>Y282</f>
        <v>145870</v>
      </c>
      <c r="V283" s="38"/>
      <c r="W283" s="63">
        <f t="shared" si="60"/>
        <v>145870</v>
      </c>
      <c r="X283" s="38">
        <v>5000</v>
      </c>
      <c r="Y283" s="63">
        <f t="shared" si="61"/>
        <v>140870</v>
      </c>
      <c r="Z283" s="40"/>
    </row>
    <row r="284" spans="1:27" s="25" customFormat="1" ht="18" customHeight="1" x14ac:dyDescent="0.2">
      <c r="A284" s="272"/>
      <c r="B284" s="293"/>
      <c r="C284" s="293"/>
      <c r="D284" s="270"/>
      <c r="E284" s="270"/>
      <c r="F284" s="287" t="s">
        <v>18</v>
      </c>
      <c r="G284" s="288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285"/>
      <c r="I284" s="306">
        <v>16</v>
      </c>
      <c r="J284" s="290" t="s">
        <v>60</v>
      </c>
      <c r="K284" s="294">
        <f>K279/$K$2/8*I284</f>
        <v>3333.3333333333335</v>
      </c>
      <c r="L284" s="295"/>
      <c r="N284" s="35"/>
      <c r="O284" s="36" t="s">
        <v>47</v>
      </c>
      <c r="P284" s="36">
        <v>28</v>
      </c>
      <c r="Q284" s="36">
        <v>2</v>
      </c>
      <c r="R284" s="36">
        <f t="shared" si="59"/>
        <v>2</v>
      </c>
      <c r="S284" s="27"/>
      <c r="T284" s="36" t="s">
        <v>47</v>
      </c>
      <c r="U284" s="63">
        <f>Y283</f>
        <v>140870</v>
      </c>
      <c r="V284" s="38"/>
      <c r="W284" s="63">
        <f t="shared" si="60"/>
        <v>140870</v>
      </c>
      <c r="X284" s="38">
        <v>5000</v>
      </c>
      <c r="Y284" s="63">
        <f t="shared" si="61"/>
        <v>135870</v>
      </c>
      <c r="Z284" s="40"/>
    </row>
    <row r="285" spans="1:27" s="25" customFormat="1" ht="18" customHeight="1" x14ac:dyDescent="0.2">
      <c r="A285" s="272"/>
      <c r="B285" s="287" t="s">
        <v>7</v>
      </c>
      <c r="C285" s="293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28</v>
      </c>
      <c r="D285" s="270"/>
      <c r="E285" s="270"/>
      <c r="F285" s="287" t="s">
        <v>63</v>
      </c>
      <c r="G285" s="288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140870</v>
      </c>
      <c r="H285" s="285"/>
      <c r="I285" s="389" t="s">
        <v>67</v>
      </c>
      <c r="J285" s="390"/>
      <c r="K285" s="294">
        <f>K283+K284</f>
        <v>53333.333333333336</v>
      </c>
      <c r="L285" s="295"/>
      <c r="N285" s="35"/>
      <c r="O285" s="36" t="s">
        <v>48</v>
      </c>
      <c r="P285" s="36"/>
      <c r="Q285" s="36"/>
      <c r="R285" s="36">
        <f t="shared" si="59"/>
        <v>2</v>
      </c>
      <c r="S285" s="27"/>
      <c r="T285" s="36" t="s">
        <v>48</v>
      </c>
      <c r="U285" s="63"/>
      <c r="V285" s="38"/>
      <c r="W285" s="63" t="str">
        <f t="shared" si="60"/>
        <v/>
      </c>
      <c r="X285" s="38"/>
      <c r="Y285" s="63" t="str">
        <f t="shared" si="61"/>
        <v/>
      </c>
      <c r="Z285" s="40"/>
    </row>
    <row r="286" spans="1:27" s="25" customFormat="1" ht="18" customHeight="1" x14ac:dyDescent="0.2">
      <c r="A286" s="272"/>
      <c r="B286" s="287" t="s">
        <v>6</v>
      </c>
      <c r="C286" s="293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2</v>
      </c>
      <c r="D286" s="270"/>
      <c r="E286" s="270"/>
      <c r="F286" s="287" t="s">
        <v>19</v>
      </c>
      <c r="G286" s="288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85"/>
      <c r="I286" s="389" t="s">
        <v>68</v>
      </c>
      <c r="J286" s="390"/>
      <c r="K286" s="288">
        <f>G286</f>
        <v>5000</v>
      </c>
      <c r="L286" s="296"/>
      <c r="N286" s="35"/>
      <c r="O286" s="36" t="s">
        <v>49</v>
      </c>
      <c r="P286" s="36"/>
      <c r="Q286" s="36"/>
      <c r="R286" s="36">
        <f t="shared" si="59"/>
        <v>2</v>
      </c>
      <c r="S286" s="27"/>
      <c r="T286" s="36" t="s">
        <v>49</v>
      </c>
      <c r="U286" s="63"/>
      <c r="V286" s="38"/>
      <c r="W286" s="63" t="str">
        <f t="shared" si="60"/>
        <v/>
      </c>
      <c r="X286" s="38"/>
      <c r="Y286" s="63" t="str">
        <f t="shared" si="61"/>
        <v/>
      </c>
      <c r="Z286" s="40"/>
    </row>
    <row r="287" spans="1:27" s="25" customFormat="1" ht="18" customHeight="1" x14ac:dyDescent="0.2">
      <c r="A287" s="272"/>
      <c r="B287" s="302" t="s">
        <v>66</v>
      </c>
      <c r="C287" s="293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2</v>
      </c>
      <c r="D287" s="270"/>
      <c r="E287" s="270"/>
      <c r="F287" s="302" t="s">
        <v>195</v>
      </c>
      <c r="G287" s="28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135870</v>
      </c>
      <c r="H287" s="270"/>
      <c r="I287" s="391" t="s">
        <v>61</v>
      </c>
      <c r="J287" s="391"/>
      <c r="K287" s="229">
        <f>K285-K286</f>
        <v>48333.333333333336</v>
      </c>
      <c r="L287" s="297"/>
      <c r="N287" s="35"/>
      <c r="O287" s="36" t="s">
        <v>54</v>
      </c>
      <c r="P287" s="36"/>
      <c r="Q287" s="36"/>
      <c r="R287" s="36">
        <f t="shared" si="59"/>
        <v>2</v>
      </c>
      <c r="S287" s="27"/>
      <c r="T287" s="36" t="s">
        <v>54</v>
      </c>
      <c r="U287" s="63"/>
      <c r="V287" s="38"/>
      <c r="W287" s="63" t="str">
        <f t="shared" si="60"/>
        <v/>
      </c>
      <c r="X287" s="38"/>
      <c r="Y287" s="63" t="str">
        <f t="shared" si="61"/>
        <v/>
      </c>
      <c r="Z287" s="40"/>
    </row>
    <row r="288" spans="1:27" s="25" customFormat="1" ht="18" customHeight="1" x14ac:dyDescent="0.2">
      <c r="A288" s="272"/>
      <c r="B288" s="270"/>
      <c r="C288" s="270"/>
      <c r="D288" s="270"/>
      <c r="E288" s="270"/>
      <c r="F288" s="270"/>
      <c r="G288" s="270"/>
      <c r="H288" s="270"/>
      <c r="I288" s="392"/>
      <c r="J288" s="392"/>
      <c r="K288" s="352"/>
      <c r="L288" s="284"/>
      <c r="N288" s="35"/>
      <c r="O288" s="36" t="s">
        <v>50</v>
      </c>
      <c r="P288" s="339"/>
      <c r="Q288" s="339"/>
      <c r="R288" s="36">
        <f t="shared" si="59"/>
        <v>2</v>
      </c>
      <c r="S288" s="27"/>
      <c r="T288" s="36" t="s">
        <v>50</v>
      </c>
      <c r="U288" s="63"/>
      <c r="V288" s="38"/>
      <c r="W288" s="63" t="str">
        <f t="shared" si="60"/>
        <v/>
      </c>
      <c r="X288" s="38"/>
      <c r="Y288" s="63" t="str">
        <f t="shared" si="61"/>
        <v/>
      </c>
      <c r="Z288" s="40"/>
    </row>
    <row r="289" spans="1:27" s="25" customFormat="1" ht="18" customHeight="1" x14ac:dyDescent="0.3">
      <c r="A289" s="272"/>
      <c r="B289" s="268"/>
      <c r="C289" s="268"/>
      <c r="D289" s="268"/>
      <c r="E289" s="268"/>
      <c r="F289" s="268"/>
      <c r="G289" s="268"/>
      <c r="H289" s="268"/>
      <c r="I289" s="392"/>
      <c r="J289" s="392"/>
      <c r="K289" s="352"/>
      <c r="L289" s="284"/>
      <c r="N289" s="35"/>
      <c r="O289" s="36" t="s">
        <v>55</v>
      </c>
      <c r="P289" s="36"/>
      <c r="Q289" s="36"/>
      <c r="R289" s="36">
        <f t="shared" si="59"/>
        <v>2</v>
      </c>
      <c r="S289" s="27"/>
      <c r="T289" s="36" t="s">
        <v>55</v>
      </c>
      <c r="U289" s="63"/>
      <c r="V289" s="38"/>
      <c r="W289" s="63" t="str">
        <f t="shared" ref="W289:W290" si="62">IF(U289="","",U289+V289)</f>
        <v/>
      </c>
      <c r="X289" s="38"/>
      <c r="Y289" s="63" t="str">
        <f t="shared" ref="Y289:Y290" si="63">IF(W289="","",W289-X289)</f>
        <v/>
      </c>
      <c r="Z289" s="40"/>
    </row>
    <row r="290" spans="1:27" s="25" customFormat="1" ht="18" customHeight="1" thickBot="1" x14ac:dyDescent="0.35">
      <c r="A290" s="298"/>
      <c r="B290" s="299"/>
      <c r="C290" s="299"/>
      <c r="D290" s="299"/>
      <c r="E290" s="299"/>
      <c r="F290" s="299"/>
      <c r="G290" s="299"/>
      <c r="H290" s="299"/>
      <c r="I290" s="391"/>
      <c r="J290" s="391"/>
      <c r="K290" s="229"/>
      <c r="L290" s="300"/>
      <c r="N290" s="35"/>
      <c r="O290" s="36" t="s">
        <v>56</v>
      </c>
      <c r="P290" s="36"/>
      <c r="Q290" s="36"/>
      <c r="R290" s="36">
        <f t="shared" si="59"/>
        <v>2</v>
      </c>
      <c r="S290" s="27"/>
      <c r="T290" s="36" t="s">
        <v>56</v>
      </c>
      <c r="U290" s="63"/>
      <c r="V290" s="38"/>
      <c r="W290" s="63" t="str">
        <f t="shared" si="62"/>
        <v/>
      </c>
      <c r="X290" s="38"/>
      <c r="Y290" s="63" t="str">
        <f t="shared" si="63"/>
        <v/>
      </c>
      <c r="Z290" s="40"/>
    </row>
    <row r="291" spans="1:27" s="56" customFormat="1" ht="18" customHeight="1" thickBot="1" x14ac:dyDescent="0.25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403" t="s">
        <v>38</v>
      </c>
      <c r="B292" s="404"/>
      <c r="C292" s="404"/>
      <c r="D292" s="404"/>
      <c r="E292" s="404"/>
      <c r="F292" s="404"/>
      <c r="G292" s="404"/>
      <c r="H292" s="404"/>
      <c r="I292" s="404"/>
      <c r="J292" s="404"/>
      <c r="K292" s="404"/>
      <c r="L292" s="405"/>
      <c r="M292" s="24"/>
      <c r="N292" s="28"/>
      <c r="O292" s="396" t="s">
        <v>40</v>
      </c>
      <c r="P292" s="397"/>
      <c r="Q292" s="397"/>
      <c r="R292" s="398"/>
      <c r="S292" s="29"/>
      <c r="T292" s="396" t="s">
        <v>41</v>
      </c>
      <c r="U292" s="397"/>
      <c r="V292" s="397"/>
      <c r="W292" s="397"/>
      <c r="X292" s="397"/>
      <c r="Y292" s="398"/>
      <c r="Z292" s="30"/>
      <c r="AA292" s="24"/>
    </row>
    <row r="293" spans="1:27" s="25" customFormat="1" ht="18" customHeight="1" x14ac:dyDescent="0.2">
      <c r="A293" s="272"/>
      <c r="B293" s="270"/>
      <c r="C293" s="399" t="s">
        <v>202</v>
      </c>
      <c r="D293" s="399"/>
      <c r="E293" s="399"/>
      <c r="F293" s="399"/>
      <c r="G293" s="273" t="str">
        <f>$J$1</f>
        <v>June</v>
      </c>
      <c r="H293" s="400">
        <f>$K$1</f>
        <v>2024</v>
      </c>
      <c r="I293" s="400"/>
      <c r="J293" s="270"/>
      <c r="K293" s="274"/>
      <c r="L293" s="275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2"/>
      <c r="B294" s="270"/>
      <c r="C294" s="270"/>
      <c r="D294" s="276"/>
      <c r="E294" s="276"/>
      <c r="F294" s="276"/>
      <c r="G294" s="276"/>
      <c r="H294" s="276"/>
      <c r="I294" s="270"/>
      <c r="J294" s="277" t="s">
        <v>1</v>
      </c>
      <c r="K294" s="278">
        <f>45000+20000+10000</f>
        <v>75000</v>
      </c>
      <c r="L294" s="279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2"/>
      <c r="B295" s="270" t="s">
        <v>0</v>
      </c>
      <c r="C295" s="269" t="s">
        <v>161</v>
      </c>
      <c r="D295" s="270"/>
      <c r="E295" s="270"/>
      <c r="F295" s="270"/>
      <c r="G295" s="270"/>
      <c r="H295" s="280"/>
      <c r="I295" s="276"/>
      <c r="J295" s="270"/>
      <c r="K295" s="270"/>
      <c r="L295" s="281"/>
      <c r="M295" s="24"/>
      <c r="N295" s="39"/>
      <c r="O295" s="36" t="s">
        <v>69</v>
      </c>
      <c r="P295" s="36">
        <v>1</v>
      </c>
      <c r="Q295" s="36"/>
      <c r="R295" s="36">
        <f>R294-Q295</f>
        <v>15</v>
      </c>
      <c r="S295" s="27"/>
      <c r="T295" s="36" t="s">
        <v>69</v>
      </c>
      <c r="U295" s="63">
        <f>Y294</f>
        <v>7000</v>
      </c>
      <c r="V295" s="38">
        <v>15000</v>
      </c>
      <c r="W295" s="38">
        <f>V295+U295</f>
        <v>22000</v>
      </c>
      <c r="X295" s="38"/>
      <c r="Y295" s="63">
        <f>IF(W295="","",W295-X295)</f>
        <v>22000</v>
      </c>
      <c r="Z295" s="40"/>
      <c r="AA295" s="24"/>
    </row>
    <row r="296" spans="1:27" s="25" customFormat="1" ht="18" customHeight="1" x14ac:dyDescent="0.2">
      <c r="A296" s="272"/>
      <c r="B296" s="282" t="s">
        <v>39</v>
      </c>
      <c r="C296" s="283"/>
      <c r="D296" s="270"/>
      <c r="E296" s="270"/>
      <c r="F296" s="406" t="s">
        <v>41</v>
      </c>
      <c r="G296" s="408"/>
      <c r="H296" s="270"/>
      <c r="I296" s="406" t="s">
        <v>42</v>
      </c>
      <c r="J296" s="407"/>
      <c r="K296" s="408"/>
      <c r="L296" s="284"/>
      <c r="N296" s="35"/>
      <c r="O296" s="36" t="s">
        <v>44</v>
      </c>
      <c r="P296" s="36">
        <f>31-Q296</f>
        <v>18</v>
      </c>
      <c r="Q296" s="36">
        <v>13</v>
      </c>
      <c r="R296" s="36">
        <f>R295-Q296+13-3</f>
        <v>12</v>
      </c>
      <c r="S296" s="27"/>
      <c r="T296" s="36" t="s">
        <v>44</v>
      </c>
      <c r="U296" s="63">
        <f>Y295</f>
        <v>22000</v>
      </c>
      <c r="V296" s="38"/>
      <c r="W296" s="38">
        <f>V296+U296</f>
        <v>22000</v>
      </c>
      <c r="X296" s="38"/>
      <c r="Y296" s="63">
        <f t="shared" ref="Y296:Y305" si="64">IF(W296="","",W296-X296)</f>
        <v>22000</v>
      </c>
      <c r="Z296" s="40"/>
    </row>
    <row r="297" spans="1:27" s="25" customFormat="1" ht="18" customHeight="1" x14ac:dyDescent="0.2">
      <c r="A297" s="272"/>
      <c r="B297" s="270"/>
      <c r="C297" s="270"/>
      <c r="D297" s="270"/>
      <c r="E297" s="270"/>
      <c r="F297" s="270"/>
      <c r="G297" s="270"/>
      <c r="H297" s="285"/>
      <c r="I297" s="270"/>
      <c r="J297" s="270"/>
      <c r="K297" s="270"/>
      <c r="L297" s="286"/>
      <c r="N297" s="35"/>
      <c r="O297" s="36" t="s">
        <v>45</v>
      </c>
      <c r="P297" s="36">
        <v>28</v>
      </c>
      <c r="Q297" s="36">
        <v>2</v>
      </c>
      <c r="R297" s="36">
        <f t="shared" ref="R297:R304" si="65">R296-Q297</f>
        <v>10</v>
      </c>
      <c r="S297" s="27"/>
      <c r="T297" s="36" t="s">
        <v>45</v>
      </c>
      <c r="U297" s="63">
        <f>IF($J$1="March","",Y296)</f>
        <v>22000</v>
      </c>
      <c r="V297" s="38"/>
      <c r="W297" s="63">
        <f t="shared" ref="W297:W305" si="66">IF(U297="","",U297+V297)</f>
        <v>22000</v>
      </c>
      <c r="X297" s="38">
        <v>5000</v>
      </c>
      <c r="Y297" s="63">
        <f t="shared" si="64"/>
        <v>17000</v>
      </c>
      <c r="Z297" s="40"/>
    </row>
    <row r="298" spans="1:27" s="25" customFormat="1" ht="18" customHeight="1" x14ac:dyDescent="0.2">
      <c r="A298" s="272"/>
      <c r="B298" s="401" t="s">
        <v>40</v>
      </c>
      <c r="C298" s="402"/>
      <c r="D298" s="270"/>
      <c r="E298" s="270"/>
      <c r="F298" s="287" t="s">
        <v>62</v>
      </c>
      <c r="G298" s="28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17000</v>
      </c>
      <c r="H298" s="285"/>
      <c r="I298" s="289">
        <f>IF(C302&gt;=C301,$K$2,C300+C302)-10</f>
        <v>20</v>
      </c>
      <c r="J298" s="290" t="s">
        <v>59</v>
      </c>
      <c r="K298" s="291">
        <f>K294/$K$2*I298</f>
        <v>50000</v>
      </c>
      <c r="L298" s="292"/>
      <c r="N298" s="35"/>
      <c r="O298" s="36" t="s">
        <v>46</v>
      </c>
      <c r="P298" s="36">
        <v>16</v>
      </c>
      <c r="Q298" s="36">
        <v>15</v>
      </c>
      <c r="R298" s="36">
        <f>R297-Q298+15</f>
        <v>10</v>
      </c>
      <c r="S298" s="27"/>
      <c r="T298" s="36" t="s">
        <v>46</v>
      </c>
      <c r="U298" s="63">
        <f>Y297</f>
        <v>17000</v>
      </c>
      <c r="V298" s="38"/>
      <c r="W298" s="63">
        <f>IF(U298="","",U298+V298)</f>
        <v>17000</v>
      </c>
      <c r="X298" s="38"/>
      <c r="Y298" s="63">
        <f t="shared" si="64"/>
        <v>17000</v>
      </c>
      <c r="Z298" s="40"/>
    </row>
    <row r="299" spans="1:27" s="25" customFormat="1" ht="18" customHeight="1" x14ac:dyDescent="0.2">
      <c r="A299" s="272"/>
      <c r="B299" s="293"/>
      <c r="C299" s="293"/>
      <c r="D299" s="270"/>
      <c r="E299" s="270"/>
      <c r="F299" s="287" t="s">
        <v>18</v>
      </c>
      <c r="G299" s="28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285"/>
      <c r="I299" s="306">
        <v>2</v>
      </c>
      <c r="J299" s="290" t="s">
        <v>60</v>
      </c>
      <c r="K299" s="294">
        <f>K294/$K$2/8*I299</f>
        <v>625</v>
      </c>
      <c r="L299" s="295"/>
      <c r="N299" s="35"/>
      <c r="O299" s="36" t="s">
        <v>47</v>
      </c>
      <c r="P299" s="36">
        <v>26</v>
      </c>
      <c r="Q299" s="36">
        <v>4</v>
      </c>
      <c r="R299" s="36">
        <f t="shared" si="65"/>
        <v>6</v>
      </c>
      <c r="S299" s="27"/>
      <c r="T299" s="36" t="s">
        <v>47</v>
      </c>
      <c r="U299" s="63">
        <f>Y298</f>
        <v>17000</v>
      </c>
      <c r="V299" s="38"/>
      <c r="W299" s="63">
        <f>IF(U299="","",U299+V299)</f>
        <v>17000</v>
      </c>
      <c r="X299" s="38">
        <v>5000</v>
      </c>
      <c r="Y299" s="63">
        <f t="shared" si="64"/>
        <v>12000</v>
      </c>
      <c r="Z299" s="40"/>
    </row>
    <row r="300" spans="1:27" s="25" customFormat="1" ht="18" customHeight="1" x14ac:dyDescent="0.2">
      <c r="A300" s="272"/>
      <c r="B300" s="287" t="s">
        <v>7</v>
      </c>
      <c r="C300" s="293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26</v>
      </c>
      <c r="D300" s="270"/>
      <c r="E300" s="270"/>
      <c r="F300" s="287" t="s">
        <v>63</v>
      </c>
      <c r="G300" s="28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17000</v>
      </c>
      <c r="H300" s="285"/>
      <c r="I300" s="389" t="s">
        <v>67</v>
      </c>
      <c r="J300" s="390"/>
      <c r="K300" s="294">
        <f>K298+K299</f>
        <v>50625</v>
      </c>
      <c r="L300" s="295"/>
      <c r="N300" s="35"/>
      <c r="O300" s="36" t="s">
        <v>48</v>
      </c>
      <c r="P300" s="36"/>
      <c r="Q300" s="36"/>
      <c r="R300" s="36">
        <f t="shared" si="65"/>
        <v>6</v>
      </c>
      <c r="S300" s="27"/>
      <c r="T300" s="36" t="s">
        <v>48</v>
      </c>
      <c r="U300" s="63"/>
      <c r="V300" s="38"/>
      <c r="W300" s="63" t="str">
        <f t="shared" si="66"/>
        <v/>
      </c>
      <c r="X300" s="38"/>
      <c r="Y300" s="63" t="str">
        <f t="shared" si="64"/>
        <v/>
      </c>
      <c r="Z300" s="40"/>
    </row>
    <row r="301" spans="1:27" s="25" customFormat="1" ht="18" customHeight="1" x14ac:dyDescent="0.2">
      <c r="A301" s="272"/>
      <c r="B301" s="287" t="s">
        <v>6</v>
      </c>
      <c r="C301" s="293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4</v>
      </c>
      <c r="D301" s="270"/>
      <c r="E301" s="270"/>
      <c r="F301" s="287" t="s">
        <v>19</v>
      </c>
      <c r="G301" s="28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285"/>
      <c r="I301" s="389" t="s">
        <v>68</v>
      </c>
      <c r="J301" s="390"/>
      <c r="K301" s="288">
        <f>G301</f>
        <v>5000</v>
      </c>
      <c r="L301" s="296"/>
      <c r="N301" s="35"/>
      <c r="O301" s="36" t="s">
        <v>49</v>
      </c>
      <c r="P301" s="36"/>
      <c r="Q301" s="36"/>
      <c r="R301" s="36">
        <f t="shared" si="65"/>
        <v>6</v>
      </c>
      <c r="S301" s="27"/>
      <c r="T301" s="36" t="s">
        <v>49</v>
      </c>
      <c r="U301" s="63" t="str">
        <f t="shared" ref="U301" si="67">Y300</f>
        <v/>
      </c>
      <c r="V301" s="38"/>
      <c r="W301" s="63" t="str">
        <f t="shared" si="66"/>
        <v/>
      </c>
      <c r="X301" s="38"/>
      <c r="Y301" s="63" t="str">
        <f t="shared" si="64"/>
        <v/>
      </c>
      <c r="Z301" s="40"/>
    </row>
    <row r="302" spans="1:27" s="25" customFormat="1" ht="18" customHeight="1" x14ac:dyDescent="0.2">
      <c r="A302" s="272"/>
      <c r="B302" s="302" t="s">
        <v>66</v>
      </c>
      <c r="C302" s="293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6</v>
      </c>
      <c r="D302" s="270"/>
      <c r="E302" s="270"/>
      <c r="F302" s="302" t="s">
        <v>195</v>
      </c>
      <c r="G302" s="28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12000</v>
      </c>
      <c r="H302" s="270"/>
      <c r="I302" s="391" t="s">
        <v>61</v>
      </c>
      <c r="J302" s="391"/>
      <c r="K302" s="229">
        <f>K300-K301</f>
        <v>45625</v>
      </c>
      <c r="L302" s="297"/>
      <c r="N302" s="35"/>
      <c r="O302" s="36" t="s">
        <v>54</v>
      </c>
      <c r="P302" s="36"/>
      <c r="Q302" s="36"/>
      <c r="R302" s="36">
        <f t="shared" si="65"/>
        <v>6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68">IF(U302="","",U302+V302)</f>
        <v/>
      </c>
      <c r="X302" s="38"/>
      <c r="Y302" s="63" t="str">
        <f t="shared" si="64"/>
        <v/>
      </c>
      <c r="Z302" s="40"/>
    </row>
    <row r="303" spans="1:27" s="25" customFormat="1" ht="18" customHeight="1" x14ac:dyDescent="0.2">
      <c r="A303" s="272"/>
      <c r="B303" s="270"/>
      <c r="C303" s="270"/>
      <c r="D303" s="270"/>
      <c r="E303" s="270"/>
      <c r="F303" s="270"/>
      <c r="G303" s="270"/>
      <c r="H303" s="270"/>
      <c r="I303" s="392"/>
      <c r="J303" s="392"/>
      <c r="K303" s="352"/>
      <c r="L303" s="284"/>
      <c r="N303" s="35"/>
      <c r="O303" s="36" t="s">
        <v>50</v>
      </c>
      <c r="P303" s="36"/>
      <c r="Q303" s="36"/>
      <c r="R303" s="36">
        <f t="shared" si="65"/>
        <v>6</v>
      </c>
      <c r="S303" s="27"/>
      <c r="T303" s="36" t="s">
        <v>50</v>
      </c>
      <c r="U303" s="63" t="str">
        <f>Y302</f>
        <v/>
      </c>
      <c r="V303" s="38"/>
      <c r="W303" s="63" t="str">
        <f t="shared" si="68"/>
        <v/>
      </c>
      <c r="X303" s="38"/>
      <c r="Y303" s="63" t="str">
        <f t="shared" si="64"/>
        <v/>
      </c>
      <c r="Z303" s="40"/>
    </row>
    <row r="304" spans="1:27" s="25" customFormat="1" ht="18" customHeight="1" x14ac:dyDescent="0.3">
      <c r="A304" s="272"/>
      <c r="B304" s="268"/>
      <c r="C304" s="268"/>
      <c r="D304" s="268"/>
      <c r="E304" s="268"/>
      <c r="F304" s="268"/>
      <c r="G304" s="268"/>
      <c r="H304" s="268"/>
      <c r="I304" s="392"/>
      <c r="J304" s="392"/>
      <c r="K304" s="352"/>
      <c r="L304" s="284"/>
      <c r="N304" s="35"/>
      <c r="O304" s="36" t="s">
        <v>55</v>
      </c>
      <c r="P304" s="36"/>
      <c r="Q304" s="36"/>
      <c r="R304" s="36">
        <f t="shared" si="65"/>
        <v>6</v>
      </c>
      <c r="S304" s="27"/>
      <c r="T304" s="36" t="s">
        <v>55</v>
      </c>
      <c r="U304" s="63" t="str">
        <f>Y303</f>
        <v/>
      </c>
      <c r="V304" s="38"/>
      <c r="W304" s="63" t="str">
        <f t="shared" si="66"/>
        <v/>
      </c>
      <c r="X304" s="38"/>
      <c r="Y304" s="63" t="str">
        <f t="shared" si="64"/>
        <v/>
      </c>
      <c r="Z304" s="40"/>
    </row>
    <row r="305" spans="1:27" s="25" customFormat="1" ht="18" customHeight="1" thickBot="1" x14ac:dyDescent="0.35">
      <c r="A305" s="298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300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6"/>
        <v/>
      </c>
      <c r="X305" s="38"/>
      <c r="Y305" s="63" t="str">
        <f t="shared" si="64"/>
        <v/>
      </c>
      <c r="Z305" s="40"/>
    </row>
    <row r="306" spans="1:27" s="56" customFormat="1" ht="18" customHeight="1" thickBot="1" x14ac:dyDescent="0.25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403" t="s">
        <v>38</v>
      </c>
      <c r="B307" s="404"/>
      <c r="C307" s="404"/>
      <c r="D307" s="404"/>
      <c r="E307" s="404"/>
      <c r="F307" s="404"/>
      <c r="G307" s="404"/>
      <c r="H307" s="404"/>
      <c r="I307" s="404"/>
      <c r="J307" s="404"/>
      <c r="K307" s="404"/>
      <c r="L307" s="405"/>
      <c r="M307" s="24"/>
      <c r="N307" s="28"/>
      <c r="O307" s="396" t="s">
        <v>40</v>
      </c>
      <c r="P307" s="397"/>
      <c r="Q307" s="397"/>
      <c r="R307" s="398"/>
      <c r="S307" s="29"/>
      <c r="T307" s="396" t="s">
        <v>41</v>
      </c>
      <c r="U307" s="397"/>
      <c r="V307" s="397"/>
      <c r="W307" s="397"/>
      <c r="X307" s="397"/>
      <c r="Y307" s="398"/>
      <c r="Z307" s="30"/>
      <c r="AA307" s="24"/>
    </row>
    <row r="308" spans="1:27" s="25" customFormat="1" ht="18" customHeight="1" x14ac:dyDescent="0.2">
      <c r="A308" s="272"/>
      <c r="B308" s="270"/>
      <c r="C308" s="399" t="s">
        <v>202</v>
      </c>
      <c r="D308" s="399"/>
      <c r="E308" s="399"/>
      <c r="F308" s="399"/>
      <c r="G308" s="273" t="str">
        <f>$J$1</f>
        <v>June</v>
      </c>
      <c r="H308" s="400">
        <f>$K$1</f>
        <v>2024</v>
      </c>
      <c r="I308" s="400"/>
      <c r="J308" s="270"/>
      <c r="K308" s="274"/>
      <c r="L308" s="275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2"/>
      <c r="B309" s="270"/>
      <c r="C309" s="270"/>
      <c r="D309" s="276"/>
      <c r="E309" s="276"/>
      <c r="F309" s="276"/>
      <c r="G309" s="276"/>
      <c r="H309" s="276"/>
      <c r="I309" s="270"/>
      <c r="J309" s="277" t="s">
        <v>1</v>
      </c>
      <c r="K309" s="278">
        <f>22000+13000</f>
        <v>35000</v>
      </c>
      <c r="L309" s="279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2"/>
      <c r="B310" s="270" t="s">
        <v>0</v>
      </c>
      <c r="C310" s="269" t="s">
        <v>160</v>
      </c>
      <c r="D310" s="270"/>
      <c r="E310" s="270"/>
      <c r="F310" s="270"/>
      <c r="G310" s="270"/>
      <c r="H310" s="280"/>
      <c r="I310" s="276"/>
      <c r="J310" s="270"/>
      <c r="K310" s="270"/>
      <c r="L310" s="281"/>
      <c r="M310" s="24"/>
      <c r="N310" s="39"/>
      <c r="O310" s="36" t="s">
        <v>69</v>
      </c>
      <c r="P310" s="36">
        <v>28</v>
      </c>
      <c r="Q310" s="36">
        <v>1</v>
      </c>
      <c r="R310" s="36">
        <f>R309-Q310</f>
        <v>14</v>
      </c>
      <c r="S310" s="27"/>
      <c r="T310" s="36" t="s">
        <v>69</v>
      </c>
      <c r="U310" s="63">
        <f>Y309</f>
        <v>12760</v>
      </c>
      <c r="V310" s="38">
        <v>4000</v>
      </c>
      <c r="W310" s="63">
        <f>IF(U310="","",U310+V310)</f>
        <v>16760</v>
      </c>
      <c r="X310" s="38">
        <v>2000</v>
      </c>
      <c r="Y310" s="63">
        <f>IF(W310="","",W310-X310)</f>
        <v>14760</v>
      </c>
      <c r="Z310" s="40"/>
      <c r="AA310" s="24"/>
    </row>
    <row r="311" spans="1:27" s="25" customFormat="1" ht="18" customHeight="1" x14ac:dyDescent="0.2">
      <c r="A311" s="272"/>
      <c r="B311" s="282" t="s">
        <v>39</v>
      </c>
      <c r="C311" s="283"/>
      <c r="D311" s="270"/>
      <c r="E311" s="270"/>
      <c r="F311" s="406" t="s">
        <v>41</v>
      </c>
      <c r="G311" s="408"/>
      <c r="H311" s="270"/>
      <c r="I311" s="406" t="s">
        <v>42</v>
      </c>
      <c r="J311" s="407"/>
      <c r="K311" s="408"/>
      <c r="L311" s="284"/>
      <c r="N311" s="35"/>
      <c r="O311" s="36" t="s">
        <v>44</v>
      </c>
      <c r="P311" s="36">
        <v>31</v>
      </c>
      <c r="Q311" s="36">
        <v>0</v>
      </c>
      <c r="R311" s="36">
        <f t="shared" ref="R311:R320" si="69">R310-Q311</f>
        <v>14</v>
      </c>
      <c r="S311" s="27"/>
      <c r="T311" s="36" t="s">
        <v>44</v>
      </c>
      <c r="U311" s="63">
        <f>Y310</f>
        <v>14760</v>
      </c>
      <c r="V311" s="38"/>
      <c r="W311" s="63">
        <f t="shared" ref="W311:W320" si="70">IF(U311="","",U311+V311)</f>
        <v>14760</v>
      </c>
      <c r="X311" s="38">
        <v>2000</v>
      </c>
      <c r="Y311" s="63">
        <f t="shared" ref="Y311:Y320" si="71">IF(W311="","",W311-X311)</f>
        <v>12760</v>
      </c>
      <c r="Z311" s="40"/>
    </row>
    <row r="312" spans="1:27" s="25" customFormat="1" ht="18" customHeight="1" x14ac:dyDescent="0.2">
      <c r="A312" s="272"/>
      <c r="B312" s="270"/>
      <c r="C312" s="270"/>
      <c r="D312" s="270"/>
      <c r="E312" s="270"/>
      <c r="F312" s="270"/>
      <c r="G312" s="270"/>
      <c r="H312" s="285"/>
      <c r="I312" s="270"/>
      <c r="J312" s="270"/>
      <c r="K312" s="270"/>
      <c r="L312" s="286"/>
      <c r="N312" s="35"/>
      <c r="O312" s="36" t="s">
        <v>45</v>
      </c>
      <c r="P312" s="36">
        <v>30</v>
      </c>
      <c r="Q312" s="36">
        <v>0</v>
      </c>
      <c r="R312" s="36">
        <f t="shared" si="69"/>
        <v>14</v>
      </c>
      <c r="S312" s="27"/>
      <c r="T312" s="36" t="s">
        <v>45</v>
      </c>
      <c r="U312" s="63">
        <f>IF($J$1="March","",Y311)</f>
        <v>12760</v>
      </c>
      <c r="V312" s="38">
        <v>2000</v>
      </c>
      <c r="W312" s="63">
        <f t="shared" si="70"/>
        <v>14760</v>
      </c>
      <c r="X312" s="38">
        <v>2000</v>
      </c>
      <c r="Y312" s="63">
        <f t="shared" si="71"/>
        <v>12760</v>
      </c>
      <c r="Z312" s="40"/>
    </row>
    <row r="313" spans="1:27" s="25" customFormat="1" ht="18" customHeight="1" x14ac:dyDescent="0.2">
      <c r="A313" s="272"/>
      <c r="B313" s="401" t="s">
        <v>40</v>
      </c>
      <c r="C313" s="402"/>
      <c r="D313" s="270"/>
      <c r="E313" s="270"/>
      <c r="F313" s="287" t="s">
        <v>62</v>
      </c>
      <c r="G313" s="28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10760</v>
      </c>
      <c r="H313" s="285"/>
      <c r="I313" s="289">
        <f>IF(C317&gt;=C316,$K$2,C315+C317)</f>
        <v>30</v>
      </c>
      <c r="J313" s="290" t="s">
        <v>59</v>
      </c>
      <c r="K313" s="291">
        <f>K309/$K$2*I313</f>
        <v>35000</v>
      </c>
      <c r="L313" s="292"/>
      <c r="N313" s="35"/>
      <c r="O313" s="36" t="s">
        <v>46</v>
      </c>
      <c r="P313" s="36">
        <v>31</v>
      </c>
      <c r="Q313" s="36">
        <v>0</v>
      </c>
      <c r="R313" s="36">
        <f t="shared" si="69"/>
        <v>14</v>
      </c>
      <c r="S313" s="27"/>
      <c r="T313" s="36" t="s">
        <v>46</v>
      </c>
      <c r="U313" s="63">
        <f>Y312</f>
        <v>12760</v>
      </c>
      <c r="V313" s="38"/>
      <c r="W313" s="63">
        <f t="shared" si="70"/>
        <v>12760</v>
      </c>
      <c r="X313" s="38">
        <v>2000</v>
      </c>
      <c r="Y313" s="63">
        <f t="shared" si="71"/>
        <v>10760</v>
      </c>
      <c r="Z313" s="40"/>
    </row>
    <row r="314" spans="1:27" s="25" customFormat="1" ht="18" customHeight="1" x14ac:dyDescent="0.2">
      <c r="A314" s="272"/>
      <c r="B314" s="293"/>
      <c r="C314" s="293"/>
      <c r="D314" s="270"/>
      <c r="E314" s="270"/>
      <c r="F314" s="287" t="s">
        <v>18</v>
      </c>
      <c r="G314" s="28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85"/>
      <c r="I314" s="289">
        <v>62</v>
      </c>
      <c r="J314" s="290" t="s">
        <v>60</v>
      </c>
      <c r="K314" s="294">
        <f>K309/$K$2/8*I314</f>
        <v>9041.6666666666679</v>
      </c>
      <c r="L314" s="295"/>
      <c r="N314" s="35"/>
      <c r="O314" s="36" t="s">
        <v>47</v>
      </c>
      <c r="P314" s="36">
        <v>29</v>
      </c>
      <c r="Q314" s="36">
        <v>1</v>
      </c>
      <c r="R314" s="36">
        <f t="shared" si="69"/>
        <v>13</v>
      </c>
      <c r="S314" s="27"/>
      <c r="T314" s="36" t="s">
        <v>47</v>
      </c>
      <c r="U314" s="63">
        <f>Y313</f>
        <v>10760</v>
      </c>
      <c r="V314" s="38"/>
      <c r="W314" s="63">
        <f t="shared" si="70"/>
        <v>10760</v>
      </c>
      <c r="X314" s="38"/>
      <c r="Y314" s="63">
        <f t="shared" si="71"/>
        <v>10760</v>
      </c>
      <c r="Z314" s="40"/>
    </row>
    <row r="315" spans="1:27" s="25" customFormat="1" ht="18" customHeight="1" x14ac:dyDescent="0.2">
      <c r="A315" s="272"/>
      <c r="B315" s="287" t="s">
        <v>7</v>
      </c>
      <c r="C315" s="293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29</v>
      </c>
      <c r="D315" s="270"/>
      <c r="E315" s="270"/>
      <c r="F315" s="287" t="s">
        <v>63</v>
      </c>
      <c r="G315" s="288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10760</v>
      </c>
      <c r="H315" s="285"/>
      <c r="I315" s="389" t="s">
        <v>67</v>
      </c>
      <c r="J315" s="390"/>
      <c r="K315" s="294">
        <f>K313+K314</f>
        <v>44041.666666666672</v>
      </c>
      <c r="L315" s="295"/>
      <c r="N315" s="35"/>
      <c r="O315" s="36" t="s">
        <v>48</v>
      </c>
      <c r="P315" s="36"/>
      <c r="Q315" s="36"/>
      <c r="R315" s="36">
        <f t="shared" si="69"/>
        <v>13</v>
      </c>
      <c r="S315" s="27"/>
      <c r="T315" s="36" t="s">
        <v>48</v>
      </c>
      <c r="U315" s="63"/>
      <c r="V315" s="38"/>
      <c r="W315" s="63" t="str">
        <f t="shared" si="70"/>
        <v/>
      </c>
      <c r="X315" s="38"/>
      <c r="Y315" s="63" t="str">
        <f t="shared" si="71"/>
        <v/>
      </c>
      <c r="Z315" s="40"/>
    </row>
    <row r="316" spans="1:27" s="25" customFormat="1" ht="18" customHeight="1" x14ac:dyDescent="0.2">
      <c r="A316" s="272"/>
      <c r="B316" s="287" t="s">
        <v>6</v>
      </c>
      <c r="C316" s="293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1</v>
      </c>
      <c r="D316" s="270"/>
      <c r="E316" s="270"/>
      <c r="F316" s="287" t="s">
        <v>19</v>
      </c>
      <c r="G316" s="288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0</v>
      </c>
      <c r="H316" s="285"/>
      <c r="I316" s="389" t="s">
        <v>68</v>
      </c>
      <c r="J316" s="390"/>
      <c r="K316" s="288">
        <f>G316</f>
        <v>0</v>
      </c>
      <c r="L316" s="296"/>
      <c r="N316" s="35"/>
      <c r="O316" s="36" t="s">
        <v>49</v>
      </c>
      <c r="P316" s="36"/>
      <c r="Q316" s="36"/>
      <c r="R316" s="36">
        <f t="shared" si="69"/>
        <v>13</v>
      </c>
      <c r="S316" s="27"/>
      <c r="T316" s="36" t="s">
        <v>49</v>
      </c>
      <c r="U316" s="63"/>
      <c r="V316" s="38"/>
      <c r="W316" s="63" t="str">
        <f t="shared" si="70"/>
        <v/>
      </c>
      <c r="X316" s="38"/>
      <c r="Y316" s="63" t="str">
        <f t="shared" si="71"/>
        <v/>
      </c>
      <c r="Z316" s="40"/>
    </row>
    <row r="317" spans="1:27" s="25" customFormat="1" ht="18" customHeight="1" x14ac:dyDescent="0.2">
      <c r="A317" s="272"/>
      <c r="B317" s="302" t="s">
        <v>66</v>
      </c>
      <c r="C317" s="293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13</v>
      </c>
      <c r="D317" s="270"/>
      <c r="E317" s="270"/>
      <c r="F317" s="302" t="s">
        <v>195</v>
      </c>
      <c r="G317" s="28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10760</v>
      </c>
      <c r="H317" s="270"/>
      <c r="I317" s="391" t="s">
        <v>61</v>
      </c>
      <c r="J317" s="391"/>
      <c r="K317" s="229">
        <f>K315-K316</f>
        <v>44041.666666666672</v>
      </c>
      <c r="L317" s="297"/>
      <c r="N317" s="35"/>
      <c r="O317" s="36" t="s">
        <v>54</v>
      </c>
      <c r="P317" s="36"/>
      <c r="Q317" s="36"/>
      <c r="R317" s="36">
        <f t="shared" si="69"/>
        <v>13</v>
      </c>
      <c r="S317" s="27"/>
      <c r="T317" s="36" t="s">
        <v>54</v>
      </c>
      <c r="U317" s="63"/>
      <c r="V317" s="38"/>
      <c r="W317" s="63" t="str">
        <f t="shared" si="70"/>
        <v/>
      </c>
      <c r="X317" s="38"/>
      <c r="Y317" s="63" t="str">
        <f t="shared" si="71"/>
        <v/>
      </c>
      <c r="Z317" s="40"/>
    </row>
    <row r="318" spans="1:27" s="25" customFormat="1" ht="18" customHeight="1" x14ac:dyDescent="0.2">
      <c r="A318" s="272"/>
      <c r="B318" s="270"/>
      <c r="C318" s="270"/>
      <c r="D318" s="270"/>
      <c r="E318" s="270"/>
      <c r="F318" s="270"/>
      <c r="G318" s="270"/>
      <c r="H318" s="270"/>
      <c r="I318" s="392"/>
      <c r="J318" s="392"/>
      <c r="K318" s="352"/>
      <c r="L318" s="284"/>
      <c r="N318" s="35"/>
      <c r="O318" s="36" t="s">
        <v>50</v>
      </c>
      <c r="P318" s="36"/>
      <c r="Q318" s="36"/>
      <c r="R318" s="36">
        <f t="shared" si="69"/>
        <v>13</v>
      </c>
      <c r="S318" s="27"/>
      <c r="T318" s="36" t="s">
        <v>50</v>
      </c>
      <c r="U318" s="63"/>
      <c r="V318" s="38"/>
      <c r="W318" s="63" t="str">
        <f t="shared" si="70"/>
        <v/>
      </c>
      <c r="X318" s="38"/>
      <c r="Y318" s="63" t="str">
        <f t="shared" si="71"/>
        <v/>
      </c>
      <c r="Z318" s="40"/>
    </row>
    <row r="319" spans="1:27" s="25" customFormat="1" ht="18" customHeight="1" x14ac:dyDescent="0.3">
      <c r="A319" s="272"/>
      <c r="B319" s="268"/>
      <c r="C319" s="268"/>
      <c r="D319" s="268"/>
      <c r="E319" s="268"/>
      <c r="F319" s="268"/>
      <c r="G319" s="268"/>
      <c r="H319" s="268"/>
      <c r="I319" s="392"/>
      <c r="J319" s="392"/>
      <c r="K319" s="352"/>
      <c r="L319" s="284"/>
      <c r="N319" s="35"/>
      <c r="O319" s="36" t="s">
        <v>55</v>
      </c>
      <c r="P319" s="36"/>
      <c r="Q319" s="36"/>
      <c r="R319" s="36">
        <f t="shared" si="69"/>
        <v>13</v>
      </c>
      <c r="S319" s="27"/>
      <c r="T319" s="36" t="s">
        <v>55</v>
      </c>
      <c r="U319" s="63"/>
      <c r="V319" s="38"/>
      <c r="W319" s="63" t="str">
        <f t="shared" si="70"/>
        <v/>
      </c>
      <c r="X319" s="38"/>
      <c r="Y319" s="63" t="str">
        <f t="shared" si="71"/>
        <v/>
      </c>
      <c r="Z319" s="40"/>
    </row>
    <row r="320" spans="1:27" s="25" customFormat="1" ht="18" customHeight="1" thickBot="1" x14ac:dyDescent="0.35">
      <c r="A320" s="298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300"/>
      <c r="N320" s="35"/>
      <c r="O320" s="36" t="s">
        <v>56</v>
      </c>
      <c r="P320" s="36"/>
      <c r="Q320" s="36"/>
      <c r="R320" s="36">
        <f t="shared" si="69"/>
        <v>13</v>
      </c>
      <c r="S320" s="27"/>
      <c r="T320" s="36" t="s">
        <v>56</v>
      </c>
      <c r="U320" s="63"/>
      <c r="V320" s="38"/>
      <c r="W320" s="63" t="str">
        <f t="shared" si="70"/>
        <v/>
      </c>
      <c r="X320" s="38"/>
      <c r="Y320" s="63" t="str">
        <f t="shared" si="71"/>
        <v/>
      </c>
      <c r="Z320" s="40"/>
    </row>
    <row r="321" spans="1:27" s="56" customFormat="1" ht="18" customHeight="1" thickBot="1" x14ac:dyDescent="0.25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403" t="s">
        <v>38</v>
      </c>
      <c r="B322" s="404"/>
      <c r="C322" s="404"/>
      <c r="D322" s="404"/>
      <c r="E322" s="404"/>
      <c r="F322" s="404"/>
      <c r="G322" s="404"/>
      <c r="H322" s="404"/>
      <c r="I322" s="404"/>
      <c r="J322" s="404"/>
      <c r="K322" s="404"/>
      <c r="L322" s="405"/>
      <c r="M322" s="24"/>
      <c r="N322" s="28"/>
      <c r="O322" s="396" t="s">
        <v>40</v>
      </c>
      <c r="P322" s="397"/>
      <c r="Q322" s="397"/>
      <c r="R322" s="398"/>
      <c r="S322" s="29"/>
      <c r="T322" s="396" t="s">
        <v>41</v>
      </c>
      <c r="U322" s="397"/>
      <c r="V322" s="397"/>
      <c r="W322" s="397"/>
      <c r="X322" s="397"/>
      <c r="Y322" s="398"/>
      <c r="Z322" s="30"/>
      <c r="AA322" s="24"/>
    </row>
    <row r="323" spans="1:27" s="25" customFormat="1" ht="18" customHeight="1" x14ac:dyDescent="0.2">
      <c r="A323" s="272"/>
      <c r="B323" s="270"/>
      <c r="C323" s="399" t="s">
        <v>202</v>
      </c>
      <c r="D323" s="399"/>
      <c r="E323" s="399"/>
      <c r="F323" s="399"/>
      <c r="G323" s="273" t="str">
        <f>$J$1</f>
        <v>June</v>
      </c>
      <c r="H323" s="400">
        <f>$K$1</f>
        <v>2024</v>
      </c>
      <c r="I323" s="400"/>
      <c r="J323" s="270"/>
      <c r="K323" s="274"/>
      <c r="L323" s="275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2"/>
      <c r="B324" s="270"/>
      <c r="C324" s="270"/>
      <c r="D324" s="276"/>
      <c r="E324" s="276"/>
      <c r="F324" s="276"/>
      <c r="G324" s="276"/>
      <c r="H324" s="276"/>
      <c r="I324" s="270"/>
      <c r="J324" s="277" t="s">
        <v>1</v>
      </c>
      <c r="K324" s="278">
        <f>19000+3000+5000</f>
        <v>27000</v>
      </c>
      <c r="L324" s="279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2"/>
      <c r="B325" s="270" t="s">
        <v>0</v>
      </c>
      <c r="C325" s="269" t="s">
        <v>129</v>
      </c>
      <c r="D325" s="270"/>
      <c r="E325" s="270"/>
      <c r="F325" s="270"/>
      <c r="G325" s="270"/>
      <c r="H325" s="280"/>
      <c r="I325" s="276"/>
      <c r="J325" s="270"/>
      <c r="K325" s="270"/>
      <c r="L325" s="281"/>
      <c r="M325" s="24"/>
      <c r="N325" s="39"/>
      <c r="O325" s="36" t="s">
        <v>69</v>
      </c>
      <c r="P325" s="36">
        <v>28</v>
      </c>
      <c r="Q325" s="36">
        <v>1</v>
      </c>
      <c r="R325" s="36">
        <f t="shared" ref="R325:R335" si="72">IF(Q325="","",R324-Q325)</f>
        <v>12</v>
      </c>
      <c r="S325" s="27"/>
      <c r="T325" s="36" t="s">
        <v>69</v>
      </c>
      <c r="U325" s="63">
        <f>Y324</f>
        <v>15000</v>
      </c>
      <c r="V325" s="38"/>
      <c r="W325" s="63">
        <f>IF(U325="","",U325+V325)</f>
        <v>15000</v>
      </c>
      <c r="X325" s="38">
        <v>3000</v>
      </c>
      <c r="Y325" s="63">
        <f>IF(W325="","",W325-X325)</f>
        <v>12000</v>
      </c>
      <c r="Z325" s="40"/>
      <c r="AA325" s="24"/>
    </row>
    <row r="326" spans="1:27" s="25" customFormat="1" ht="18" customHeight="1" x14ac:dyDescent="0.2">
      <c r="A326" s="272"/>
      <c r="B326" s="282" t="s">
        <v>39</v>
      </c>
      <c r="C326" s="283"/>
      <c r="D326" s="270"/>
      <c r="E326" s="270"/>
      <c r="F326" s="406" t="s">
        <v>41</v>
      </c>
      <c r="G326" s="408"/>
      <c r="H326" s="270"/>
      <c r="I326" s="406" t="s">
        <v>42</v>
      </c>
      <c r="J326" s="407"/>
      <c r="K326" s="408"/>
      <c r="L326" s="284"/>
      <c r="N326" s="35"/>
      <c r="O326" s="36" t="s">
        <v>44</v>
      </c>
      <c r="P326" s="36">
        <v>31</v>
      </c>
      <c r="Q326" s="36">
        <v>0</v>
      </c>
      <c r="R326" s="36">
        <f t="shared" si="72"/>
        <v>12</v>
      </c>
      <c r="S326" s="27"/>
      <c r="T326" s="36" t="s">
        <v>44</v>
      </c>
      <c r="U326" s="63">
        <f>Y325</f>
        <v>12000</v>
      </c>
      <c r="V326" s="38"/>
      <c r="W326" s="63">
        <f t="shared" ref="W326:W335" si="73">IF(U326="","",U326+V326)</f>
        <v>12000</v>
      </c>
      <c r="X326" s="38">
        <v>3000</v>
      </c>
      <c r="Y326" s="63">
        <f t="shared" ref="Y326:Y335" si="74">IF(W326="","",W326-X326)</f>
        <v>9000</v>
      </c>
      <c r="Z326" s="40"/>
    </row>
    <row r="327" spans="1:27" s="25" customFormat="1" ht="18" customHeight="1" x14ac:dyDescent="0.2">
      <c r="A327" s="272"/>
      <c r="B327" s="270"/>
      <c r="C327" s="270"/>
      <c r="D327" s="270"/>
      <c r="E327" s="270"/>
      <c r="F327" s="270"/>
      <c r="G327" s="270"/>
      <c r="H327" s="285"/>
      <c r="I327" s="270"/>
      <c r="J327" s="270"/>
      <c r="K327" s="270"/>
      <c r="L327" s="286"/>
      <c r="N327" s="35"/>
      <c r="O327" s="36" t="s">
        <v>45</v>
      </c>
      <c r="P327" s="36">
        <v>29</v>
      </c>
      <c r="Q327" s="36">
        <v>1</v>
      </c>
      <c r="R327" s="36">
        <f t="shared" si="72"/>
        <v>11</v>
      </c>
      <c r="S327" s="27"/>
      <c r="T327" s="36" t="s">
        <v>45</v>
      </c>
      <c r="U327" s="63">
        <f>IF($J$1="March","",Y326)</f>
        <v>9000</v>
      </c>
      <c r="V327" s="38"/>
      <c r="W327" s="63">
        <f t="shared" si="73"/>
        <v>9000</v>
      </c>
      <c r="X327" s="38">
        <v>3000</v>
      </c>
      <c r="Y327" s="63">
        <f t="shared" si="74"/>
        <v>6000</v>
      </c>
      <c r="Z327" s="40"/>
    </row>
    <row r="328" spans="1:27" s="25" customFormat="1" ht="18" customHeight="1" x14ac:dyDescent="0.2">
      <c r="A328" s="272"/>
      <c r="B328" s="401" t="s">
        <v>40</v>
      </c>
      <c r="C328" s="402"/>
      <c r="D328" s="270"/>
      <c r="E328" s="270"/>
      <c r="F328" s="287" t="s">
        <v>62</v>
      </c>
      <c r="G328" s="288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3000</v>
      </c>
      <c r="H328" s="285"/>
      <c r="I328" s="289">
        <f>IF(C332&gt;=C331,$K$2,C330+C332)</f>
        <v>30</v>
      </c>
      <c r="J328" s="290" t="s">
        <v>59</v>
      </c>
      <c r="K328" s="291">
        <f>K324/$K$2*I328</f>
        <v>27000</v>
      </c>
      <c r="L328" s="292"/>
      <c r="N328" s="35"/>
      <c r="O328" s="36" t="s">
        <v>46</v>
      </c>
      <c r="P328" s="36">
        <v>30</v>
      </c>
      <c r="Q328" s="36">
        <v>1</v>
      </c>
      <c r="R328" s="36">
        <f t="shared" si="72"/>
        <v>10</v>
      </c>
      <c r="S328" s="27"/>
      <c r="T328" s="36" t="s">
        <v>46</v>
      </c>
      <c r="U328" s="63">
        <f>IF($J$1="April","",Y327)</f>
        <v>6000</v>
      </c>
      <c r="V328" s="38"/>
      <c r="W328" s="63">
        <f t="shared" si="73"/>
        <v>6000</v>
      </c>
      <c r="X328" s="38">
        <v>3000</v>
      </c>
      <c r="Y328" s="63">
        <f t="shared" si="74"/>
        <v>3000</v>
      </c>
      <c r="Z328" s="40"/>
    </row>
    <row r="329" spans="1:27" s="25" customFormat="1" ht="18" customHeight="1" x14ac:dyDescent="0.2">
      <c r="A329" s="272"/>
      <c r="B329" s="293"/>
      <c r="C329" s="293"/>
      <c r="D329" s="270"/>
      <c r="E329" s="270"/>
      <c r="F329" s="287" t="s">
        <v>18</v>
      </c>
      <c r="G329" s="288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5"/>
      <c r="I329" s="289">
        <v>18</v>
      </c>
      <c r="J329" s="290" t="s">
        <v>60</v>
      </c>
      <c r="K329" s="294">
        <f>K324/$K$2/8*I329</f>
        <v>2025</v>
      </c>
      <c r="L329" s="295"/>
      <c r="N329" s="35"/>
      <c r="O329" s="36" t="s">
        <v>47</v>
      </c>
      <c r="P329" s="36">
        <v>27</v>
      </c>
      <c r="Q329" s="36">
        <v>3</v>
      </c>
      <c r="R329" s="36">
        <f t="shared" si="72"/>
        <v>7</v>
      </c>
      <c r="S329" s="27"/>
      <c r="T329" s="36" t="s">
        <v>47</v>
      </c>
      <c r="U329" s="63">
        <f>Y328</f>
        <v>3000</v>
      </c>
      <c r="V329" s="38"/>
      <c r="W329" s="63">
        <f t="shared" si="73"/>
        <v>3000</v>
      </c>
      <c r="X329" s="38">
        <v>1000</v>
      </c>
      <c r="Y329" s="63">
        <f t="shared" si="74"/>
        <v>2000</v>
      </c>
      <c r="Z329" s="40"/>
    </row>
    <row r="330" spans="1:27" s="25" customFormat="1" ht="18" customHeight="1" x14ac:dyDescent="0.2">
      <c r="A330" s="272"/>
      <c r="B330" s="287" t="s">
        <v>7</v>
      </c>
      <c r="C330" s="293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27</v>
      </c>
      <c r="D330" s="270"/>
      <c r="E330" s="270"/>
      <c r="F330" s="287" t="s">
        <v>63</v>
      </c>
      <c r="G330" s="288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3000</v>
      </c>
      <c r="H330" s="285"/>
      <c r="I330" s="389" t="s">
        <v>67</v>
      </c>
      <c r="J330" s="390"/>
      <c r="K330" s="294">
        <f>K328+K329</f>
        <v>29025</v>
      </c>
      <c r="L330" s="295"/>
      <c r="N330" s="35"/>
      <c r="O330" s="36" t="s">
        <v>48</v>
      </c>
      <c r="P330" s="36"/>
      <c r="Q330" s="36"/>
      <c r="R330" s="36" t="str">
        <f t="shared" si="72"/>
        <v/>
      </c>
      <c r="S330" s="27"/>
      <c r="T330" s="36" t="s">
        <v>48</v>
      </c>
      <c r="U330" s="63"/>
      <c r="V330" s="38"/>
      <c r="W330" s="63" t="str">
        <f t="shared" ref="W330:W333" si="75">IF(U330="","",U330+V330)</f>
        <v/>
      </c>
      <c r="X330" s="38"/>
      <c r="Y330" s="63" t="str">
        <f t="shared" ref="Y330:Y333" si="76">IF(W330="","",W330-X330)</f>
        <v/>
      </c>
      <c r="Z330" s="40"/>
    </row>
    <row r="331" spans="1:27" s="25" customFormat="1" ht="18" customHeight="1" x14ac:dyDescent="0.2">
      <c r="A331" s="272"/>
      <c r="B331" s="287" t="s">
        <v>6</v>
      </c>
      <c r="C331" s="293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3</v>
      </c>
      <c r="D331" s="270"/>
      <c r="E331" s="270"/>
      <c r="F331" s="287" t="s">
        <v>19</v>
      </c>
      <c r="G331" s="288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1000</v>
      </c>
      <c r="H331" s="285"/>
      <c r="I331" s="389" t="s">
        <v>68</v>
      </c>
      <c r="J331" s="390"/>
      <c r="K331" s="288">
        <f>G331</f>
        <v>1000</v>
      </c>
      <c r="L331" s="296"/>
      <c r="N331" s="35"/>
      <c r="O331" s="36" t="s">
        <v>49</v>
      </c>
      <c r="P331" s="36"/>
      <c r="Q331" s="36"/>
      <c r="R331" s="36" t="str">
        <f t="shared" si="72"/>
        <v/>
      </c>
      <c r="S331" s="27"/>
      <c r="T331" s="36" t="s">
        <v>49</v>
      </c>
      <c r="U331" s="63"/>
      <c r="V331" s="38"/>
      <c r="W331" s="63" t="str">
        <f t="shared" si="75"/>
        <v/>
      </c>
      <c r="X331" s="38"/>
      <c r="Y331" s="63" t="str">
        <f t="shared" si="76"/>
        <v/>
      </c>
      <c r="Z331" s="40"/>
    </row>
    <row r="332" spans="1:27" s="25" customFormat="1" ht="18" customHeight="1" x14ac:dyDescent="0.2">
      <c r="A332" s="272"/>
      <c r="B332" s="302" t="s">
        <v>66</v>
      </c>
      <c r="C332" s="293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7</v>
      </c>
      <c r="D332" s="270"/>
      <c r="E332" s="270"/>
      <c r="F332" s="302" t="s">
        <v>195</v>
      </c>
      <c r="G332" s="28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2000</v>
      </c>
      <c r="H332" s="270"/>
      <c r="I332" s="391" t="s">
        <v>61</v>
      </c>
      <c r="J332" s="391"/>
      <c r="K332" s="229">
        <f>K330-K331</f>
        <v>28025</v>
      </c>
      <c r="L332" s="297"/>
      <c r="N332" s="35"/>
      <c r="O332" s="36" t="s">
        <v>54</v>
      </c>
      <c r="P332" s="36"/>
      <c r="Q332" s="36"/>
      <c r="R332" s="36" t="str">
        <f t="shared" si="72"/>
        <v/>
      </c>
      <c r="S332" s="27"/>
      <c r="T332" s="36" t="s">
        <v>54</v>
      </c>
      <c r="U332" s="63"/>
      <c r="V332" s="38"/>
      <c r="W332" s="63" t="str">
        <f t="shared" si="75"/>
        <v/>
      </c>
      <c r="X332" s="38"/>
      <c r="Y332" s="63" t="str">
        <f t="shared" si="76"/>
        <v/>
      </c>
      <c r="Z332" s="40"/>
    </row>
    <row r="333" spans="1:27" s="25" customFormat="1" ht="18" customHeight="1" x14ac:dyDescent="0.2">
      <c r="A333" s="272"/>
      <c r="B333" s="270"/>
      <c r="C333" s="270"/>
      <c r="D333" s="270"/>
      <c r="E333" s="270"/>
      <c r="F333" s="270"/>
      <c r="G333" s="270"/>
      <c r="H333" s="270"/>
      <c r="I333" s="392"/>
      <c r="J333" s="392"/>
      <c r="K333" s="352"/>
      <c r="L333" s="284"/>
      <c r="N333" s="35"/>
      <c r="O333" s="36" t="s">
        <v>50</v>
      </c>
      <c r="P333" s="36"/>
      <c r="Q333" s="36"/>
      <c r="R333" s="36" t="str">
        <f t="shared" si="72"/>
        <v/>
      </c>
      <c r="S333" s="27"/>
      <c r="T333" s="36" t="s">
        <v>50</v>
      </c>
      <c r="U333" s="63"/>
      <c r="V333" s="38"/>
      <c r="W333" s="63" t="str">
        <f t="shared" si="75"/>
        <v/>
      </c>
      <c r="X333" s="38"/>
      <c r="Y333" s="63" t="str">
        <f t="shared" si="76"/>
        <v/>
      </c>
      <c r="Z333" s="40"/>
    </row>
    <row r="334" spans="1:27" s="25" customFormat="1" ht="18" customHeight="1" x14ac:dyDescent="0.3">
      <c r="A334" s="272"/>
      <c r="B334" s="268"/>
      <c r="C334" s="268"/>
      <c r="D334" s="268"/>
      <c r="E334" s="268"/>
      <c r="F334" s="268"/>
      <c r="G334" s="268"/>
      <c r="H334" s="268"/>
      <c r="I334" s="392"/>
      <c r="J334" s="392"/>
      <c r="K334" s="352"/>
      <c r="L334" s="284"/>
      <c r="N334" s="35"/>
      <c r="O334" s="36" t="s">
        <v>55</v>
      </c>
      <c r="P334" s="36"/>
      <c r="Q334" s="36"/>
      <c r="R334" s="36" t="str">
        <f t="shared" si="72"/>
        <v/>
      </c>
      <c r="S334" s="27"/>
      <c r="T334" s="36" t="s">
        <v>55</v>
      </c>
      <c r="U334" s="63"/>
      <c r="V334" s="38"/>
      <c r="W334" s="63" t="str">
        <f t="shared" si="73"/>
        <v/>
      </c>
      <c r="X334" s="38"/>
      <c r="Y334" s="63" t="str">
        <f t="shared" si="74"/>
        <v/>
      </c>
      <c r="Z334" s="40"/>
    </row>
    <row r="335" spans="1:27" s="25" customFormat="1" ht="18" customHeight="1" thickBot="1" x14ac:dyDescent="0.35">
      <c r="A335" s="298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300"/>
      <c r="N335" s="35"/>
      <c r="O335" s="36" t="s">
        <v>56</v>
      </c>
      <c r="P335" s="36"/>
      <c r="Q335" s="36"/>
      <c r="R335" s="36" t="str">
        <f t="shared" si="72"/>
        <v/>
      </c>
      <c r="S335" s="27"/>
      <c r="T335" s="36" t="s">
        <v>56</v>
      </c>
      <c r="U335" s="63"/>
      <c r="V335" s="38"/>
      <c r="W335" s="63" t="str">
        <f t="shared" si="73"/>
        <v/>
      </c>
      <c r="X335" s="38"/>
      <c r="Y335" s="63" t="str">
        <f t="shared" si="74"/>
        <v/>
      </c>
      <c r="Z335" s="40"/>
    </row>
    <row r="336" spans="1:27" s="56" customFormat="1" ht="18" customHeight="1" thickBot="1" x14ac:dyDescent="0.25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7" s="25" customFormat="1" ht="18" customHeight="1" thickBot="1" x14ac:dyDescent="0.25">
      <c r="A337" s="403" t="s">
        <v>38</v>
      </c>
      <c r="B337" s="404"/>
      <c r="C337" s="404"/>
      <c r="D337" s="404"/>
      <c r="E337" s="404"/>
      <c r="F337" s="404"/>
      <c r="G337" s="404"/>
      <c r="H337" s="404"/>
      <c r="I337" s="404"/>
      <c r="J337" s="404"/>
      <c r="K337" s="404"/>
      <c r="L337" s="405"/>
      <c r="M337" s="24"/>
      <c r="N337" s="28"/>
      <c r="O337" s="396" t="s">
        <v>40</v>
      </c>
      <c r="P337" s="397"/>
      <c r="Q337" s="397"/>
      <c r="R337" s="398"/>
      <c r="S337" s="29"/>
      <c r="T337" s="396" t="s">
        <v>41</v>
      </c>
      <c r="U337" s="397"/>
      <c r="V337" s="397"/>
      <c r="W337" s="397"/>
      <c r="X337" s="397"/>
      <c r="Y337" s="398"/>
      <c r="Z337" s="30"/>
    </row>
    <row r="338" spans="1:27" s="25" customFormat="1" ht="18" customHeight="1" x14ac:dyDescent="0.2">
      <c r="A338" s="272"/>
      <c r="B338" s="270"/>
      <c r="C338" s="399" t="s">
        <v>202</v>
      </c>
      <c r="D338" s="399"/>
      <c r="E338" s="399"/>
      <c r="F338" s="399"/>
      <c r="G338" s="273" t="str">
        <f>$J$1</f>
        <v>June</v>
      </c>
      <c r="H338" s="400">
        <f>$K$1</f>
        <v>2024</v>
      </c>
      <c r="I338" s="400"/>
      <c r="J338" s="270"/>
      <c r="K338" s="274"/>
      <c r="L338" s="275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7" s="25" customFormat="1" ht="18" customHeight="1" x14ac:dyDescent="0.2">
      <c r="A339" s="272"/>
      <c r="B339" s="270"/>
      <c r="C339" s="270"/>
      <c r="D339" s="276"/>
      <c r="E339" s="276"/>
      <c r="F339" s="276"/>
      <c r="G339" s="276"/>
      <c r="H339" s="276"/>
      <c r="I339" s="270"/>
      <c r="J339" s="277" t="s">
        <v>1</v>
      </c>
      <c r="K339" s="278">
        <f>27000+8000</f>
        <v>35000</v>
      </c>
      <c r="L339" s="279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W339-X339-15000</f>
        <v>3000</v>
      </c>
      <c r="Z339" s="34"/>
      <c r="AA339" s="25" t="s">
        <v>222</v>
      </c>
    </row>
    <row r="340" spans="1:27" s="25" customFormat="1" ht="18" customHeight="1" x14ac:dyDescent="0.2">
      <c r="A340" s="272"/>
      <c r="B340" s="270" t="s">
        <v>0</v>
      </c>
      <c r="C340" s="269" t="s">
        <v>153</v>
      </c>
      <c r="D340" s="270"/>
      <c r="E340" s="270"/>
      <c r="F340" s="270"/>
      <c r="G340" s="270"/>
      <c r="H340" s="280"/>
      <c r="I340" s="276"/>
      <c r="J340" s="270"/>
      <c r="K340" s="270"/>
      <c r="L340" s="281"/>
      <c r="M340" s="24"/>
      <c r="N340" s="39"/>
      <c r="O340" s="36" t="s">
        <v>69</v>
      </c>
      <c r="P340" s="36">
        <v>28</v>
      </c>
      <c r="Q340" s="36">
        <v>1</v>
      </c>
      <c r="R340" s="36">
        <f t="shared" ref="R340:R350" si="77">IF(Q340="","",R339-Q340)</f>
        <v>13</v>
      </c>
      <c r="S340" s="27"/>
      <c r="T340" s="36" t="s">
        <v>69</v>
      </c>
      <c r="U340" s="63">
        <f>Y339</f>
        <v>3000</v>
      </c>
      <c r="V340" s="38"/>
      <c r="W340" s="63">
        <f>IF(U340="","",U340+V340)</f>
        <v>3000</v>
      </c>
      <c r="X340" s="38">
        <v>1500</v>
      </c>
      <c r="Y340" s="63">
        <f>IF(W340="","",W340-X340)</f>
        <v>1500</v>
      </c>
      <c r="Z340" s="40"/>
    </row>
    <row r="341" spans="1:27" s="25" customFormat="1" ht="18" customHeight="1" x14ac:dyDescent="0.2">
      <c r="A341" s="272"/>
      <c r="B341" s="282" t="s">
        <v>39</v>
      </c>
      <c r="C341" s="283"/>
      <c r="D341" s="270"/>
      <c r="E341" s="270"/>
      <c r="F341" s="406" t="s">
        <v>41</v>
      </c>
      <c r="G341" s="408"/>
      <c r="H341" s="270"/>
      <c r="I341" s="406" t="s">
        <v>42</v>
      </c>
      <c r="J341" s="407"/>
      <c r="K341" s="408"/>
      <c r="L341" s="284"/>
      <c r="N341" s="35"/>
      <c r="O341" s="36" t="s">
        <v>44</v>
      </c>
      <c r="P341" s="36">
        <v>30</v>
      </c>
      <c r="Q341" s="36">
        <v>1</v>
      </c>
      <c r="R341" s="36">
        <f t="shared" si="77"/>
        <v>12</v>
      </c>
      <c r="S341" s="27"/>
      <c r="T341" s="36" t="s">
        <v>44</v>
      </c>
      <c r="U341" s="63">
        <f>Y340</f>
        <v>1500</v>
      </c>
      <c r="V341" s="38"/>
      <c r="W341" s="63">
        <f t="shared" ref="W341:W344" si="78">IF(U341="","",U341+V341)</f>
        <v>1500</v>
      </c>
      <c r="X341" s="38">
        <v>1500</v>
      </c>
      <c r="Y341" s="63">
        <f t="shared" ref="Y341:Y344" si="79">IF(W341="","",W341-X341)</f>
        <v>0</v>
      </c>
      <c r="Z341" s="40"/>
    </row>
    <row r="342" spans="1:27" s="25" customFormat="1" ht="18" customHeight="1" x14ac:dyDescent="0.2">
      <c r="A342" s="272"/>
      <c r="B342" s="270"/>
      <c r="C342" s="270"/>
      <c r="D342" s="270"/>
      <c r="E342" s="270"/>
      <c r="F342" s="270"/>
      <c r="G342" s="270"/>
      <c r="H342" s="285"/>
      <c r="I342" s="270"/>
      <c r="J342" s="270"/>
      <c r="K342" s="270"/>
      <c r="L342" s="286"/>
      <c r="N342" s="35"/>
      <c r="O342" s="36" t="s">
        <v>45</v>
      </c>
      <c r="P342" s="36">
        <v>25</v>
      </c>
      <c r="Q342" s="36">
        <v>5</v>
      </c>
      <c r="R342" s="36">
        <f t="shared" si="77"/>
        <v>7</v>
      </c>
      <c r="S342" s="27"/>
      <c r="T342" s="36" t="s">
        <v>45</v>
      </c>
      <c r="U342" s="63">
        <f>IF($J$1="March","",Y341)</f>
        <v>0</v>
      </c>
      <c r="V342" s="38"/>
      <c r="W342" s="63">
        <f t="shared" si="78"/>
        <v>0</v>
      </c>
      <c r="X342" s="38"/>
      <c r="Y342" s="63">
        <f t="shared" si="79"/>
        <v>0</v>
      </c>
      <c r="Z342" s="40"/>
    </row>
    <row r="343" spans="1:27" s="25" customFormat="1" ht="18" customHeight="1" x14ac:dyDescent="0.2">
      <c r="A343" s="272"/>
      <c r="B343" s="401" t="s">
        <v>40</v>
      </c>
      <c r="C343" s="402"/>
      <c r="D343" s="270"/>
      <c r="E343" s="270"/>
      <c r="F343" s="287" t="s">
        <v>62</v>
      </c>
      <c r="G343" s="288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85"/>
      <c r="I343" s="289">
        <f>IF(C347&gt;=C346,$K$2,C345+C347)</f>
        <v>30</v>
      </c>
      <c r="J343" s="290" t="s">
        <v>59</v>
      </c>
      <c r="K343" s="291">
        <f>K339/$K$2*I343</f>
        <v>35000</v>
      </c>
      <c r="L343" s="292"/>
      <c r="N343" s="35"/>
      <c r="O343" s="36" t="s">
        <v>46</v>
      </c>
      <c r="P343" s="36">
        <v>30</v>
      </c>
      <c r="Q343" s="36">
        <v>1</v>
      </c>
      <c r="R343" s="36">
        <f t="shared" si="77"/>
        <v>6</v>
      </c>
      <c r="S343" s="27"/>
      <c r="T343" s="36" t="s">
        <v>46</v>
      </c>
      <c r="U343" s="63">
        <f>IF($J$1="April","",Y342)</f>
        <v>0</v>
      </c>
      <c r="V343" s="38"/>
      <c r="W343" s="63">
        <f t="shared" si="78"/>
        <v>0</v>
      </c>
      <c r="X343" s="38"/>
      <c r="Y343" s="63">
        <f t="shared" si="79"/>
        <v>0</v>
      </c>
      <c r="Z343" s="40"/>
    </row>
    <row r="344" spans="1:27" s="25" customFormat="1" ht="18" customHeight="1" x14ac:dyDescent="0.2">
      <c r="A344" s="272"/>
      <c r="B344" s="293"/>
      <c r="C344" s="293"/>
      <c r="D344" s="270"/>
      <c r="E344" s="270"/>
      <c r="F344" s="287" t="s">
        <v>18</v>
      </c>
      <c r="G344" s="288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85"/>
      <c r="I344" s="289">
        <v>37</v>
      </c>
      <c r="J344" s="290" t="s">
        <v>60</v>
      </c>
      <c r="K344" s="294">
        <f>K339/$K$2/8*I344</f>
        <v>5395.8333333333339</v>
      </c>
      <c r="L344" s="295"/>
      <c r="N344" s="35"/>
      <c r="O344" s="36" t="s">
        <v>47</v>
      </c>
      <c r="P344" s="36">
        <v>30</v>
      </c>
      <c r="Q344" s="36">
        <v>0</v>
      </c>
      <c r="R344" s="36">
        <f t="shared" si="77"/>
        <v>6</v>
      </c>
      <c r="S344" s="27"/>
      <c r="T344" s="36" t="s">
        <v>47</v>
      </c>
      <c r="U344" s="63">
        <f>Y343</f>
        <v>0</v>
      </c>
      <c r="V344" s="38"/>
      <c r="W344" s="63">
        <f t="shared" si="78"/>
        <v>0</v>
      </c>
      <c r="X344" s="38"/>
      <c r="Y344" s="63">
        <f t="shared" si="79"/>
        <v>0</v>
      </c>
      <c r="Z344" s="40"/>
    </row>
    <row r="345" spans="1:27" s="25" customFormat="1" ht="18" customHeight="1" x14ac:dyDescent="0.2">
      <c r="A345" s="272"/>
      <c r="B345" s="287" t="s">
        <v>7</v>
      </c>
      <c r="C345" s="293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30</v>
      </c>
      <c r="D345" s="270"/>
      <c r="E345" s="270"/>
      <c r="F345" s="287" t="s">
        <v>63</v>
      </c>
      <c r="G345" s="288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285"/>
      <c r="I345" s="389" t="s">
        <v>67</v>
      </c>
      <c r="J345" s="390"/>
      <c r="K345" s="294">
        <f>K343+K344</f>
        <v>40395.833333333336</v>
      </c>
      <c r="L345" s="295"/>
      <c r="N345" s="35"/>
      <c r="O345" s="36" t="s">
        <v>48</v>
      </c>
      <c r="P345" s="36"/>
      <c r="Q345" s="36"/>
      <c r="R345" s="36" t="str">
        <f t="shared" si="77"/>
        <v/>
      </c>
      <c r="S345" s="27"/>
      <c r="T345" s="36" t="s">
        <v>48</v>
      </c>
      <c r="U345" s="63" t="str">
        <f>IF($J$1="June","",Y344)</f>
        <v/>
      </c>
      <c r="V345" s="38"/>
      <c r="W345" s="63" t="str">
        <f t="shared" ref="W345:W350" si="80">IF(U345="","",U345+V345)</f>
        <v/>
      </c>
      <c r="X345" s="38"/>
      <c r="Y345" s="63" t="str">
        <f t="shared" ref="Y345:Y350" si="81">IF(W345="","",W345-X345)</f>
        <v/>
      </c>
      <c r="Z345" s="40"/>
    </row>
    <row r="346" spans="1:27" s="25" customFormat="1" ht="18" customHeight="1" x14ac:dyDescent="0.2">
      <c r="A346" s="272"/>
      <c r="B346" s="287" t="s">
        <v>6</v>
      </c>
      <c r="C346" s="293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270"/>
      <c r="E346" s="270"/>
      <c r="F346" s="287" t="s">
        <v>19</v>
      </c>
      <c r="G346" s="288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285"/>
      <c r="I346" s="389" t="s">
        <v>68</v>
      </c>
      <c r="J346" s="390"/>
      <c r="K346" s="288">
        <f>G346</f>
        <v>0</v>
      </c>
      <c r="L346" s="296"/>
      <c r="N346" s="35"/>
      <c r="O346" s="36" t="s">
        <v>49</v>
      </c>
      <c r="P346" s="36"/>
      <c r="Q346" s="36"/>
      <c r="R346" s="36" t="str">
        <f t="shared" si="77"/>
        <v/>
      </c>
      <c r="S346" s="27"/>
      <c r="T346" s="36" t="s">
        <v>49</v>
      </c>
      <c r="U346" s="63" t="str">
        <f>IF($J$1="July","",Y345)</f>
        <v/>
      </c>
      <c r="V346" s="38"/>
      <c r="W346" s="63" t="str">
        <f t="shared" si="80"/>
        <v/>
      </c>
      <c r="X346" s="38"/>
      <c r="Y346" s="63" t="str">
        <f t="shared" si="81"/>
        <v/>
      </c>
      <c r="Z346" s="40"/>
    </row>
    <row r="347" spans="1:27" s="25" customFormat="1" ht="18" customHeight="1" x14ac:dyDescent="0.2">
      <c r="A347" s="272"/>
      <c r="B347" s="302" t="s">
        <v>66</v>
      </c>
      <c r="C347" s="293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6</v>
      </c>
      <c r="D347" s="270"/>
      <c r="E347" s="270"/>
      <c r="F347" s="302" t="s">
        <v>195</v>
      </c>
      <c r="G347" s="28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70"/>
      <c r="I347" s="391" t="s">
        <v>61</v>
      </c>
      <c r="J347" s="391"/>
      <c r="K347" s="229">
        <f>K345-K346</f>
        <v>40395.833333333336</v>
      </c>
      <c r="L347" s="297"/>
      <c r="N347" s="35"/>
      <c r="O347" s="36" t="s">
        <v>54</v>
      </c>
      <c r="P347" s="36"/>
      <c r="Q347" s="36"/>
      <c r="R347" s="36" t="str">
        <f t="shared" si="77"/>
        <v/>
      </c>
      <c r="S347" s="27"/>
      <c r="T347" s="36" t="s">
        <v>54</v>
      </c>
      <c r="U347" s="63" t="str">
        <f>Y346</f>
        <v/>
      </c>
      <c r="V347" s="38"/>
      <c r="W347" s="63" t="str">
        <f t="shared" si="80"/>
        <v/>
      </c>
      <c r="X347" s="38"/>
      <c r="Y347" s="63" t="str">
        <f t="shared" si="81"/>
        <v/>
      </c>
      <c r="Z347" s="40"/>
    </row>
    <row r="348" spans="1:27" s="25" customFormat="1" ht="18" customHeight="1" x14ac:dyDescent="0.2">
      <c r="A348" s="272"/>
      <c r="B348" s="270"/>
      <c r="C348" s="270"/>
      <c r="D348" s="270"/>
      <c r="E348" s="270"/>
      <c r="F348" s="270"/>
      <c r="G348" s="270"/>
      <c r="H348" s="270"/>
      <c r="I348" s="392"/>
      <c r="J348" s="392"/>
      <c r="K348" s="352"/>
      <c r="L348" s="284"/>
      <c r="N348" s="35"/>
      <c r="O348" s="36" t="s">
        <v>50</v>
      </c>
      <c r="P348" s="36"/>
      <c r="Q348" s="36"/>
      <c r="R348" s="36" t="str">
        <f t="shared" si="77"/>
        <v/>
      </c>
      <c r="S348" s="27"/>
      <c r="T348" s="36" t="s">
        <v>50</v>
      </c>
      <c r="U348" s="63" t="str">
        <f>Y347</f>
        <v/>
      </c>
      <c r="V348" s="38"/>
      <c r="W348" s="63" t="str">
        <f t="shared" si="80"/>
        <v/>
      </c>
      <c r="X348" s="38"/>
      <c r="Y348" s="63" t="str">
        <f t="shared" si="81"/>
        <v/>
      </c>
      <c r="Z348" s="40"/>
    </row>
    <row r="349" spans="1:27" s="25" customFormat="1" ht="18" customHeight="1" x14ac:dyDescent="0.3">
      <c r="A349" s="272"/>
      <c r="B349" s="268"/>
      <c r="C349" s="268"/>
      <c r="D349" s="268"/>
      <c r="E349" s="268"/>
      <c r="F349" s="268"/>
      <c r="G349" s="268"/>
      <c r="H349" s="268"/>
      <c r="I349" s="392"/>
      <c r="J349" s="392"/>
      <c r="K349" s="352"/>
      <c r="L349" s="284"/>
      <c r="N349" s="35"/>
      <c r="O349" s="36" t="s">
        <v>55</v>
      </c>
      <c r="P349" s="36"/>
      <c r="Q349" s="36"/>
      <c r="R349" s="36" t="str">
        <f t="shared" si="77"/>
        <v/>
      </c>
      <c r="S349" s="27"/>
      <c r="T349" s="36" t="s">
        <v>55</v>
      </c>
      <c r="U349" s="63" t="str">
        <f>Y348</f>
        <v/>
      </c>
      <c r="V349" s="38"/>
      <c r="W349" s="63" t="str">
        <f t="shared" si="80"/>
        <v/>
      </c>
      <c r="X349" s="38"/>
      <c r="Y349" s="63" t="str">
        <f t="shared" si="81"/>
        <v/>
      </c>
      <c r="Z349" s="40"/>
    </row>
    <row r="350" spans="1:27" s="25" customFormat="1" ht="18" customHeight="1" thickBot="1" x14ac:dyDescent="0.35">
      <c r="A350" s="298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300"/>
      <c r="N350" s="35"/>
      <c r="O350" s="36" t="s">
        <v>56</v>
      </c>
      <c r="P350" s="36"/>
      <c r="Q350" s="36"/>
      <c r="R350" s="36" t="str">
        <f t="shared" si="77"/>
        <v/>
      </c>
      <c r="S350" s="27"/>
      <c r="T350" s="36" t="s">
        <v>56</v>
      </c>
      <c r="U350" s="63">
        <v>0</v>
      </c>
      <c r="V350" s="38"/>
      <c r="W350" s="63">
        <f t="shared" si="80"/>
        <v>0</v>
      </c>
      <c r="X350" s="38"/>
      <c r="Y350" s="63">
        <f t="shared" si="81"/>
        <v>0</v>
      </c>
      <c r="Z350" s="40"/>
    </row>
    <row r="351" spans="1:27" s="56" customFormat="1" ht="18" customHeight="1" thickBot="1" x14ac:dyDescent="0.25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7" s="25" customFormat="1" ht="18" customHeight="1" thickBot="1" x14ac:dyDescent="0.25">
      <c r="A352" s="403" t="s">
        <v>38</v>
      </c>
      <c r="B352" s="404"/>
      <c r="C352" s="404"/>
      <c r="D352" s="404"/>
      <c r="E352" s="404"/>
      <c r="F352" s="404"/>
      <c r="G352" s="404"/>
      <c r="H352" s="404"/>
      <c r="I352" s="404"/>
      <c r="J352" s="404"/>
      <c r="K352" s="404"/>
      <c r="L352" s="405"/>
      <c r="M352" s="24"/>
      <c r="N352" s="28"/>
      <c r="O352" s="396" t="s">
        <v>40</v>
      </c>
      <c r="P352" s="397"/>
      <c r="Q352" s="397"/>
      <c r="R352" s="398"/>
      <c r="S352" s="29"/>
      <c r="T352" s="396" t="s">
        <v>41</v>
      </c>
      <c r="U352" s="397"/>
      <c r="V352" s="397"/>
      <c r="W352" s="397"/>
      <c r="X352" s="397"/>
      <c r="Y352" s="398"/>
      <c r="Z352" s="30"/>
    </row>
    <row r="353" spans="1:26" s="25" customFormat="1" ht="18" customHeight="1" x14ac:dyDescent="0.2">
      <c r="A353" s="272"/>
      <c r="B353" s="270"/>
      <c r="C353" s="399" t="s">
        <v>202</v>
      </c>
      <c r="D353" s="399"/>
      <c r="E353" s="399"/>
      <c r="F353" s="399"/>
      <c r="G353" s="273" t="str">
        <f>$J$1</f>
        <v>June</v>
      </c>
      <c r="H353" s="400">
        <f>$K$1</f>
        <v>2024</v>
      </c>
      <c r="I353" s="400"/>
      <c r="J353" s="270"/>
      <c r="K353" s="274"/>
      <c r="L353" s="275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2"/>
      <c r="B354" s="270"/>
      <c r="C354" s="270"/>
      <c r="D354" s="276"/>
      <c r="E354" s="276"/>
      <c r="F354" s="276"/>
      <c r="G354" s="276"/>
      <c r="H354" s="276"/>
      <c r="I354" s="270"/>
      <c r="J354" s="277" t="s">
        <v>1</v>
      </c>
      <c r="K354" s="278">
        <f>21000+6000</f>
        <v>27000</v>
      </c>
      <c r="L354" s="279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2"/>
      <c r="B355" s="270" t="s">
        <v>0</v>
      </c>
      <c r="C355" s="269" t="s">
        <v>99</v>
      </c>
      <c r="D355" s="270"/>
      <c r="E355" s="270"/>
      <c r="F355" s="270"/>
      <c r="G355" s="270"/>
      <c r="H355" s="280"/>
      <c r="I355" s="276"/>
      <c r="J355" s="270"/>
      <c r="K355" s="270"/>
      <c r="L355" s="281"/>
      <c r="M355" s="24"/>
      <c r="N355" s="39"/>
      <c r="O355" s="36" t="s">
        <v>69</v>
      </c>
      <c r="P355" s="36">
        <v>27</v>
      </c>
      <c r="Q355" s="36">
        <v>2</v>
      </c>
      <c r="R355" s="36">
        <f t="shared" ref="R355:R364" si="82">IF(Q355="","",R354-Q355)</f>
        <v>12</v>
      </c>
      <c r="S355" s="27"/>
      <c r="T355" s="36" t="s">
        <v>69</v>
      </c>
      <c r="U355" s="63">
        <f>IF($J$1="January","",Y354)</f>
        <v>0</v>
      </c>
      <c r="V355" s="38"/>
      <c r="W355" s="63">
        <f>IF(U355="","",U355+V355)</f>
        <v>0</v>
      </c>
      <c r="X355" s="38"/>
      <c r="Y355" s="63">
        <f>IF(W355="","",W355-X355)</f>
        <v>0</v>
      </c>
      <c r="Z355" s="40"/>
    </row>
    <row r="356" spans="1:26" s="25" customFormat="1" ht="18" customHeight="1" x14ac:dyDescent="0.2">
      <c r="A356" s="272"/>
      <c r="B356" s="282" t="s">
        <v>39</v>
      </c>
      <c r="C356" s="283"/>
      <c r="D356" s="270"/>
      <c r="E356" s="270"/>
      <c r="F356" s="406" t="s">
        <v>41</v>
      </c>
      <c r="G356" s="408"/>
      <c r="H356" s="270"/>
      <c r="I356" s="406" t="s">
        <v>42</v>
      </c>
      <c r="J356" s="407"/>
      <c r="K356" s="408"/>
      <c r="L356" s="284"/>
      <c r="N356" s="35"/>
      <c r="O356" s="36" t="s">
        <v>44</v>
      </c>
      <c r="P356" s="36">
        <v>31</v>
      </c>
      <c r="Q356" s="36">
        <v>0</v>
      </c>
      <c r="R356" s="36">
        <f t="shared" si="82"/>
        <v>12</v>
      </c>
      <c r="S356" s="27"/>
      <c r="T356" s="36" t="s">
        <v>44</v>
      </c>
      <c r="U356" s="63">
        <f>IF($J$1="February","",Y355)</f>
        <v>0</v>
      </c>
      <c r="V356" s="38"/>
      <c r="W356" s="63">
        <f t="shared" ref="W356:W359" si="83">IF(U356="","",U356+V356)</f>
        <v>0</v>
      </c>
      <c r="X356" s="38"/>
      <c r="Y356" s="63">
        <f t="shared" ref="Y356:Y359" si="84">IF(W356="","",W356-X356)</f>
        <v>0</v>
      </c>
      <c r="Z356" s="40"/>
    </row>
    <row r="357" spans="1:26" s="25" customFormat="1" ht="18" customHeight="1" x14ac:dyDescent="0.2">
      <c r="A357" s="272"/>
      <c r="B357" s="270"/>
      <c r="C357" s="270"/>
      <c r="D357" s="270"/>
      <c r="E357" s="270"/>
      <c r="F357" s="270"/>
      <c r="G357" s="270"/>
      <c r="H357" s="285"/>
      <c r="I357" s="270"/>
      <c r="J357" s="270"/>
      <c r="K357" s="270"/>
      <c r="L357" s="286"/>
      <c r="N357" s="35"/>
      <c r="O357" s="36" t="s">
        <v>45</v>
      </c>
      <c r="P357" s="36">
        <v>29</v>
      </c>
      <c r="Q357" s="36">
        <v>1</v>
      </c>
      <c r="R357" s="36">
        <f t="shared" si="82"/>
        <v>11</v>
      </c>
      <c r="S357" s="27"/>
      <c r="T357" s="36" t="s">
        <v>45</v>
      </c>
      <c r="U357" s="63">
        <f>IF($J$1="March","",Y356)</f>
        <v>0</v>
      </c>
      <c r="V357" s="38"/>
      <c r="W357" s="63">
        <f t="shared" si="83"/>
        <v>0</v>
      </c>
      <c r="X357" s="38"/>
      <c r="Y357" s="63">
        <f t="shared" si="84"/>
        <v>0</v>
      </c>
      <c r="Z357" s="40"/>
    </row>
    <row r="358" spans="1:26" s="25" customFormat="1" ht="18" customHeight="1" x14ac:dyDescent="0.2">
      <c r="A358" s="272"/>
      <c r="B358" s="401" t="s">
        <v>40</v>
      </c>
      <c r="C358" s="402"/>
      <c r="D358" s="270"/>
      <c r="E358" s="270"/>
      <c r="F358" s="287" t="s">
        <v>62</v>
      </c>
      <c r="G358" s="288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18000</v>
      </c>
      <c r="H358" s="285"/>
      <c r="I358" s="289">
        <f>IF(C362&gt;=C361,$K$2,C360+C362)</f>
        <v>30</v>
      </c>
      <c r="J358" s="290" t="s">
        <v>59</v>
      </c>
      <c r="K358" s="291">
        <f>K354/$K$2*I358</f>
        <v>27000</v>
      </c>
      <c r="L358" s="292"/>
      <c r="N358" s="35"/>
      <c r="O358" s="36" t="s">
        <v>46</v>
      </c>
      <c r="P358" s="36">
        <v>29</v>
      </c>
      <c r="Q358" s="36">
        <v>2</v>
      </c>
      <c r="R358" s="36">
        <f t="shared" si="82"/>
        <v>9</v>
      </c>
      <c r="S358" s="27"/>
      <c r="T358" s="36" t="s">
        <v>46</v>
      </c>
      <c r="U358" s="63">
        <f>IF($J$1="April","",Y357)</f>
        <v>0</v>
      </c>
      <c r="V358" s="38">
        <v>20000</v>
      </c>
      <c r="W358" s="63">
        <f t="shared" si="83"/>
        <v>20000</v>
      </c>
      <c r="X358" s="38">
        <v>2000</v>
      </c>
      <c r="Y358" s="63">
        <f t="shared" si="84"/>
        <v>18000</v>
      </c>
      <c r="Z358" s="40"/>
    </row>
    <row r="359" spans="1:26" s="25" customFormat="1" ht="18" customHeight="1" x14ac:dyDescent="0.2">
      <c r="A359" s="272"/>
      <c r="B359" s="293"/>
      <c r="C359" s="293"/>
      <c r="D359" s="270"/>
      <c r="E359" s="270"/>
      <c r="F359" s="287" t="s">
        <v>18</v>
      </c>
      <c r="G359" s="288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85"/>
      <c r="I359" s="289">
        <v>18</v>
      </c>
      <c r="J359" s="290" t="s">
        <v>60</v>
      </c>
      <c r="K359" s="294">
        <f>K354/$K$2/8*I359</f>
        <v>2025</v>
      </c>
      <c r="L359" s="295"/>
      <c r="N359" s="35"/>
      <c r="O359" s="36" t="s">
        <v>47</v>
      </c>
      <c r="P359" s="36">
        <v>29</v>
      </c>
      <c r="Q359" s="36">
        <v>1</v>
      </c>
      <c r="R359" s="36">
        <f t="shared" si="82"/>
        <v>8</v>
      </c>
      <c r="S359" s="27"/>
      <c r="T359" s="36" t="s">
        <v>47</v>
      </c>
      <c r="U359" s="63">
        <f>Y358</f>
        <v>18000</v>
      </c>
      <c r="V359" s="38"/>
      <c r="W359" s="63">
        <f t="shared" si="83"/>
        <v>18000</v>
      </c>
      <c r="X359" s="38">
        <v>2000</v>
      </c>
      <c r="Y359" s="63">
        <f t="shared" si="84"/>
        <v>16000</v>
      </c>
      <c r="Z359" s="40"/>
    </row>
    <row r="360" spans="1:26" s="25" customFormat="1" ht="18" customHeight="1" x14ac:dyDescent="0.2">
      <c r="A360" s="272"/>
      <c r="B360" s="287" t="s">
        <v>7</v>
      </c>
      <c r="C360" s="293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29</v>
      </c>
      <c r="D360" s="270"/>
      <c r="E360" s="270"/>
      <c r="F360" s="287" t="s">
        <v>63</v>
      </c>
      <c r="G360" s="288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18000</v>
      </c>
      <c r="H360" s="285"/>
      <c r="I360" s="389" t="s">
        <v>67</v>
      </c>
      <c r="J360" s="390"/>
      <c r="K360" s="294">
        <f>K358+K359</f>
        <v>29025</v>
      </c>
      <c r="L360" s="295"/>
      <c r="N360" s="35"/>
      <c r="O360" s="36" t="s">
        <v>48</v>
      </c>
      <c r="P360" s="36"/>
      <c r="Q360" s="36"/>
      <c r="R360" s="36" t="str">
        <f t="shared" si="82"/>
        <v/>
      </c>
      <c r="S360" s="27"/>
      <c r="T360" s="36" t="s">
        <v>48</v>
      </c>
      <c r="U360" s="63"/>
      <c r="V360" s="38"/>
      <c r="W360" s="63" t="str">
        <f t="shared" ref="W360:W363" si="85">IF(U360="","",U360+V360)</f>
        <v/>
      </c>
      <c r="X360" s="38"/>
      <c r="Y360" s="63" t="str">
        <f t="shared" ref="Y360:Y363" si="86">IF(W360="","",W360-X360)</f>
        <v/>
      </c>
      <c r="Z360" s="40"/>
    </row>
    <row r="361" spans="1:26" s="25" customFormat="1" ht="18" customHeight="1" x14ac:dyDescent="0.2">
      <c r="A361" s="272"/>
      <c r="B361" s="287" t="s">
        <v>6</v>
      </c>
      <c r="C361" s="293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1</v>
      </c>
      <c r="D361" s="270"/>
      <c r="E361" s="270"/>
      <c r="F361" s="287" t="s">
        <v>19</v>
      </c>
      <c r="G361" s="288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2000</v>
      </c>
      <c r="H361" s="285"/>
      <c r="I361" s="389" t="s">
        <v>68</v>
      </c>
      <c r="J361" s="390"/>
      <c r="K361" s="288">
        <f>G361</f>
        <v>2000</v>
      </c>
      <c r="L361" s="296"/>
      <c r="N361" s="35"/>
      <c r="O361" s="36" t="s">
        <v>49</v>
      </c>
      <c r="P361" s="36"/>
      <c r="Q361" s="36"/>
      <c r="R361" s="36" t="str">
        <f t="shared" si="82"/>
        <v/>
      </c>
      <c r="S361" s="27"/>
      <c r="T361" s="36" t="s">
        <v>49</v>
      </c>
      <c r="U361" s="63"/>
      <c r="V361" s="38"/>
      <c r="W361" s="63" t="str">
        <f t="shared" si="85"/>
        <v/>
      </c>
      <c r="X361" s="38"/>
      <c r="Y361" s="63" t="str">
        <f t="shared" si="86"/>
        <v/>
      </c>
      <c r="Z361" s="40"/>
    </row>
    <row r="362" spans="1:26" s="25" customFormat="1" ht="18" customHeight="1" x14ac:dyDescent="0.2">
      <c r="A362" s="272"/>
      <c r="B362" s="302" t="s">
        <v>66</v>
      </c>
      <c r="C362" s="293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8</v>
      </c>
      <c r="D362" s="270"/>
      <c r="E362" s="270"/>
      <c r="F362" s="302" t="s">
        <v>195</v>
      </c>
      <c r="G362" s="28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16000</v>
      </c>
      <c r="H362" s="270"/>
      <c r="I362" s="391" t="s">
        <v>61</v>
      </c>
      <c r="J362" s="391"/>
      <c r="K362" s="229">
        <f>K360-K361</f>
        <v>27025</v>
      </c>
      <c r="L362" s="297"/>
      <c r="N362" s="35"/>
      <c r="O362" s="36" t="s">
        <v>54</v>
      </c>
      <c r="P362" s="36"/>
      <c r="Q362" s="36"/>
      <c r="R362" s="36" t="str">
        <f t="shared" si="82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5"/>
        <v/>
      </c>
      <c r="X362" s="38"/>
      <c r="Y362" s="63" t="str">
        <f t="shared" si="86"/>
        <v/>
      </c>
      <c r="Z362" s="40"/>
    </row>
    <row r="363" spans="1:26" s="25" customFormat="1" ht="18" customHeight="1" x14ac:dyDescent="0.2">
      <c r="A363" s="272"/>
      <c r="B363" s="270"/>
      <c r="C363" s="270"/>
      <c r="D363" s="270"/>
      <c r="E363" s="270"/>
      <c r="F363" s="270"/>
      <c r="G363" s="270"/>
      <c r="H363" s="270"/>
      <c r="I363" s="392"/>
      <c r="J363" s="392"/>
      <c r="K363" s="352"/>
      <c r="L363" s="284"/>
      <c r="N363" s="35"/>
      <c r="O363" s="36" t="s">
        <v>50</v>
      </c>
      <c r="P363" s="36"/>
      <c r="Q363" s="36"/>
      <c r="R363" s="36" t="str">
        <f t="shared" si="82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5"/>
        <v/>
      </c>
      <c r="X363" s="38"/>
      <c r="Y363" s="63" t="str">
        <f t="shared" si="86"/>
        <v/>
      </c>
      <c r="Z363" s="40"/>
    </row>
    <row r="364" spans="1:26" s="25" customFormat="1" ht="18" customHeight="1" x14ac:dyDescent="0.3">
      <c r="A364" s="272"/>
      <c r="B364" s="268"/>
      <c r="C364" s="268"/>
      <c r="D364" s="268"/>
      <c r="E364" s="268"/>
      <c r="F364" s="268"/>
      <c r="G364" s="268"/>
      <c r="H364" s="268"/>
      <c r="I364" s="392"/>
      <c r="J364" s="392"/>
      <c r="K364" s="352"/>
      <c r="L364" s="284"/>
      <c r="N364" s="35"/>
      <c r="O364" s="36" t="s">
        <v>55</v>
      </c>
      <c r="P364" s="36"/>
      <c r="Q364" s="36"/>
      <c r="R364" s="36" t="str">
        <f t="shared" si="82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87">IF(U364="","",U364+V364)</f>
        <v/>
      </c>
      <c r="X364" s="38"/>
      <c r="Y364" s="63" t="str">
        <f t="shared" ref="Y364:Y365" si="88">IF(W364="","",W364-X364)</f>
        <v/>
      </c>
      <c r="Z364" s="40"/>
    </row>
    <row r="365" spans="1:26" s="25" customFormat="1" ht="18" customHeight="1" thickBot="1" x14ac:dyDescent="0.35">
      <c r="A365" s="298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300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87"/>
        <v>0</v>
      </c>
      <c r="X365" s="38"/>
      <c r="Y365" s="63">
        <f t="shared" si="88"/>
        <v>0</v>
      </c>
      <c r="Z365" s="40"/>
    </row>
    <row r="366" spans="1:26" s="56" customFormat="1" ht="18" customHeight="1" thickBot="1" x14ac:dyDescent="0.25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403" t="s">
        <v>38</v>
      </c>
      <c r="B367" s="404"/>
      <c r="C367" s="404"/>
      <c r="D367" s="404"/>
      <c r="E367" s="404"/>
      <c r="F367" s="404"/>
      <c r="G367" s="404"/>
      <c r="H367" s="404"/>
      <c r="I367" s="404"/>
      <c r="J367" s="404"/>
      <c r="K367" s="404"/>
      <c r="L367" s="405"/>
      <c r="M367" s="24"/>
      <c r="N367" s="28"/>
      <c r="O367" s="396" t="s">
        <v>40</v>
      </c>
      <c r="P367" s="397"/>
      <c r="Q367" s="397"/>
      <c r="R367" s="398"/>
      <c r="S367" s="29"/>
      <c r="T367" s="396" t="s">
        <v>41</v>
      </c>
      <c r="U367" s="397"/>
      <c r="V367" s="397"/>
      <c r="W367" s="397"/>
      <c r="X367" s="397"/>
      <c r="Y367" s="398"/>
      <c r="Z367" s="30"/>
    </row>
    <row r="368" spans="1:26" s="25" customFormat="1" ht="18" customHeight="1" x14ac:dyDescent="0.2">
      <c r="A368" s="272"/>
      <c r="B368" s="270"/>
      <c r="C368" s="399" t="s">
        <v>202</v>
      </c>
      <c r="D368" s="399"/>
      <c r="E368" s="399"/>
      <c r="F368" s="399"/>
      <c r="G368" s="273" t="str">
        <f>$J$1</f>
        <v>June</v>
      </c>
      <c r="H368" s="400">
        <f>$K$1</f>
        <v>2024</v>
      </c>
      <c r="I368" s="400"/>
      <c r="J368" s="270"/>
      <c r="K368" s="274"/>
      <c r="L368" s="275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2"/>
      <c r="B369" s="270"/>
      <c r="C369" s="270"/>
      <c r="D369" s="276"/>
      <c r="E369" s="276"/>
      <c r="F369" s="276"/>
      <c r="G369" s="276"/>
      <c r="H369" s="276"/>
      <c r="I369" s="270"/>
      <c r="J369" s="277" t="s">
        <v>1</v>
      </c>
      <c r="K369" s="278">
        <v>60000</v>
      </c>
      <c r="L369" s="279"/>
      <c r="N369" s="35"/>
      <c r="O369" s="36" t="s">
        <v>43</v>
      </c>
      <c r="P369" s="36"/>
      <c r="Q369" s="36"/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2"/>
      <c r="B370" s="270" t="s">
        <v>0</v>
      </c>
      <c r="C370" s="269" t="s">
        <v>244</v>
      </c>
      <c r="D370" s="270"/>
      <c r="E370" s="270"/>
      <c r="F370" s="270"/>
      <c r="G370" s="270"/>
      <c r="H370" s="280"/>
      <c r="I370" s="276"/>
      <c r="J370" s="270"/>
      <c r="K370" s="270"/>
      <c r="L370" s="281"/>
      <c r="M370" s="24"/>
      <c r="N370" s="39"/>
      <c r="O370" s="36" t="s">
        <v>69</v>
      </c>
      <c r="P370" s="36"/>
      <c r="Q370" s="36"/>
      <c r="R370" s="36">
        <v>0</v>
      </c>
      <c r="S370" s="27"/>
      <c r="T370" s="36" t="s">
        <v>69</v>
      </c>
      <c r="U370" s="63">
        <f>IF($J$1="January","",Y369)</f>
        <v>0</v>
      </c>
      <c r="V370" s="38"/>
      <c r="W370" s="63">
        <f>IF(U370="","",U370+V370)</f>
        <v>0</v>
      </c>
      <c r="X370" s="38"/>
      <c r="Y370" s="63">
        <f>IF(W370="","",W370-X370)</f>
        <v>0</v>
      </c>
      <c r="Z370" s="40"/>
    </row>
    <row r="371" spans="1:27" s="25" customFormat="1" ht="18" customHeight="1" x14ac:dyDescent="0.2">
      <c r="A371" s="272"/>
      <c r="B371" s="282" t="s">
        <v>39</v>
      </c>
      <c r="C371" s="283"/>
      <c r="D371" s="270"/>
      <c r="E371" s="270"/>
      <c r="F371" s="406" t="s">
        <v>41</v>
      </c>
      <c r="G371" s="408"/>
      <c r="H371" s="270"/>
      <c r="I371" s="406" t="s">
        <v>42</v>
      </c>
      <c r="J371" s="407"/>
      <c r="K371" s="408"/>
      <c r="L371" s="284"/>
      <c r="N371" s="35"/>
      <c r="O371" s="36" t="s">
        <v>44</v>
      </c>
      <c r="P371" s="36"/>
      <c r="Q371" s="36"/>
      <c r="R371" s="36">
        <v>0</v>
      </c>
      <c r="S371" s="27"/>
      <c r="T371" s="36" t="s">
        <v>44</v>
      </c>
      <c r="U371" s="63">
        <f>IF($J$1="February","",Y370)</f>
        <v>0</v>
      </c>
      <c r="V371" s="38"/>
      <c r="W371" s="63">
        <f t="shared" ref="W371:W374" si="89">IF(U371="","",U371+V371)</f>
        <v>0</v>
      </c>
      <c r="X371" s="38"/>
      <c r="Y371" s="63">
        <f t="shared" ref="Y371:Y374" si="90">IF(W371="","",W371-X371)</f>
        <v>0</v>
      </c>
      <c r="Z371" s="40"/>
    </row>
    <row r="372" spans="1:27" s="25" customFormat="1" ht="18" customHeight="1" x14ac:dyDescent="0.2">
      <c r="A372" s="272"/>
      <c r="B372" s="270"/>
      <c r="C372" s="270"/>
      <c r="D372" s="270"/>
      <c r="E372" s="270"/>
      <c r="F372" s="270"/>
      <c r="G372" s="270"/>
      <c r="H372" s="285"/>
      <c r="I372" s="270"/>
      <c r="J372" s="270"/>
      <c r="K372" s="270"/>
      <c r="L372" s="286"/>
      <c r="N372" s="35"/>
      <c r="O372" s="36" t="s">
        <v>45</v>
      </c>
      <c r="P372" s="36"/>
      <c r="Q372" s="36"/>
      <c r="R372" s="36">
        <v>0</v>
      </c>
      <c r="S372" s="27"/>
      <c r="T372" s="36" t="s">
        <v>45</v>
      </c>
      <c r="U372" s="63">
        <f>IF($J$1="March","",Y371)</f>
        <v>0</v>
      </c>
      <c r="V372" s="38"/>
      <c r="W372" s="63">
        <f t="shared" si="89"/>
        <v>0</v>
      </c>
      <c r="X372" s="38"/>
      <c r="Y372" s="63">
        <f t="shared" si="90"/>
        <v>0</v>
      </c>
      <c r="Z372" s="40"/>
    </row>
    <row r="373" spans="1:27" s="25" customFormat="1" ht="18" customHeight="1" x14ac:dyDescent="0.2">
      <c r="A373" s="272"/>
      <c r="B373" s="401" t="s">
        <v>40</v>
      </c>
      <c r="C373" s="402"/>
      <c r="D373" s="270"/>
      <c r="E373" s="270"/>
      <c r="F373" s="287" t="s">
        <v>62</v>
      </c>
      <c r="G373" s="288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85"/>
      <c r="I373" s="289">
        <f>IF(C377&gt;=C376,$K$2,C375+C377)</f>
        <v>29</v>
      </c>
      <c r="J373" s="290" t="s">
        <v>59</v>
      </c>
      <c r="K373" s="291">
        <f>K369/$K$2*I373</f>
        <v>58000</v>
      </c>
      <c r="L373" s="292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>
        <f>IF($J$1="April","",Y372)</f>
        <v>0</v>
      </c>
      <c r="V373" s="38"/>
      <c r="W373" s="63">
        <f t="shared" si="89"/>
        <v>0</v>
      </c>
      <c r="X373" s="38"/>
      <c r="Y373" s="63">
        <f t="shared" si="90"/>
        <v>0</v>
      </c>
      <c r="Z373" s="40"/>
    </row>
    <row r="374" spans="1:27" s="25" customFormat="1" ht="18" customHeight="1" x14ac:dyDescent="0.2">
      <c r="A374" s="272"/>
      <c r="B374" s="293"/>
      <c r="C374" s="293"/>
      <c r="D374" s="270"/>
      <c r="E374" s="270"/>
      <c r="F374" s="287" t="s">
        <v>18</v>
      </c>
      <c r="G374" s="288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20000</v>
      </c>
      <c r="H374" s="285"/>
      <c r="I374" s="289"/>
      <c r="J374" s="290" t="s">
        <v>60</v>
      </c>
      <c r="K374" s="294">
        <f>K369/$K$2/8*I374</f>
        <v>0</v>
      </c>
      <c r="L374" s="295"/>
      <c r="N374" s="35"/>
      <c r="O374" s="36" t="s">
        <v>47</v>
      </c>
      <c r="P374" s="36">
        <v>29</v>
      </c>
      <c r="Q374" s="36">
        <v>1</v>
      </c>
      <c r="R374" s="36">
        <v>0</v>
      </c>
      <c r="S374" s="27"/>
      <c r="T374" s="36" t="s">
        <v>47</v>
      </c>
      <c r="U374" s="63">
        <f>Y373</f>
        <v>0</v>
      </c>
      <c r="V374" s="38">
        <v>20000</v>
      </c>
      <c r="W374" s="63">
        <f t="shared" si="89"/>
        <v>20000</v>
      </c>
      <c r="X374" s="38">
        <v>2000</v>
      </c>
      <c r="Y374" s="63">
        <f t="shared" si="90"/>
        <v>18000</v>
      </c>
      <c r="Z374" s="40"/>
    </row>
    <row r="375" spans="1:27" s="25" customFormat="1" ht="18" customHeight="1" x14ac:dyDescent="0.2">
      <c r="A375" s="272"/>
      <c r="B375" s="287" t="s">
        <v>7</v>
      </c>
      <c r="C375" s="293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29</v>
      </c>
      <c r="D375" s="270"/>
      <c r="E375" s="270"/>
      <c r="F375" s="287" t="s">
        <v>63</v>
      </c>
      <c r="G375" s="288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20000</v>
      </c>
      <c r="H375" s="285"/>
      <c r="I375" s="389" t="s">
        <v>67</v>
      </c>
      <c r="J375" s="390"/>
      <c r="K375" s="294">
        <f>K373+K374</f>
        <v>58000</v>
      </c>
      <c r="L375" s="295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/>
      <c r="V375" s="38"/>
      <c r="W375" s="63" t="str">
        <f t="shared" ref="W375:W380" si="91">IF(U375="","",U375+V375)</f>
        <v/>
      </c>
      <c r="X375" s="38"/>
      <c r="Y375" s="63" t="str">
        <f t="shared" ref="Y375:Y380" si="92">IF(W375="","",W375-X375)</f>
        <v/>
      </c>
      <c r="Z375" s="40"/>
    </row>
    <row r="376" spans="1:27" s="25" customFormat="1" ht="18" customHeight="1" x14ac:dyDescent="0.2">
      <c r="A376" s="272"/>
      <c r="B376" s="287" t="s">
        <v>6</v>
      </c>
      <c r="C376" s="293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1</v>
      </c>
      <c r="D376" s="270"/>
      <c r="E376" s="270"/>
      <c r="F376" s="287" t="s">
        <v>19</v>
      </c>
      <c r="G376" s="288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2000</v>
      </c>
      <c r="H376" s="285"/>
      <c r="I376" s="389" t="s">
        <v>68</v>
      </c>
      <c r="J376" s="390"/>
      <c r="K376" s="288">
        <f>G376</f>
        <v>2000</v>
      </c>
      <c r="L376" s="296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1"/>
        <v/>
      </c>
      <c r="X376" s="38"/>
      <c r="Y376" s="63" t="str">
        <f t="shared" si="92"/>
        <v/>
      </c>
      <c r="Z376" s="40"/>
    </row>
    <row r="377" spans="1:27" s="25" customFormat="1" ht="18" customHeight="1" x14ac:dyDescent="0.2">
      <c r="A377" s="272"/>
      <c r="B377" s="302" t="s">
        <v>66</v>
      </c>
      <c r="C377" s="293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0"/>
      <c r="E377" s="270"/>
      <c r="F377" s="302" t="s">
        <v>195</v>
      </c>
      <c r="G377" s="28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18000</v>
      </c>
      <c r="H377" s="270"/>
      <c r="I377" s="391" t="s">
        <v>61</v>
      </c>
      <c r="J377" s="391"/>
      <c r="K377" s="229">
        <f>K375-K376</f>
        <v>56000</v>
      </c>
      <c r="L377" s="297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1"/>
        <v/>
      </c>
      <c r="X377" s="38"/>
      <c r="Y377" s="63" t="str">
        <f t="shared" si="92"/>
        <v/>
      </c>
      <c r="Z377" s="40"/>
    </row>
    <row r="378" spans="1:27" s="25" customFormat="1" ht="18" customHeight="1" x14ac:dyDescent="0.2">
      <c r="A378" s="272"/>
      <c r="B378" s="270"/>
      <c r="C378" s="270"/>
      <c r="D378" s="270"/>
      <c r="E378" s="270"/>
      <c r="F378" s="270"/>
      <c r="G378" s="350"/>
      <c r="H378" s="270"/>
      <c r="I378" s="392"/>
      <c r="J378" s="392"/>
      <c r="K378" s="352"/>
      <c r="L378" s="284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1"/>
        <v/>
      </c>
      <c r="X378" s="38"/>
      <c r="Y378" s="63" t="str">
        <f t="shared" si="92"/>
        <v/>
      </c>
      <c r="Z378" s="40"/>
    </row>
    <row r="379" spans="1:27" s="25" customFormat="1" ht="18" customHeight="1" x14ac:dyDescent="0.3">
      <c r="A379" s="272"/>
      <c r="B379" s="268"/>
      <c r="C379" s="268"/>
      <c r="D379" s="268"/>
      <c r="E379" s="268"/>
      <c r="F379" s="268"/>
      <c r="G379" s="268"/>
      <c r="H379" s="268"/>
      <c r="I379" s="392"/>
      <c r="J379" s="392"/>
      <c r="K379" s="352"/>
      <c r="L379" s="284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1"/>
        <v/>
      </c>
      <c r="X379" s="38"/>
      <c r="Y379" s="63" t="str">
        <f t="shared" si="92"/>
        <v/>
      </c>
      <c r="Z379" s="40"/>
    </row>
    <row r="380" spans="1:27" s="25" customFormat="1" ht="18" customHeight="1" thickBot="1" x14ac:dyDescent="0.35">
      <c r="A380" s="298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300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1"/>
        <v>0</v>
      </c>
      <c r="X380" s="38"/>
      <c r="Y380" s="63">
        <f t="shared" si="92"/>
        <v>0</v>
      </c>
      <c r="Z380" s="40"/>
    </row>
    <row r="381" spans="1:27" s="56" customFormat="1" ht="18" customHeight="1" thickBot="1" x14ac:dyDescent="0.25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403" t="s">
        <v>38</v>
      </c>
      <c r="B382" s="404"/>
      <c r="C382" s="404"/>
      <c r="D382" s="404"/>
      <c r="E382" s="404"/>
      <c r="F382" s="404"/>
      <c r="G382" s="404"/>
      <c r="H382" s="404"/>
      <c r="I382" s="404"/>
      <c r="J382" s="404"/>
      <c r="K382" s="404"/>
      <c r="L382" s="405"/>
      <c r="M382" s="24"/>
      <c r="N382" s="28"/>
      <c r="O382" s="396" t="s">
        <v>40</v>
      </c>
      <c r="P382" s="397"/>
      <c r="Q382" s="397"/>
      <c r="R382" s="398"/>
      <c r="S382" s="29"/>
      <c r="T382" s="396" t="s">
        <v>41</v>
      </c>
      <c r="U382" s="397"/>
      <c r="V382" s="397"/>
      <c r="W382" s="397"/>
      <c r="X382" s="397"/>
      <c r="Y382" s="398"/>
      <c r="Z382" s="30"/>
      <c r="AA382" s="24"/>
    </row>
    <row r="383" spans="1:27" s="25" customFormat="1" ht="18" customHeight="1" x14ac:dyDescent="0.2">
      <c r="A383" s="272"/>
      <c r="B383" s="270"/>
      <c r="C383" s="399" t="s">
        <v>202</v>
      </c>
      <c r="D383" s="399"/>
      <c r="E383" s="399"/>
      <c r="F383" s="399"/>
      <c r="G383" s="273" t="str">
        <f>$J$1</f>
        <v>June</v>
      </c>
      <c r="H383" s="400">
        <f>$K$1</f>
        <v>2024</v>
      </c>
      <c r="I383" s="400"/>
      <c r="J383" s="270"/>
      <c r="K383" s="274"/>
      <c r="L383" s="275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2"/>
      <c r="B384" s="270"/>
      <c r="C384" s="270"/>
      <c r="D384" s="276"/>
      <c r="E384" s="276"/>
      <c r="F384" s="276"/>
      <c r="G384" s="276"/>
      <c r="H384" s="276"/>
      <c r="I384" s="270"/>
      <c r="J384" s="277" t="s">
        <v>1</v>
      </c>
      <c r="K384" s="278">
        <f>20000+5000</f>
        <v>25000</v>
      </c>
      <c r="L384" s="279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2"/>
      <c r="B385" s="270" t="s">
        <v>0</v>
      </c>
      <c r="C385" s="269" t="s">
        <v>73</v>
      </c>
      <c r="D385" s="270"/>
      <c r="E385" s="270"/>
      <c r="F385" s="270"/>
      <c r="G385" s="270"/>
      <c r="H385" s="280"/>
      <c r="I385" s="276"/>
      <c r="J385" s="270"/>
      <c r="K385" s="270"/>
      <c r="L385" s="281"/>
      <c r="M385" s="24"/>
      <c r="N385" s="39"/>
      <c r="O385" s="36" t="s">
        <v>69</v>
      </c>
      <c r="P385" s="36">
        <v>28</v>
      </c>
      <c r="Q385" s="36">
        <v>1</v>
      </c>
      <c r="R385" s="36">
        <f t="shared" ref="R385:R395" si="93">IF(Q385="","",R384-Q385)</f>
        <v>13</v>
      </c>
      <c r="S385" s="27"/>
      <c r="T385" s="36" t="s">
        <v>69</v>
      </c>
      <c r="U385" s="63">
        <f>Y384</f>
        <v>18000</v>
      </c>
      <c r="V385" s="38"/>
      <c r="W385" s="63">
        <f>IF(U385="","",U385+V385)</f>
        <v>18000</v>
      </c>
      <c r="X385" s="38">
        <v>2000</v>
      </c>
      <c r="Y385" s="38">
        <f>W385-X385</f>
        <v>16000</v>
      </c>
      <c r="Z385" s="40"/>
      <c r="AA385" s="24"/>
    </row>
    <row r="386" spans="1:27" s="25" customFormat="1" ht="18" customHeight="1" x14ac:dyDescent="0.2">
      <c r="A386" s="272"/>
      <c r="B386" s="282" t="s">
        <v>39</v>
      </c>
      <c r="C386" s="283"/>
      <c r="D386" s="270"/>
      <c r="E386" s="270"/>
      <c r="F386" s="406" t="s">
        <v>41</v>
      </c>
      <c r="G386" s="408"/>
      <c r="H386" s="270"/>
      <c r="I386" s="406" t="s">
        <v>42</v>
      </c>
      <c r="J386" s="407"/>
      <c r="K386" s="408"/>
      <c r="L386" s="284"/>
      <c r="N386" s="35"/>
      <c r="O386" s="36" t="s">
        <v>44</v>
      </c>
      <c r="P386" s="36">
        <v>30</v>
      </c>
      <c r="Q386" s="36">
        <v>1</v>
      </c>
      <c r="R386" s="36">
        <f t="shared" si="93"/>
        <v>12</v>
      </c>
      <c r="S386" s="27"/>
      <c r="T386" s="36" t="s">
        <v>44</v>
      </c>
      <c r="U386" s="63">
        <f>Y385</f>
        <v>16000</v>
      </c>
      <c r="V386" s="38"/>
      <c r="W386" s="63">
        <f t="shared" ref="W386:W395" si="94">IF(U386="","",U386+V386)</f>
        <v>16000</v>
      </c>
      <c r="X386" s="38">
        <v>2000</v>
      </c>
      <c r="Y386" s="63">
        <f t="shared" ref="Y386:Y395" si="95">IF(W386="","",W386-X386)</f>
        <v>14000</v>
      </c>
      <c r="Z386" s="40"/>
    </row>
    <row r="387" spans="1:27" s="25" customFormat="1" ht="18" customHeight="1" x14ac:dyDescent="0.2">
      <c r="A387" s="272"/>
      <c r="B387" s="270"/>
      <c r="C387" s="270"/>
      <c r="D387" s="270"/>
      <c r="E387" s="270"/>
      <c r="F387" s="270"/>
      <c r="G387" s="270"/>
      <c r="H387" s="285"/>
      <c r="I387" s="270"/>
      <c r="J387" s="270"/>
      <c r="K387" s="270"/>
      <c r="L387" s="286"/>
      <c r="N387" s="35"/>
      <c r="O387" s="36" t="s">
        <v>45</v>
      </c>
      <c r="P387" s="36">
        <v>29</v>
      </c>
      <c r="Q387" s="36">
        <v>1</v>
      </c>
      <c r="R387" s="36">
        <f t="shared" si="93"/>
        <v>11</v>
      </c>
      <c r="S387" s="27"/>
      <c r="T387" s="36" t="s">
        <v>45</v>
      </c>
      <c r="U387" s="63">
        <f>IF($J$1="March","",Y386)</f>
        <v>14000</v>
      </c>
      <c r="V387" s="38"/>
      <c r="W387" s="63">
        <f t="shared" si="94"/>
        <v>14000</v>
      </c>
      <c r="X387" s="38">
        <v>2000</v>
      </c>
      <c r="Y387" s="63">
        <f t="shared" si="95"/>
        <v>12000</v>
      </c>
      <c r="Z387" s="40"/>
    </row>
    <row r="388" spans="1:27" s="25" customFormat="1" ht="18" customHeight="1" x14ac:dyDescent="0.2">
      <c r="A388" s="272"/>
      <c r="B388" s="401" t="s">
        <v>40</v>
      </c>
      <c r="C388" s="402"/>
      <c r="D388" s="270"/>
      <c r="E388" s="270"/>
      <c r="F388" s="287" t="s">
        <v>62</v>
      </c>
      <c r="G388" s="288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10000</v>
      </c>
      <c r="H388" s="285"/>
      <c r="I388" s="289">
        <f>IF(C392&gt;=C391,$K$2,C390+C392)</f>
        <v>30</v>
      </c>
      <c r="J388" s="290" t="s">
        <v>59</v>
      </c>
      <c r="K388" s="291">
        <f>K384/$K$2*I388</f>
        <v>25000</v>
      </c>
      <c r="L388" s="292"/>
      <c r="N388" s="35"/>
      <c r="O388" s="36" t="s">
        <v>46</v>
      </c>
      <c r="P388" s="36">
        <v>29</v>
      </c>
      <c r="Q388" s="36">
        <v>2</v>
      </c>
      <c r="R388" s="36">
        <f t="shared" si="93"/>
        <v>9</v>
      </c>
      <c r="S388" s="27"/>
      <c r="T388" s="36" t="s">
        <v>46</v>
      </c>
      <c r="U388" s="63">
        <f>Y387</f>
        <v>12000</v>
      </c>
      <c r="V388" s="38"/>
      <c r="W388" s="63">
        <f t="shared" si="94"/>
        <v>12000</v>
      </c>
      <c r="X388" s="38">
        <v>2000</v>
      </c>
      <c r="Y388" s="63">
        <f t="shared" si="95"/>
        <v>10000</v>
      </c>
      <c r="Z388" s="40"/>
    </row>
    <row r="389" spans="1:27" s="25" customFormat="1" ht="18" customHeight="1" x14ac:dyDescent="0.2">
      <c r="A389" s="272"/>
      <c r="B389" s="293"/>
      <c r="C389" s="293"/>
      <c r="D389" s="270"/>
      <c r="E389" s="270"/>
      <c r="F389" s="287" t="s">
        <v>18</v>
      </c>
      <c r="G389" s="288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5"/>
      <c r="I389" s="289">
        <v>15</v>
      </c>
      <c r="J389" s="290" t="s">
        <v>60</v>
      </c>
      <c r="K389" s="294">
        <f>K384/$K$2/8*I389</f>
        <v>1562.5</v>
      </c>
      <c r="L389" s="295"/>
      <c r="N389" s="35"/>
      <c r="O389" s="36" t="s">
        <v>47</v>
      </c>
      <c r="P389" s="36">
        <v>29</v>
      </c>
      <c r="Q389" s="36">
        <v>1</v>
      </c>
      <c r="R389" s="36">
        <f t="shared" si="93"/>
        <v>8</v>
      </c>
      <c r="S389" s="27"/>
      <c r="T389" s="36" t="s">
        <v>47</v>
      </c>
      <c r="U389" s="63">
        <f>Y388</f>
        <v>10000</v>
      </c>
      <c r="V389" s="38"/>
      <c r="W389" s="63">
        <f t="shared" si="94"/>
        <v>10000</v>
      </c>
      <c r="X389" s="38">
        <v>2000</v>
      </c>
      <c r="Y389" s="63">
        <f t="shared" si="95"/>
        <v>8000</v>
      </c>
      <c r="Z389" s="40"/>
    </row>
    <row r="390" spans="1:27" s="25" customFormat="1" ht="18" customHeight="1" x14ac:dyDescent="0.2">
      <c r="A390" s="272"/>
      <c r="B390" s="287" t="s">
        <v>7</v>
      </c>
      <c r="C390" s="293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29</v>
      </c>
      <c r="D390" s="270"/>
      <c r="E390" s="270"/>
      <c r="F390" s="287" t="s">
        <v>63</v>
      </c>
      <c r="G390" s="288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10000</v>
      </c>
      <c r="H390" s="285"/>
      <c r="I390" s="389" t="s">
        <v>67</v>
      </c>
      <c r="J390" s="390"/>
      <c r="K390" s="294">
        <f>K388+K389</f>
        <v>26562.5</v>
      </c>
      <c r="L390" s="295"/>
      <c r="N390" s="35"/>
      <c r="O390" s="36" t="s">
        <v>48</v>
      </c>
      <c r="P390" s="36"/>
      <c r="Q390" s="36"/>
      <c r="R390" s="36" t="str">
        <f t="shared" si="93"/>
        <v/>
      </c>
      <c r="S390" s="27"/>
      <c r="T390" s="36" t="s">
        <v>48</v>
      </c>
      <c r="U390" s="63"/>
      <c r="V390" s="38"/>
      <c r="W390" s="63" t="str">
        <f t="shared" si="94"/>
        <v/>
      </c>
      <c r="X390" s="38"/>
      <c r="Y390" s="63" t="str">
        <f t="shared" si="95"/>
        <v/>
      </c>
      <c r="Z390" s="40"/>
    </row>
    <row r="391" spans="1:27" s="25" customFormat="1" ht="18" customHeight="1" x14ac:dyDescent="0.2">
      <c r="A391" s="272"/>
      <c r="B391" s="287" t="s">
        <v>6</v>
      </c>
      <c r="C391" s="293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1</v>
      </c>
      <c r="D391" s="270"/>
      <c r="E391" s="270"/>
      <c r="F391" s="287" t="s">
        <v>19</v>
      </c>
      <c r="G391" s="288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85"/>
      <c r="I391" s="389" t="s">
        <v>68</v>
      </c>
      <c r="J391" s="390"/>
      <c r="K391" s="288">
        <f>G391</f>
        <v>2000</v>
      </c>
      <c r="L391" s="296"/>
      <c r="N391" s="35"/>
      <c r="O391" s="36" t="s">
        <v>49</v>
      </c>
      <c r="P391" s="36"/>
      <c r="Q391" s="36"/>
      <c r="R391" s="36" t="str">
        <f t="shared" si="93"/>
        <v/>
      </c>
      <c r="S391" s="27"/>
      <c r="T391" s="36" t="s">
        <v>49</v>
      </c>
      <c r="U391" s="63"/>
      <c r="V391" s="38"/>
      <c r="W391" s="63" t="str">
        <f t="shared" si="94"/>
        <v/>
      </c>
      <c r="X391" s="38"/>
      <c r="Y391" s="63" t="str">
        <f t="shared" si="95"/>
        <v/>
      </c>
      <c r="Z391" s="40"/>
    </row>
    <row r="392" spans="1:27" s="25" customFormat="1" ht="18" customHeight="1" x14ac:dyDescent="0.2">
      <c r="A392" s="272"/>
      <c r="B392" s="302" t="s">
        <v>66</v>
      </c>
      <c r="C392" s="293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8</v>
      </c>
      <c r="D392" s="270"/>
      <c r="E392" s="270"/>
      <c r="F392" s="302" t="s">
        <v>195</v>
      </c>
      <c r="G392" s="28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8000</v>
      </c>
      <c r="H392" s="270"/>
      <c r="I392" s="391" t="s">
        <v>61</v>
      </c>
      <c r="J392" s="391"/>
      <c r="K392" s="229">
        <f>K390-K391</f>
        <v>24562.5</v>
      </c>
      <c r="L392" s="297"/>
      <c r="N392" s="35"/>
      <c r="O392" s="36" t="s">
        <v>54</v>
      </c>
      <c r="P392" s="36"/>
      <c r="Q392" s="36"/>
      <c r="R392" s="36" t="str">
        <f t="shared" si="93"/>
        <v/>
      </c>
      <c r="S392" s="27"/>
      <c r="T392" s="36" t="s">
        <v>54</v>
      </c>
      <c r="U392" s="63"/>
      <c r="V392" s="38"/>
      <c r="W392" s="63" t="str">
        <f t="shared" si="94"/>
        <v/>
      </c>
      <c r="X392" s="38"/>
      <c r="Y392" s="63" t="str">
        <f t="shared" si="95"/>
        <v/>
      </c>
      <c r="Z392" s="40"/>
    </row>
    <row r="393" spans="1:27" s="25" customFormat="1" ht="18" customHeight="1" x14ac:dyDescent="0.2">
      <c r="A393" s="272"/>
      <c r="B393" s="270"/>
      <c r="C393" s="270"/>
      <c r="D393" s="270"/>
      <c r="E393" s="270"/>
      <c r="F393" s="270"/>
      <c r="G393" s="270"/>
      <c r="H393" s="270"/>
      <c r="I393" s="392"/>
      <c r="J393" s="392"/>
      <c r="K393" s="352"/>
      <c r="L393" s="284"/>
      <c r="N393" s="35"/>
      <c r="O393" s="36" t="s">
        <v>50</v>
      </c>
      <c r="P393" s="36"/>
      <c r="Q393" s="36"/>
      <c r="R393" s="36" t="str">
        <f t="shared" si="93"/>
        <v/>
      </c>
      <c r="S393" s="27"/>
      <c r="T393" s="36" t="s">
        <v>50</v>
      </c>
      <c r="U393" s="63"/>
      <c r="V393" s="38"/>
      <c r="W393" s="63" t="str">
        <f t="shared" si="94"/>
        <v/>
      </c>
      <c r="X393" s="38"/>
      <c r="Y393" s="63" t="str">
        <f t="shared" si="95"/>
        <v/>
      </c>
      <c r="Z393" s="40"/>
    </row>
    <row r="394" spans="1:27" s="25" customFormat="1" ht="18" customHeight="1" x14ac:dyDescent="0.3">
      <c r="A394" s="272"/>
      <c r="B394" s="268"/>
      <c r="C394" s="268"/>
      <c r="D394" s="268"/>
      <c r="E394" s="268"/>
      <c r="F394" s="268"/>
      <c r="G394" s="268"/>
      <c r="H394" s="268"/>
      <c r="I394" s="392"/>
      <c r="J394" s="392"/>
      <c r="K394" s="352"/>
      <c r="L394" s="284"/>
      <c r="N394" s="35"/>
      <c r="O394" s="36" t="s">
        <v>55</v>
      </c>
      <c r="P394" s="36"/>
      <c r="Q394" s="36"/>
      <c r="R394" s="36" t="str">
        <f t="shared" si="93"/>
        <v/>
      </c>
      <c r="S394" s="27"/>
      <c r="T394" s="36" t="s">
        <v>55</v>
      </c>
      <c r="U394" s="63"/>
      <c r="V394" s="38"/>
      <c r="W394" s="63" t="str">
        <f t="shared" si="94"/>
        <v/>
      </c>
      <c r="X394" s="38"/>
      <c r="Y394" s="63" t="str">
        <f t="shared" si="95"/>
        <v/>
      </c>
      <c r="Z394" s="40"/>
    </row>
    <row r="395" spans="1:27" s="25" customFormat="1" ht="18" customHeight="1" thickBot="1" x14ac:dyDescent="0.35">
      <c r="A395" s="298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300"/>
      <c r="N395" s="35"/>
      <c r="O395" s="36" t="s">
        <v>56</v>
      </c>
      <c r="P395" s="36"/>
      <c r="Q395" s="36"/>
      <c r="R395" s="36" t="str">
        <f t="shared" si="93"/>
        <v/>
      </c>
      <c r="S395" s="27"/>
      <c r="T395" s="36" t="s">
        <v>56</v>
      </c>
      <c r="U395" s="63"/>
      <c r="V395" s="38"/>
      <c r="W395" s="63" t="str">
        <f t="shared" si="94"/>
        <v/>
      </c>
      <c r="X395" s="38"/>
      <c r="Y395" s="63" t="str">
        <f t="shared" si="95"/>
        <v/>
      </c>
      <c r="Z395" s="40"/>
    </row>
    <row r="396" spans="1:27" s="56" customFormat="1" ht="18" customHeight="1" thickBot="1" x14ac:dyDescent="0.25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23" t="s">
        <v>38</v>
      </c>
      <c r="B397" s="424"/>
      <c r="C397" s="424"/>
      <c r="D397" s="424"/>
      <c r="E397" s="424"/>
      <c r="F397" s="424"/>
      <c r="G397" s="424"/>
      <c r="H397" s="424"/>
      <c r="I397" s="424"/>
      <c r="J397" s="424"/>
      <c r="K397" s="424"/>
      <c r="L397" s="425"/>
      <c r="M397" s="24"/>
      <c r="N397" s="28"/>
      <c r="O397" s="396" t="s">
        <v>40</v>
      </c>
      <c r="P397" s="397"/>
      <c r="Q397" s="397"/>
      <c r="R397" s="398"/>
      <c r="S397" s="29"/>
      <c r="T397" s="396" t="s">
        <v>41</v>
      </c>
      <c r="U397" s="397"/>
      <c r="V397" s="397"/>
      <c r="W397" s="397"/>
      <c r="X397" s="397"/>
      <c r="Y397" s="398"/>
      <c r="Z397" s="27"/>
    </row>
    <row r="398" spans="1:27" s="25" customFormat="1" ht="18" customHeight="1" x14ac:dyDescent="0.2">
      <c r="A398" s="272"/>
      <c r="B398" s="270"/>
      <c r="C398" s="399" t="s">
        <v>202</v>
      </c>
      <c r="D398" s="399"/>
      <c r="E398" s="399"/>
      <c r="F398" s="399"/>
      <c r="G398" s="273" t="str">
        <f>$J$1</f>
        <v>June</v>
      </c>
      <c r="H398" s="400">
        <f>$K$1</f>
        <v>2024</v>
      </c>
      <c r="I398" s="400"/>
      <c r="J398" s="270"/>
      <c r="K398" s="274"/>
      <c r="L398" s="275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2"/>
      <c r="B399" s="270"/>
      <c r="C399" s="270"/>
      <c r="D399" s="276"/>
      <c r="E399" s="276"/>
      <c r="F399" s="276"/>
      <c r="G399" s="276"/>
      <c r="H399" s="276"/>
      <c r="I399" s="270"/>
      <c r="J399" s="277" t="s">
        <v>1</v>
      </c>
      <c r="K399" s="278">
        <v>25000</v>
      </c>
      <c r="L399" s="279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2"/>
      <c r="B400" s="270" t="s">
        <v>0</v>
      </c>
      <c r="C400" s="269" t="s">
        <v>221</v>
      </c>
      <c r="D400" s="270"/>
      <c r="E400" s="270"/>
      <c r="F400" s="270"/>
      <c r="G400" s="270"/>
      <c r="H400" s="280"/>
      <c r="I400" s="276"/>
      <c r="J400" s="270"/>
      <c r="K400" s="270"/>
      <c r="L400" s="281"/>
      <c r="M400" s="24"/>
      <c r="N400" s="39"/>
      <c r="O400" s="36" t="s">
        <v>69</v>
      </c>
      <c r="P400" s="36">
        <v>29</v>
      </c>
      <c r="Q400" s="36">
        <v>0</v>
      </c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2"/>
      <c r="B401" s="282" t="s">
        <v>39</v>
      </c>
      <c r="C401" s="283"/>
      <c r="D401" s="270"/>
      <c r="E401" s="270"/>
      <c r="F401" s="391" t="s">
        <v>41</v>
      </c>
      <c r="G401" s="391"/>
      <c r="H401" s="270"/>
      <c r="I401" s="391" t="s">
        <v>42</v>
      </c>
      <c r="J401" s="391"/>
      <c r="K401" s="391"/>
      <c r="L401" s="284"/>
      <c r="N401" s="35"/>
      <c r="O401" s="36" t="s">
        <v>44</v>
      </c>
      <c r="P401" s="36">
        <v>31</v>
      </c>
      <c r="Q401" s="36">
        <v>0</v>
      </c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96">IF(U401="","",U401+V401)</f>
        <v>0</v>
      </c>
      <c r="X401" s="38"/>
      <c r="Y401" s="63">
        <f t="shared" ref="Y401:Y410" si="97">IF(W401="","",W401-X401)</f>
        <v>0</v>
      </c>
      <c r="Z401" s="27"/>
    </row>
    <row r="402" spans="1:27" s="25" customFormat="1" ht="18" customHeight="1" x14ac:dyDescent="0.2">
      <c r="A402" s="272"/>
      <c r="B402" s="270"/>
      <c r="C402" s="270"/>
      <c r="D402" s="270"/>
      <c r="E402" s="270"/>
      <c r="F402" s="270"/>
      <c r="G402" s="270"/>
      <c r="H402" s="285"/>
      <c r="I402" s="270"/>
      <c r="J402" s="270"/>
      <c r="K402" s="270"/>
      <c r="L402" s="286"/>
      <c r="N402" s="35"/>
      <c r="O402" s="36" t="s">
        <v>45</v>
      </c>
      <c r="P402" s="36">
        <v>30</v>
      </c>
      <c r="Q402" s="36">
        <v>0</v>
      </c>
      <c r="R402" s="36">
        <f t="shared" ref="R402:R410" si="98">IF(Q402="","",R401-Q402)</f>
        <v>0</v>
      </c>
      <c r="S402" s="27"/>
      <c r="T402" s="36" t="s">
        <v>45</v>
      </c>
      <c r="U402" s="63">
        <f>IF($J$1="April",Y401,Y401)</f>
        <v>0</v>
      </c>
      <c r="V402" s="38"/>
      <c r="W402" s="63">
        <f t="shared" si="96"/>
        <v>0</v>
      </c>
      <c r="X402" s="38"/>
      <c r="Y402" s="63">
        <f t="shared" si="97"/>
        <v>0</v>
      </c>
      <c r="Z402" s="27"/>
    </row>
    <row r="403" spans="1:27" s="25" customFormat="1" ht="18" customHeight="1" x14ac:dyDescent="0.2">
      <c r="A403" s="272"/>
      <c r="B403" s="401" t="s">
        <v>40</v>
      </c>
      <c r="C403" s="402"/>
      <c r="D403" s="270"/>
      <c r="E403" s="270"/>
      <c r="F403" s="287" t="s">
        <v>62</v>
      </c>
      <c r="G403" s="288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5"/>
      <c r="I403" s="289">
        <f>IF(C407&gt;0,$K$2,C405)</f>
        <v>29</v>
      </c>
      <c r="J403" s="290" t="s">
        <v>59</v>
      </c>
      <c r="K403" s="291">
        <f>K399/$K$2*I403</f>
        <v>24166.666666666668</v>
      </c>
      <c r="L403" s="292"/>
      <c r="N403" s="35"/>
      <c r="O403" s="36" t="s">
        <v>46</v>
      </c>
      <c r="P403" s="36">
        <v>31</v>
      </c>
      <c r="Q403" s="36">
        <v>0</v>
      </c>
      <c r="R403" s="36">
        <f t="shared" si="98"/>
        <v>0</v>
      </c>
      <c r="S403" s="27"/>
      <c r="T403" s="36" t="s">
        <v>46</v>
      </c>
      <c r="U403" s="63">
        <f>IF($J$1="May",Y402,Y402)</f>
        <v>0</v>
      </c>
      <c r="V403" s="38"/>
      <c r="W403" s="63">
        <f t="shared" si="96"/>
        <v>0</v>
      </c>
      <c r="X403" s="38"/>
      <c r="Y403" s="63">
        <f t="shared" si="97"/>
        <v>0</v>
      </c>
      <c r="Z403" s="27"/>
    </row>
    <row r="404" spans="1:27" s="25" customFormat="1" ht="18" customHeight="1" x14ac:dyDescent="0.2">
      <c r="A404" s="272"/>
      <c r="B404" s="293"/>
      <c r="C404" s="293"/>
      <c r="D404" s="270"/>
      <c r="E404" s="270"/>
      <c r="F404" s="287" t="s">
        <v>18</v>
      </c>
      <c r="G404" s="288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5"/>
      <c r="I404" s="289">
        <v>21</v>
      </c>
      <c r="J404" s="290" t="s">
        <v>60</v>
      </c>
      <c r="K404" s="294">
        <f>K399/$K$2/8*I404</f>
        <v>2187.5</v>
      </c>
      <c r="L404" s="295"/>
      <c r="N404" s="35"/>
      <c r="O404" s="36" t="s">
        <v>47</v>
      </c>
      <c r="P404" s="36">
        <v>29</v>
      </c>
      <c r="Q404" s="36">
        <v>1</v>
      </c>
      <c r="R404" s="36">
        <v>0</v>
      </c>
      <c r="S404" s="27"/>
      <c r="T404" s="36" t="s">
        <v>47</v>
      </c>
      <c r="U404" s="63">
        <f>IF($J$1="May",Y403,Y403)</f>
        <v>0</v>
      </c>
      <c r="V404" s="38"/>
      <c r="W404" s="63">
        <f t="shared" si="96"/>
        <v>0</v>
      </c>
      <c r="X404" s="38"/>
      <c r="Y404" s="63">
        <f t="shared" si="97"/>
        <v>0</v>
      </c>
      <c r="Z404" s="27"/>
    </row>
    <row r="405" spans="1:27" s="25" customFormat="1" ht="18" customHeight="1" x14ac:dyDescent="0.2">
      <c r="A405" s="272"/>
      <c r="B405" s="287" t="s">
        <v>7</v>
      </c>
      <c r="C405" s="293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29</v>
      </c>
      <c r="D405" s="270"/>
      <c r="E405" s="270"/>
      <c r="F405" s="287" t="s">
        <v>63</v>
      </c>
      <c r="G405" s="288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5"/>
      <c r="I405" s="389" t="s">
        <v>67</v>
      </c>
      <c r="J405" s="390"/>
      <c r="K405" s="294">
        <f>K403+K404</f>
        <v>26354.166666666668</v>
      </c>
      <c r="L405" s="295"/>
      <c r="N405" s="35"/>
      <c r="O405" s="36" t="s">
        <v>48</v>
      </c>
      <c r="P405" s="36"/>
      <c r="Q405" s="36"/>
      <c r="R405" s="36" t="str">
        <f t="shared" si="98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96"/>
        <v/>
      </c>
      <c r="X405" s="38"/>
      <c r="Y405" s="63" t="str">
        <f t="shared" si="97"/>
        <v/>
      </c>
      <c r="Z405" s="27"/>
    </row>
    <row r="406" spans="1:27" s="25" customFormat="1" ht="18" customHeight="1" x14ac:dyDescent="0.2">
      <c r="A406" s="272"/>
      <c r="B406" s="287" t="s">
        <v>6</v>
      </c>
      <c r="C406" s="293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1</v>
      </c>
      <c r="D406" s="270"/>
      <c r="E406" s="270"/>
      <c r="F406" s="287" t="s">
        <v>19</v>
      </c>
      <c r="G406" s="288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5"/>
      <c r="I406" s="389" t="s">
        <v>68</v>
      </c>
      <c r="J406" s="390"/>
      <c r="K406" s="288">
        <f>G406</f>
        <v>0</v>
      </c>
      <c r="L406" s="296"/>
      <c r="N406" s="35"/>
      <c r="O406" s="36" t="s">
        <v>49</v>
      </c>
      <c r="P406" s="36"/>
      <c r="Q406" s="36"/>
      <c r="R406" s="36" t="str">
        <f t="shared" si="98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96"/>
        <v/>
      </c>
      <c r="X406" s="38"/>
      <c r="Y406" s="63" t="str">
        <f t="shared" si="97"/>
        <v/>
      </c>
      <c r="Z406" s="27"/>
    </row>
    <row r="407" spans="1:27" s="25" customFormat="1" ht="18" customHeight="1" x14ac:dyDescent="0.2">
      <c r="A407" s="272"/>
      <c r="B407" s="304" t="s">
        <v>66</v>
      </c>
      <c r="C407" s="293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70"/>
      <c r="E407" s="270"/>
      <c r="F407" s="287" t="s">
        <v>65</v>
      </c>
      <c r="G407" s="28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0"/>
      <c r="I407" s="391" t="s">
        <v>61</v>
      </c>
      <c r="J407" s="391"/>
      <c r="K407" s="229">
        <f>K405-K406</f>
        <v>26354.166666666668</v>
      </c>
      <c r="L407" s="297"/>
      <c r="N407" s="35"/>
      <c r="O407" s="36" t="s">
        <v>54</v>
      </c>
      <c r="P407" s="36"/>
      <c r="Q407" s="36"/>
      <c r="R407" s="36" t="str">
        <f t="shared" si="98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96"/>
        <v/>
      </c>
      <c r="X407" s="38"/>
      <c r="Y407" s="63" t="str">
        <f t="shared" si="97"/>
        <v/>
      </c>
      <c r="Z407" s="27"/>
    </row>
    <row r="408" spans="1:27" s="25" customFormat="1" ht="18" customHeight="1" x14ac:dyDescent="0.2">
      <c r="A408" s="272"/>
      <c r="B408" s="270"/>
      <c r="C408" s="270"/>
      <c r="D408" s="270"/>
      <c r="E408" s="270"/>
      <c r="F408" s="270"/>
      <c r="G408" s="270"/>
      <c r="H408" s="270"/>
      <c r="I408" s="392"/>
      <c r="J408" s="392"/>
      <c r="K408" s="352"/>
      <c r="L408" s="284"/>
      <c r="N408" s="35"/>
      <c r="O408" s="36" t="s">
        <v>50</v>
      </c>
      <c r="P408" s="36"/>
      <c r="Q408" s="36"/>
      <c r="R408" s="36" t="str">
        <f t="shared" si="98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96"/>
        <v/>
      </c>
      <c r="X408" s="38"/>
      <c r="Y408" s="63" t="str">
        <f t="shared" si="97"/>
        <v/>
      </c>
      <c r="Z408" s="27"/>
    </row>
    <row r="409" spans="1:27" s="25" customFormat="1" ht="18" customHeight="1" x14ac:dyDescent="0.3">
      <c r="A409" s="272"/>
      <c r="B409" s="268"/>
      <c r="C409" s="268"/>
      <c r="D409" s="268"/>
      <c r="E409" s="268"/>
      <c r="F409" s="268"/>
      <c r="G409" s="268"/>
      <c r="H409" s="268"/>
      <c r="I409" s="392"/>
      <c r="J409" s="392"/>
      <c r="K409" s="352"/>
      <c r="L409" s="284"/>
      <c r="N409" s="35"/>
      <c r="O409" s="36" t="s">
        <v>55</v>
      </c>
      <c r="P409" s="36"/>
      <c r="Q409" s="36"/>
      <c r="R409" s="36" t="str">
        <f t="shared" si="98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96"/>
        <v/>
      </c>
      <c r="X409" s="38"/>
      <c r="Y409" s="63" t="str">
        <f t="shared" si="97"/>
        <v/>
      </c>
      <c r="Z409" s="27"/>
    </row>
    <row r="410" spans="1:27" s="25" customFormat="1" ht="18" customHeight="1" x14ac:dyDescent="0.3">
      <c r="A410" s="272"/>
      <c r="B410" s="268"/>
      <c r="C410" s="268"/>
      <c r="D410" s="268"/>
      <c r="E410" s="268"/>
      <c r="F410" s="268"/>
      <c r="G410" s="268"/>
      <c r="H410" s="268"/>
      <c r="I410" s="268"/>
      <c r="J410" s="268"/>
      <c r="K410" s="268"/>
      <c r="L410" s="284"/>
      <c r="N410" s="35"/>
      <c r="O410" s="36" t="s">
        <v>56</v>
      </c>
      <c r="P410" s="36"/>
      <c r="Q410" s="36"/>
      <c r="R410" s="36" t="str">
        <f t="shared" si="98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96"/>
        <v/>
      </c>
      <c r="X410" s="38"/>
      <c r="Y410" s="63" t="str">
        <f t="shared" si="97"/>
        <v/>
      </c>
      <c r="Z410" s="27"/>
    </row>
    <row r="411" spans="1:27" s="25" customFormat="1" ht="18" customHeight="1" thickBot="1" x14ac:dyDescent="0.25">
      <c r="A411" s="29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00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403" t="s">
        <v>38</v>
      </c>
      <c r="B413" s="404"/>
      <c r="C413" s="404"/>
      <c r="D413" s="404"/>
      <c r="E413" s="404"/>
      <c r="F413" s="404"/>
      <c r="G413" s="404"/>
      <c r="H413" s="404"/>
      <c r="I413" s="404"/>
      <c r="J413" s="404"/>
      <c r="K413" s="404"/>
      <c r="L413" s="405"/>
      <c r="M413" s="24"/>
      <c r="N413" s="28"/>
      <c r="O413" s="396" t="s">
        <v>40</v>
      </c>
      <c r="P413" s="397"/>
      <c r="Q413" s="397"/>
      <c r="R413" s="398"/>
      <c r="S413" s="29"/>
      <c r="T413" s="396" t="s">
        <v>41</v>
      </c>
      <c r="U413" s="397"/>
      <c r="V413" s="397"/>
      <c r="W413" s="397"/>
      <c r="X413" s="397"/>
      <c r="Y413" s="398"/>
      <c r="Z413" s="30"/>
      <c r="AA413" s="24"/>
    </row>
    <row r="414" spans="1:27" s="25" customFormat="1" ht="18" customHeight="1" x14ac:dyDescent="0.2">
      <c r="A414" s="272"/>
      <c r="B414" s="270"/>
      <c r="C414" s="399" t="s">
        <v>202</v>
      </c>
      <c r="D414" s="399"/>
      <c r="E414" s="399"/>
      <c r="F414" s="399"/>
      <c r="G414" s="273" t="str">
        <f>$J$1</f>
        <v>June</v>
      </c>
      <c r="H414" s="400">
        <f>$K$1</f>
        <v>2024</v>
      </c>
      <c r="I414" s="400"/>
      <c r="J414" s="270"/>
      <c r="K414" s="274"/>
      <c r="L414" s="275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2"/>
      <c r="B415" s="270"/>
      <c r="C415" s="270"/>
      <c r="D415" s="276"/>
      <c r="E415" s="276"/>
      <c r="F415" s="276"/>
      <c r="G415" s="276"/>
      <c r="H415" s="276"/>
      <c r="I415" s="270"/>
      <c r="J415" s="277" t="s">
        <v>1</v>
      </c>
      <c r="K415" s="278">
        <f>25000+2000</f>
        <v>27000</v>
      </c>
      <c r="L415" s="279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2"/>
      <c r="B416" s="270" t="s">
        <v>0</v>
      </c>
      <c r="C416" s="269" t="s">
        <v>102</v>
      </c>
      <c r="D416" s="270"/>
      <c r="E416" s="270"/>
      <c r="F416" s="270"/>
      <c r="G416" s="270"/>
      <c r="H416" s="280"/>
      <c r="I416" s="276"/>
      <c r="J416" s="270"/>
      <c r="K416" s="270"/>
      <c r="L416" s="281"/>
      <c r="M416" s="24"/>
      <c r="N416" s="39"/>
      <c r="O416" s="36" t="s">
        <v>69</v>
      </c>
      <c r="P416" s="36">
        <v>26</v>
      </c>
      <c r="Q416" s="36">
        <v>3</v>
      </c>
      <c r="R416" s="36">
        <f t="shared" ref="R416:R426" si="99">IF(Q416="","",R415-Q416)</f>
        <v>12</v>
      </c>
      <c r="S416" s="27"/>
      <c r="T416" s="36" t="s">
        <v>69</v>
      </c>
      <c r="U416" s="63">
        <f>Y415</f>
        <v>19000</v>
      </c>
      <c r="V416" s="38">
        <v>3000</v>
      </c>
      <c r="W416" s="63">
        <f>IF(U416="","",U416+V416)</f>
        <v>22000</v>
      </c>
      <c r="X416" s="38">
        <v>2000</v>
      </c>
      <c r="Y416" s="63">
        <f>IF(W416="","",W416-X416)</f>
        <v>20000</v>
      </c>
      <c r="Z416" s="40"/>
      <c r="AA416" s="24"/>
    </row>
    <row r="417" spans="1:26" s="25" customFormat="1" ht="18" customHeight="1" x14ac:dyDescent="0.2">
      <c r="A417" s="272"/>
      <c r="B417" s="282" t="s">
        <v>39</v>
      </c>
      <c r="C417" s="283"/>
      <c r="D417" s="270"/>
      <c r="E417" s="270"/>
      <c r="F417" s="406" t="s">
        <v>41</v>
      </c>
      <c r="G417" s="408"/>
      <c r="H417" s="270"/>
      <c r="I417" s="406" t="s">
        <v>42</v>
      </c>
      <c r="J417" s="407"/>
      <c r="K417" s="408"/>
      <c r="L417" s="284"/>
      <c r="N417" s="35"/>
      <c r="O417" s="36" t="s">
        <v>44</v>
      </c>
      <c r="P417" s="36">
        <v>31</v>
      </c>
      <c r="Q417" s="36">
        <v>0</v>
      </c>
      <c r="R417" s="36">
        <f t="shared" si="99"/>
        <v>12</v>
      </c>
      <c r="S417" s="27"/>
      <c r="T417" s="36" t="s">
        <v>44</v>
      </c>
      <c r="U417" s="63">
        <f>Y416</f>
        <v>20000</v>
      </c>
      <c r="V417" s="38"/>
      <c r="W417" s="63">
        <f t="shared" ref="W417:W426" si="100">IF(U417="","",U417+V417)</f>
        <v>20000</v>
      </c>
      <c r="X417" s="38">
        <v>2000</v>
      </c>
      <c r="Y417" s="63">
        <f t="shared" ref="Y417:Y426" si="101">IF(W417="","",W417-X417)</f>
        <v>18000</v>
      </c>
      <c r="Z417" s="40"/>
    </row>
    <row r="418" spans="1:26" s="25" customFormat="1" ht="18" customHeight="1" x14ac:dyDescent="0.2">
      <c r="A418" s="272"/>
      <c r="B418" s="270"/>
      <c r="C418" s="270"/>
      <c r="D418" s="270"/>
      <c r="E418" s="270"/>
      <c r="F418" s="270"/>
      <c r="G418" s="270"/>
      <c r="H418" s="285"/>
      <c r="I418" s="270"/>
      <c r="J418" s="270"/>
      <c r="K418" s="270"/>
      <c r="L418" s="286"/>
      <c r="N418" s="35"/>
      <c r="O418" s="36" t="s">
        <v>45</v>
      </c>
      <c r="P418" s="36">
        <v>29</v>
      </c>
      <c r="Q418" s="36">
        <v>1</v>
      </c>
      <c r="R418" s="36">
        <f t="shared" si="99"/>
        <v>11</v>
      </c>
      <c r="S418" s="27"/>
      <c r="T418" s="36" t="s">
        <v>45</v>
      </c>
      <c r="U418" s="63">
        <f>Y417</f>
        <v>18000</v>
      </c>
      <c r="V418" s="38">
        <v>2000</v>
      </c>
      <c r="W418" s="63">
        <f t="shared" si="100"/>
        <v>20000</v>
      </c>
      <c r="X418" s="38">
        <v>2000</v>
      </c>
      <c r="Y418" s="63">
        <f t="shared" si="101"/>
        <v>18000</v>
      </c>
      <c r="Z418" s="40"/>
    </row>
    <row r="419" spans="1:26" s="25" customFormat="1" ht="18" customHeight="1" x14ac:dyDescent="0.2">
      <c r="A419" s="272"/>
      <c r="B419" s="401" t="s">
        <v>40</v>
      </c>
      <c r="C419" s="402"/>
      <c r="D419" s="270"/>
      <c r="E419" s="270"/>
      <c r="F419" s="287" t="s">
        <v>62</v>
      </c>
      <c r="G419" s="288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18000</v>
      </c>
      <c r="H419" s="285"/>
      <c r="I419" s="289">
        <f>IF(C423&gt;=C422,$K$2,C421+C423)</f>
        <v>30</v>
      </c>
      <c r="J419" s="290" t="s">
        <v>59</v>
      </c>
      <c r="K419" s="291">
        <f>K415/$K$2*I419</f>
        <v>27000</v>
      </c>
      <c r="L419" s="292"/>
      <c r="N419" s="35"/>
      <c r="O419" s="36" t="s">
        <v>46</v>
      </c>
      <c r="P419" s="36">
        <v>31</v>
      </c>
      <c r="Q419" s="36">
        <v>0</v>
      </c>
      <c r="R419" s="36">
        <f t="shared" si="99"/>
        <v>11</v>
      </c>
      <c r="S419" s="27"/>
      <c r="T419" s="36" t="s">
        <v>46</v>
      </c>
      <c r="U419" s="63">
        <f>Y418</f>
        <v>18000</v>
      </c>
      <c r="V419" s="38">
        <v>2000</v>
      </c>
      <c r="W419" s="63">
        <f t="shared" si="100"/>
        <v>20000</v>
      </c>
      <c r="X419" s="38">
        <v>2000</v>
      </c>
      <c r="Y419" s="63">
        <f t="shared" si="101"/>
        <v>18000</v>
      </c>
      <c r="Z419" s="40"/>
    </row>
    <row r="420" spans="1:26" s="25" customFormat="1" ht="18" customHeight="1" x14ac:dyDescent="0.2">
      <c r="A420" s="272"/>
      <c r="B420" s="293"/>
      <c r="C420" s="293"/>
      <c r="D420" s="270"/>
      <c r="E420" s="270"/>
      <c r="F420" s="287" t="s">
        <v>18</v>
      </c>
      <c r="G420" s="288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3000</v>
      </c>
      <c r="H420" s="285"/>
      <c r="I420" s="289">
        <v>57</v>
      </c>
      <c r="J420" s="290" t="s">
        <v>60</v>
      </c>
      <c r="K420" s="294">
        <f>K415/$K$2/8*I420</f>
        <v>6412.5</v>
      </c>
      <c r="L420" s="295"/>
      <c r="N420" s="35"/>
      <c r="O420" s="36" t="s">
        <v>47</v>
      </c>
      <c r="P420" s="36">
        <v>30</v>
      </c>
      <c r="Q420" s="36">
        <v>0</v>
      </c>
      <c r="R420" s="36">
        <f t="shared" si="99"/>
        <v>11</v>
      </c>
      <c r="S420" s="27"/>
      <c r="T420" s="36" t="s">
        <v>47</v>
      </c>
      <c r="U420" s="63">
        <f>Y419</f>
        <v>18000</v>
      </c>
      <c r="V420" s="38">
        <v>3000</v>
      </c>
      <c r="W420" s="63">
        <f t="shared" si="100"/>
        <v>21000</v>
      </c>
      <c r="X420" s="38">
        <v>2000</v>
      </c>
      <c r="Y420" s="63">
        <f t="shared" si="101"/>
        <v>19000</v>
      </c>
      <c r="Z420" s="40"/>
    </row>
    <row r="421" spans="1:26" s="25" customFormat="1" ht="18" customHeight="1" x14ac:dyDescent="0.2">
      <c r="A421" s="272"/>
      <c r="B421" s="287" t="s">
        <v>7</v>
      </c>
      <c r="C421" s="293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30</v>
      </c>
      <c r="D421" s="270"/>
      <c r="E421" s="270"/>
      <c r="F421" s="287" t="s">
        <v>63</v>
      </c>
      <c r="G421" s="288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21000</v>
      </c>
      <c r="H421" s="285"/>
      <c r="I421" s="389" t="s">
        <v>67</v>
      </c>
      <c r="J421" s="390"/>
      <c r="K421" s="294">
        <f>K419+K420</f>
        <v>33412.5</v>
      </c>
      <c r="L421" s="295"/>
      <c r="N421" s="35"/>
      <c r="O421" s="36" t="s">
        <v>48</v>
      </c>
      <c r="P421" s="36"/>
      <c r="Q421" s="36"/>
      <c r="R421" s="36" t="str">
        <f t="shared" si="99"/>
        <v/>
      </c>
      <c r="S421" s="27"/>
      <c r="T421" s="36" t="s">
        <v>48</v>
      </c>
      <c r="U421" s="63"/>
      <c r="V421" s="38"/>
      <c r="W421" s="63" t="str">
        <f t="shared" si="100"/>
        <v/>
      </c>
      <c r="X421" s="38"/>
      <c r="Y421" s="63" t="str">
        <f t="shared" si="101"/>
        <v/>
      </c>
      <c r="Z421" s="40"/>
    </row>
    <row r="422" spans="1:26" s="25" customFormat="1" ht="18" customHeight="1" x14ac:dyDescent="0.2">
      <c r="A422" s="272"/>
      <c r="B422" s="287" t="s">
        <v>6</v>
      </c>
      <c r="C422" s="293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270"/>
      <c r="E422" s="270"/>
      <c r="F422" s="287" t="s">
        <v>19</v>
      </c>
      <c r="G422" s="288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5"/>
      <c r="I422" s="389" t="s">
        <v>68</v>
      </c>
      <c r="J422" s="390"/>
      <c r="K422" s="288">
        <f>G422</f>
        <v>2000</v>
      </c>
      <c r="L422" s="296"/>
      <c r="N422" s="35"/>
      <c r="O422" s="36" t="s">
        <v>49</v>
      </c>
      <c r="P422" s="36"/>
      <c r="Q422" s="36"/>
      <c r="R422" s="36" t="str">
        <f t="shared" si="99"/>
        <v/>
      </c>
      <c r="S422" s="27"/>
      <c r="T422" s="36" t="s">
        <v>49</v>
      </c>
      <c r="U422" s="63" t="str">
        <f t="shared" ref="U422:U425" si="102">Y421</f>
        <v/>
      </c>
      <c r="V422" s="38"/>
      <c r="W422" s="63" t="str">
        <f t="shared" si="100"/>
        <v/>
      </c>
      <c r="X422" s="38"/>
      <c r="Y422" s="63" t="str">
        <f t="shared" si="101"/>
        <v/>
      </c>
      <c r="Z422" s="40"/>
    </row>
    <row r="423" spans="1:26" s="25" customFormat="1" ht="18" customHeight="1" x14ac:dyDescent="0.2">
      <c r="A423" s="272"/>
      <c r="B423" s="302" t="s">
        <v>66</v>
      </c>
      <c r="C423" s="293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11</v>
      </c>
      <c r="D423" s="270"/>
      <c r="E423" s="270"/>
      <c r="F423" s="302" t="s">
        <v>195</v>
      </c>
      <c r="G423" s="28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19000</v>
      </c>
      <c r="H423" s="270"/>
      <c r="I423" s="391" t="s">
        <v>61</v>
      </c>
      <c r="J423" s="391"/>
      <c r="K423" s="229">
        <f>K421-K422</f>
        <v>31412.5</v>
      </c>
      <c r="L423" s="297"/>
      <c r="N423" s="35"/>
      <c r="O423" s="36" t="s">
        <v>54</v>
      </c>
      <c r="P423" s="36"/>
      <c r="Q423" s="36"/>
      <c r="R423" s="36" t="str">
        <f t="shared" si="99"/>
        <v/>
      </c>
      <c r="S423" s="27"/>
      <c r="T423" s="36" t="s">
        <v>54</v>
      </c>
      <c r="U423" s="63" t="str">
        <f t="shared" si="102"/>
        <v/>
      </c>
      <c r="V423" s="38"/>
      <c r="W423" s="63" t="str">
        <f t="shared" si="100"/>
        <v/>
      </c>
      <c r="X423" s="38"/>
      <c r="Y423" s="63" t="str">
        <f t="shared" si="101"/>
        <v/>
      </c>
      <c r="Z423" s="40"/>
    </row>
    <row r="424" spans="1:26" s="25" customFormat="1" ht="18" customHeight="1" x14ac:dyDescent="0.2">
      <c r="A424" s="272"/>
      <c r="B424" s="270"/>
      <c r="C424" s="270"/>
      <c r="D424" s="270"/>
      <c r="E424" s="270"/>
      <c r="F424" s="270"/>
      <c r="G424" s="270"/>
      <c r="H424" s="270"/>
      <c r="I424" s="392"/>
      <c r="J424" s="392"/>
      <c r="K424" s="352"/>
      <c r="L424" s="284"/>
      <c r="N424" s="35"/>
      <c r="O424" s="36" t="s">
        <v>50</v>
      </c>
      <c r="P424" s="36"/>
      <c r="Q424" s="36"/>
      <c r="R424" s="36" t="str">
        <f t="shared" si="99"/>
        <v/>
      </c>
      <c r="S424" s="27"/>
      <c r="T424" s="36" t="s">
        <v>50</v>
      </c>
      <c r="U424" s="63" t="str">
        <f t="shared" si="102"/>
        <v/>
      </c>
      <c r="V424" s="38"/>
      <c r="W424" s="63" t="str">
        <f t="shared" si="100"/>
        <v/>
      </c>
      <c r="X424" s="38"/>
      <c r="Y424" s="63" t="str">
        <f t="shared" si="101"/>
        <v/>
      </c>
      <c r="Z424" s="40"/>
    </row>
    <row r="425" spans="1:26" s="25" customFormat="1" ht="18" customHeight="1" x14ac:dyDescent="0.3">
      <c r="A425" s="272"/>
      <c r="B425" s="268"/>
      <c r="C425" s="268"/>
      <c r="D425" s="268"/>
      <c r="E425" s="268"/>
      <c r="F425" s="268"/>
      <c r="G425" s="268"/>
      <c r="H425" s="268"/>
      <c r="I425" s="392"/>
      <c r="J425" s="392"/>
      <c r="K425" s="352"/>
      <c r="L425" s="284"/>
      <c r="N425" s="35"/>
      <c r="O425" s="36" t="s">
        <v>55</v>
      </c>
      <c r="P425" s="36"/>
      <c r="Q425" s="36"/>
      <c r="R425" s="36" t="str">
        <f t="shared" si="99"/>
        <v/>
      </c>
      <c r="S425" s="27"/>
      <c r="T425" s="36" t="s">
        <v>55</v>
      </c>
      <c r="U425" s="63" t="str">
        <f t="shared" si="102"/>
        <v/>
      </c>
      <c r="V425" s="38"/>
      <c r="W425" s="63" t="str">
        <f t="shared" si="100"/>
        <v/>
      </c>
      <c r="X425" s="38"/>
      <c r="Y425" s="63" t="str">
        <f t="shared" si="101"/>
        <v/>
      </c>
      <c r="Z425" s="40"/>
    </row>
    <row r="426" spans="1:26" s="25" customFormat="1" ht="18" customHeight="1" thickBot="1" x14ac:dyDescent="0.35">
      <c r="A426" s="298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300"/>
      <c r="N426" s="35"/>
      <c r="O426" s="36" t="s">
        <v>56</v>
      </c>
      <c r="P426" s="36"/>
      <c r="Q426" s="36"/>
      <c r="R426" s="36" t="str">
        <f t="shared" si="99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0"/>
        <v/>
      </c>
      <c r="X426" s="38"/>
      <c r="Y426" s="63" t="str">
        <f t="shared" si="101"/>
        <v/>
      </c>
      <c r="Z426" s="40"/>
    </row>
    <row r="427" spans="1:26" s="56" customFormat="1" ht="18" customHeight="1" thickBot="1" x14ac:dyDescent="0.25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403" t="s">
        <v>38</v>
      </c>
      <c r="B428" s="404"/>
      <c r="C428" s="404"/>
      <c r="D428" s="404"/>
      <c r="E428" s="404"/>
      <c r="F428" s="404"/>
      <c r="G428" s="404"/>
      <c r="H428" s="404"/>
      <c r="I428" s="404"/>
      <c r="J428" s="404"/>
      <c r="K428" s="404"/>
      <c r="L428" s="405"/>
      <c r="M428" s="24"/>
      <c r="N428" s="28"/>
      <c r="O428" s="396" t="s">
        <v>40</v>
      </c>
      <c r="P428" s="397"/>
      <c r="Q428" s="397"/>
      <c r="R428" s="398"/>
      <c r="S428" s="29"/>
      <c r="T428" s="396" t="s">
        <v>41</v>
      </c>
      <c r="U428" s="397"/>
      <c r="V428" s="397"/>
      <c r="W428" s="397"/>
      <c r="X428" s="397"/>
      <c r="Y428" s="398"/>
      <c r="Z428" s="30"/>
    </row>
    <row r="429" spans="1:26" s="25" customFormat="1" ht="18" customHeight="1" x14ac:dyDescent="0.2">
      <c r="A429" s="272"/>
      <c r="B429" s="270"/>
      <c r="C429" s="399" t="s">
        <v>202</v>
      </c>
      <c r="D429" s="399"/>
      <c r="E429" s="399"/>
      <c r="F429" s="399"/>
      <c r="G429" s="273" t="str">
        <f>$J$1</f>
        <v>June</v>
      </c>
      <c r="H429" s="400">
        <f>$K$1</f>
        <v>2024</v>
      </c>
      <c r="I429" s="400"/>
      <c r="J429" s="270"/>
      <c r="K429" s="274"/>
      <c r="L429" s="275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2"/>
      <c r="B430" s="270"/>
      <c r="C430" s="270"/>
      <c r="D430" s="276"/>
      <c r="E430" s="276"/>
      <c r="F430" s="276"/>
      <c r="G430" s="276"/>
      <c r="H430" s="276"/>
      <c r="I430" s="270"/>
      <c r="J430" s="277" t="s">
        <v>1</v>
      </c>
      <c r="K430" s="278">
        <f>30000+4000</f>
        <v>34000</v>
      </c>
      <c r="L430" s="279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2"/>
      <c r="B431" s="270" t="s">
        <v>0</v>
      </c>
      <c r="C431" s="269" t="s">
        <v>186</v>
      </c>
      <c r="D431" s="270"/>
      <c r="E431" s="270"/>
      <c r="F431" s="270"/>
      <c r="G431" s="270"/>
      <c r="H431" s="280"/>
      <c r="I431" s="276"/>
      <c r="J431" s="270"/>
      <c r="K431" s="270"/>
      <c r="L431" s="281"/>
      <c r="M431" s="24"/>
      <c r="N431" s="39"/>
      <c r="O431" s="36" t="s">
        <v>69</v>
      </c>
      <c r="P431" s="36">
        <v>25</v>
      </c>
      <c r="Q431" s="36">
        <v>4</v>
      </c>
      <c r="R431" s="36">
        <v>0</v>
      </c>
      <c r="S431" s="27"/>
      <c r="T431" s="36" t="s">
        <v>69</v>
      </c>
      <c r="U431" s="63">
        <f>Y430</f>
        <v>34500</v>
      </c>
      <c r="V431" s="38">
        <v>10000</v>
      </c>
      <c r="W431" s="63">
        <f>IF(U431="","",U431+V431)</f>
        <v>44500</v>
      </c>
      <c r="X431" s="38">
        <v>10000</v>
      </c>
      <c r="Y431" s="63">
        <f>IF(W431="","",W431-X431)</f>
        <v>34500</v>
      </c>
      <c r="Z431" s="40"/>
    </row>
    <row r="432" spans="1:26" s="25" customFormat="1" ht="18" customHeight="1" x14ac:dyDescent="0.2">
      <c r="A432" s="272"/>
      <c r="B432" s="282" t="s">
        <v>39</v>
      </c>
      <c r="C432" s="283"/>
      <c r="D432" s="270"/>
      <c r="E432" s="270"/>
      <c r="F432" s="406" t="s">
        <v>41</v>
      </c>
      <c r="G432" s="408"/>
      <c r="H432" s="270"/>
      <c r="I432" s="406" t="s">
        <v>42</v>
      </c>
      <c r="J432" s="407"/>
      <c r="K432" s="408"/>
      <c r="L432" s="284"/>
      <c r="N432" s="35"/>
      <c r="O432" s="36" t="s">
        <v>44</v>
      </c>
      <c r="P432" s="36">
        <v>25</v>
      </c>
      <c r="Q432" s="36">
        <v>6</v>
      </c>
      <c r="R432" s="36">
        <v>0</v>
      </c>
      <c r="S432" s="27"/>
      <c r="T432" s="36" t="s">
        <v>44</v>
      </c>
      <c r="U432" s="63">
        <f>Y431</f>
        <v>34500</v>
      </c>
      <c r="V432" s="38"/>
      <c r="W432" s="63">
        <f t="shared" ref="W432:W441" si="103">IF(U432="","",U432+V432)</f>
        <v>34500</v>
      </c>
      <c r="X432" s="38">
        <v>3000</v>
      </c>
      <c r="Y432" s="63">
        <f t="shared" ref="Y432:Y441" si="104">IF(W432="","",W432-X432)</f>
        <v>31500</v>
      </c>
      <c r="Z432" s="40"/>
    </row>
    <row r="433" spans="1:29" s="25" customFormat="1" ht="18" customHeight="1" x14ac:dyDescent="0.2">
      <c r="A433" s="272"/>
      <c r="B433" s="270"/>
      <c r="C433" s="270"/>
      <c r="D433" s="270"/>
      <c r="E433" s="270"/>
      <c r="F433" s="270"/>
      <c r="G433" s="270"/>
      <c r="H433" s="285"/>
      <c r="I433" s="270"/>
      <c r="J433" s="270"/>
      <c r="K433" s="270"/>
      <c r="L433" s="286"/>
      <c r="N433" s="35"/>
      <c r="O433" s="36" t="s">
        <v>45</v>
      </c>
      <c r="P433" s="36">
        <v>29</v>
      </c>
      <c r="Q433" s="36">
        <v>1</v>
      </c>
      <c r="R433" s="36">
        <f t="shared" ref="R433:R441" si="105">15-Q433</f>
        <v>14</v>
      </c>
      <c r="S433" s="27"/>
      <c r="T433" s="36" t="s">
        <v>45</v>
      </c>
      <c r="U433" s="63">
        <f>IF($J$1="March","",Y432)</f>
        <v>31500</v>
      </c>
      <c r="V433" s="38"/>
      <c r="W433" s="63">
        <f t="shared" si="103"/>
        <v>31500</v>
      </c>
      <c r="X433" s="38">
        <v>5000</v>
      </c>
      <c r="Y433" s="63">
        <f t="shared" si="104"/>
        <v>26500</v>
      </c>
      <c r="Z433" s="40"/>
    </row>
    <row r="434" spans="1:29" s="25" customFormat="1" ht="18" customHeight="1" x14ac:dyDescent="0.2">
      <c r="A434" s="272"/>
      <c r="B434" s="401" t="s">
        <v>40</v>
      </c>
      <c r="C434" s="402"/>
      <c r="D434" s="270"/>
      <c r="E434" s="270"/>
      <c r="F434" s="287" t="s">
        <v>62</v>
      </c>
      <c r="G434" s="288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41500</v>
      </c>
      <c r="H434" s="285"/>
      <c r="I434" s="289">
        <f>IF(C438&gt;=C437,$K$2,C436+C438)</f>
        <v>30</v>
      </c>
      <c r="J434" s="290" t="s">
        <v>59</v>
      </c>
      <c r="K434" s="291">
        <f>K430/$K$2*I434</f>
        <v>34000</v>
      </c>
      <c r="L434" s="292"/>
      <c r="N434" s="35"/>
      <c r="O434" s="36" t="s">
        <v>46</v>
      </c>
      <c r="P434" s="340">
        <v>26</v>
      </c>
      <c r="Q434" s="340">
        <v>5</v>
      </c>
      <c r="R434" s="36">
        <f t="shared" si="105"/>
        <v>10</v>
      </c>
      <c r="S434" s="27"/>
      <c r="T434" s="36" t="s">
        <v>46</v>
      </c>
      <c r="U434" s="63">
        <f>Y433</f>
        <v>26500</v>
      </c>
      <c r="V434" s="38">
        <v>20000</v>
      </c>
      <c r="W434" s="63">
        <f t="shared" si="103"/>
        <v>46500</v>
      </c>
      <c r="X434" s="38">
        <v>5000</v>
      </c>
      <c r="Y434" s="63">
        <f t="shared" si="104"/>
        <v>41500</v>
      </c>
      <c r="Z434" s="40"/>
    </row>
    <row r="435" spans="1:29" s="25" customFormat="1" ht="18" customHeight="1" x14ac:dyDescent="0.2">
      <c r="A435" s="272"/>
      <c r="B435" s="293"/>
      <c r="C435" s="293"/>
      <c r="D435" s="270"/>
      <c r="E435" s="270"/>
      <c r="F435" s="287" t="s">
        <v>18</v>
      </c>
      <c r="G435" s="288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5000</v>
      </c>
      <c r="H435" s="285"/>
      <c r="I435" s="289">
        <v>43</v>
      </c>
      <c r="J435" s="290" t="s">
        <v>60</v>
      </c>
      <c r="K435" s="294">
        <f>K430/$K$2/8*I435</f>
        <v>6091.6666666666661</v>
      </c>
      <c r="L435" s="295"/>
      <c r="N435" s="35"/>
      <c r="O435" s="36" t="s">
        <v>47</v>
      </c>
      <c r="P435" s="36">
        <v>29</v>
      </c>
      <c r="Q435" s="36">
        <v>1</v>
      </c>
      <c r="R435" s="36">
        <f t="shared" si="105"/>
        <v>14</v>
      </c>
      <c r="S435" s="27"/>
      <c r="T435" s="36" t="s">
        <v>47</v>
      </c>
      <c r="U435" s="63">
        <f>Y434</f>
        <v>41500</v>
      </c>
      <c r="V435" s="38">
        <v>5000</v>
      </c>
      <c r="W435" s="63">
        <f t="shared" si="103"/>
        <v>46500</v>
      </c>
      <c r="X435" s="38">
        <v>10000</v>
      </c>
      <c r="Y435" s="63">
        <f t="shared" si="104"/>
        <v>36500</v>
      </c>
      <c r="Z435" s="40"/>
    </row>
    <row r="436" spans="1:29" s="25" customFormat="1" ht="18" customHeight="1" x14ac:dyDescent="0.2">
      <c r="A436" s="272"/>
      <c r="B436" s="287" t="s">
        <v>7</v>
      </c>
      <c r="C436" s="293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29</v>
      </c>
      <c r="D436" s="270"/>
      <c r="E436" s="270"/>
      <c r="F436" s="287" t="s">
        <v>63</v>
      </c>
      <c r="G436" s="288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46500</v>
      </c>
      <c r="H436" s="285"/>
      <c r="I436" s="389" t="s">
        <v>67</v>
      </c>
      <c r="J436" s="390"/>
      <c r="K436" s="294">
        <f>K434+K435</f>
        <v>40091.666666666664</v>
      </c>
      <c r="L436" s="295"/>
      <c r="N436" s="35"/>
      <c r="O436" s="36" t="s">
        <v>48</v>
      </c>
      <c r="P436" s="36"/>
      <c r="Q436" s="36"/>
      <c r="R436" s="36">
        <f t="shared" si="105"/>
        <v>15</v>
      </c>
      <c r="S436" s="27"/>
      <c r="T436" s="36" t="s">
        <v>48</v>
      </c>
      <c r="U436" s="63"/>
      <c r="V436" s="38"/>
      <c r="W436" s="63" t="str">
        <f t="shared" si="103"/>
        <v/>
      </c>
      <c r="X436" s="38"/>
      <c r="Y436" s="63" t="str">
        <f t="shared" si="104"/>
        <v/>
      </c>
      <c r="Z436" s="40"/>
    </row>
    <row r="437" spans="1:29" s="25" customFormat="1" ht="18" customHeight="1" x14ac:dyDescent="0.2">
      <c r="A437" s="272"/>
      <c r="B437" s="287" t="s">
        <v>6</v>
      </c>
      <c r="C437" s="293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1</v>
      </c>
      <c r="D437" s="270"/>
      <c r="E437" s="270"/>
      <c r="F437" s="287" t="s">
        <v>19</v>
      </c>
      <c r="G437" s="288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10000</v>
      </c>
      <c r="H437" s="285"/>
      <c r="I437" s="389" t="s">
        <v>68</v>
      </c>
      <c r="J437" s="390"/>
      <c r="K437" s="288">
        <f>G437</f>
        <v>10000</v>
      </c>
      <c r="L437" s="296"/>
      <c r="N437" s="35"/>
      <c r="O437" s="36" t="s">
        <v>49</v>
      </c>
      <c r="P437" s="36"/>
      <c r="Q437" s="36"/>
      <c r="R437" s="36">
        <f t="shared" si="105"/>
        <v>15</v>
      </c>
      <c r="S437" s="27"/>
      <c r="T437" s="36" t="s">
        <v>49</v>
      </c>
      <c r="U437" s="63" t="str">
        <f t="shared" ref="U437:U440" si="106">Y436</f>
        <v/>
      </c>
      <c r="V437" s="38"/>
      <c r="W437" s="63" t="str">
        <f t="shared" si="103"/>
        <v/>
      </c>
      <c r="X437" s="38"/>
      <c r="Y437" s="63" t="str">
        <f t="shared" si="104"/>
        <v/>
      </c>
      <c r="Z437" s="40"/>
      <c r="AC437" s="65"/>
    </row>
    <row r="438" spans="1:29" s="25" customFormat="1" ht="18" customHeight="1" x14ac:dyDescent="0.2">
      <c r="A438" s="272"/>
      <c r="B438" s="302" t="s">
        <v>66</v>
      </c>
      <c r="C438" s="293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14</v>
      </c>
      <c r="D438" s="270"/>
      <c r="E438" s="270"/>
      <c r="F438" s="302" t="s">
        <v>195</v>
      </c>
      <c r="G438" s="28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36500</v>
      </c>
      <c r="H438" s="270"/>
      <c r="I438" s="391" t="s">
        <v>61</v>
      </c>
      <c r="J438" s="391"/>
      <c r="K438" s="229">
        <f>K436-K437</f>
        <v>30091.666666666664</v>
      </c>
      <c r="L438" s="297"/>
      <c r="N438" s="35"/>
      <c r="O438" s="36" t="s">
        <v>54</v>
      </c>
      <c r="P438" s="36"/>
      <c r="Q438" s="36"/>
      <c r="R438" s="36">
        <f t="shared" si="105"/>
        <v>15</v>
      </c>
      <c r="S438" s="27"/>
      <c r="T438" s="36" t="s">
        <v>54</v>
      </c>
      <c r="U438" s="63" t="str">
        <f t="shared" si="106"/>
        <v/>
      </c>
      <c r="V438" s="38"/>
      <c r="W438" s="63" t="str">
        <f t="shared" si="103"/>
        <v/>
      </c>
      <c r="X438" s="38"/>
      <c r="Y438" s="63" t="str">
        <f t="shared" si="104"/>
        <v/>
      </c>
      <c r="Z438" s="40"/>
    </row>
    <row r="439" spans="1:29" s="25" customFormat="1" ht="18" customHeight="1" x14ac:dyDescent="0.2">
      <c r="A439" s="272"/>
      <c r="B439" s="270"/>
      <c r="C439" s="270"/>
      <c r="D439" s="270"/>
      <c r="E439" s="270"/>
      <c r="F439" s="270"/>
      <c r="G439" s="270"/>
      <c r="H439" s="270"/>
      <c r="I439" s="392"/>
      <c r="J439" s="392"/>
      <c r="K439" s="352"/>
      <c r="L439" s="284"/>
      <c r="N439" s="35"/>
      <c r="O439" s="36" t="s">
        <v>50</v>
      </c>
      <c r="P439" s="36"/>
      <c r="Q439" s="36"/>
      <c r="R439" s="36">
        <f t="shared" si="105"/>
        <v>15</v>
      </c>
      <c r="S439" s="27"/>
      <c r="T439" s="36" t="s">
        <v>50</v>
      </c>
      <c r="U439" s="63" t="str">
        <f t="shared" si="106"/>
        <v/>
      </c>
      <c r="V439" s="38"/>
      <c r="W439" s="63" t="str">
        <f t="shared" si="103"/>
        <v/>
      </c>
      <c r="X439" s="38"/>
      <c r="Y439" s="63" t="str">
        <f t="shared" si="104"/>
        <v/>
      </c>
      <c r="Z439" s="40"/>
    </row>
    <row r="440" spans="1:29" s="25" customFormat="1" ht="18" customHeight="1" x14ac:dyDescent="0.3">
      <c r="A440" s="272"/>
      <c r="B440" s="268"/>
      <c r="C440" s="268"/>
      <c r="D440" s="268"/>
      <c r="E440" s="268"/>
      <c r="F440" s="268"/>
      <c r="G440" s="268"/>
      <c r="H440" s="268"/>
      <c r="I440" s="392"/>
      <c r="J440" s="392"/>
      <c r="K440" s="352"/>
      <c r="L440" s="284"/>
      <c r="N440" s="35"/>
      <c r="O440" s="36" t="s">
        <v>55</v>
      </c>
      <c r="P440" s="36"/>
      <c r="Q440" s="36"/>
      <c r="R440" s="36">
        <f t="shared" si="105"/>
        <v>15</v>
      </c>
      <c r="S440" s="27"/>
      <c r="T440" s="36" t="s">
        <v>55</v>
      </c>
      <c r="U440" s="63" t="str">
        <f t="shared" si="106"/>
        <v/>
      </c>
      <c r="V440" s="38"/>
      <c r="W440" s="63" t="str">
        <f t="shared" si="103"/>
        <v/>
      </c>
      <c r="X440" s="38"/>
      <c r="Y440" s="63" t="str">
        <f t="shared" si="104"/>
        <v/>
      </c>
      <c r="Z440" s="40"/>
    </row>
    <row r="441" spans="1:29" s="25" customFormat="1" ht="18" customHeight="1" thickBot="1" x14ac:dyDescent="0.35">
      <c r="A441" s="298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300"/>
      <c r="N441" s="35"/>
      <c r="O441" s="36" t="s">
        <v>56</v>
      </c>
      <c r="P441" s="36"/>
      <c r="Q441" s="36"/>
      <c r="R441" s="36">
        <f t="shared" si="105"/>
        <v>15</v>
      </c>
      <c r="S441" s="27"/>
      <c r="T441" s="36" t="s">
        <v>56</v>
      </c>
      <c r="U441" s="63" t="str">
        <f>Y440</f>
        <v/>
      </c>
      <c r="V441" s="38"/>
      <c r="W441" s="63" t="str">
        <f t="shared" si="103"/>
        <v/>
      </c>
      <c r="X441" s="38"/>
      <c r="Y441" s="63" t="str">
        <f t="shared" si="104"/>
        <v/>
      </c>
      <c r="Z441" s="40"/>
    </row>
    <row r="442" spans="1:29" s="56" customFormat="1" ht="18" customHeight="1" thickBot="1" x14ac:dyDescent="0.25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403" t="s">
        <v>38</v>
      </c>
      <c r="B443" s="404"/>
      <c r="C443" s="404"/>
      <c r="D443" s="404"/>
      <c r="E443" s="404"/>
      <c r="F443" s="404"/>
      <c r="G443" s="404"/>
      <c r="H443" s="404"/>
      <c r="I443" s="404"/>
      <c r="J443" s="404"/>
      <c r="K443" s="404"/>
      <c r="L443" s="405"/>
      <c r="M443" s="24"/>
      <c r="N443" s="28"/>
      <c r="O443" s="396" t="s">
        <v>40</v>
      </c>
      <c r="P443" s="397"/>
      <c r="Q443" s="397"/>
      <c r="R443" s="398"/>
      <c r="S443" s="29"/>
      <c r="T443" s="396" t="s">
        <v>41</v>
      </c>
      <c r="U443" s="397"/>
      <c r="V443" s="397"/>
      <c r="W443" s="397"/>
      <c r="X443" s="397"/>
      <c r="Y443" s="398"/>
      <c r="Z443" s="30"/>
      <c r="AA443" s="24"/>
    </row>
    <row r="444" spans="1:29" s="25" customFormat="1" ht="18" customHeight="1" x14ac:dyDescent="0.2">
      <c r="A444" s="272"/>
      <c r="B444" s="270"/>
      <c r="C444" s="399" t="s">
        <v>202</v>
      </c>
      <c r="D444" s="399"/>
      <c r="E444" s="399"/>
      <c r="F444" s="399"/>
      <c r="G444" s="273" t="str">
        <f>$J$1</f>
        <v>June</v>
      </c>
      <c r="H444" s="400">
        <f>$K$1</f>
        <v>2024</v>
      </c>
      <c r="I444" s="400"/>
      <c r="J444" s="270"/>
      <c r="K444" s="274"/>
      <c r="L444" s="275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2"/>
      <c r="B445" s="270"/>
      <c r="C445" s="270"/>
      <c r="D445" s="276"/>
      <c r="E445" s="276"/>
      <c r="F445" s="276"/>
      <c r="G445" s="276"/>
      <c r="H445" s="276"/>
      <c r="I445" s="270"/>
      <c r="J445" s="277" t="s">
        <v>1</v>
      </c>
      <c r="K445" s="278">
        <f>20000+2500+2000+2000</f>
        <v>26500</v>
      </c>
      <c r="L445" s="279"/>
      <c r="N445" s="35"/>
      <c r="O445" s="36" t="s">
        <v>43</v>
      </c>
      <c r="P445" s="36">
        <v>31</v>
      </c>
      <c r="Q445" s="36">
        <v>0</v>
      </c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2"/>
      <c r="B446" s="270" t="s">
        <v>0</v>
      </c>
      <c r="C446" s="269" t="s">
        <v>122</v>
      </c>
      <c r="D446" s="270"/>
      <c r="E446" s="270"/>
      <c r="F446" s="270"/>
      <c r="G446" s="270"/>
      <c r="H446" s="280"/>
      <c r="I446" s="276"/>
      <c r="J446" s="270"/>
      <c r="K446" s="270"/>
      <c r="L446" s="281"/>
      <c r="M446" s="24"/>
      <c r="N446" s="39"/>
      <c r="O446" s="36" t="s">
        <v>69</v>
      </c>
      <c r="P446" s="36">
        <v>29</v>
      </c>
      <c r="Q446" s="36">
        <v>0</v>
      </c>
      <c r="R446" s="36">
        <f>IF(Q446="","",R445-Q446)</f>
        <v>0</v>
      </c>
      <c r="S446" s="27"/>
      <c r="T446" s="36" t="s">
        <v>69</v>
      </c>
      <c r="U446" s="63">
        <f>IF($J$1="January","",Y445)</f>
        <v>0</v>
      </c>
      <c r="V446" s="38"/>
      <c r="W446" s="63">
        <f>IF(U446="","",U446+V446)</f>
        <v>0</v>
      </c>
      <c r="X446" s="38"/>
      <c r="Y446" s="63">
        <f>IF(W446="","",W446-X446)</f>
        <v>0</v>
      </c>
      <c r="Z446" s="40"/>
      <c r="AA446" s="24"/>
    </row>
    <row r="447" spans="1:29" s="25" customFormat="1" ht="18" customHeight="1" x14ac:dyDescent="0.2">
      <c r="A447" s="272"/>
      <c r="B447" s="282" t="s">
        <v>39</v>
      </c>
      <c r="C447" s="283"/>
      <c r="D447" s="270"/>
      <c r="E447" s="270"/>
      <c r="F447" s="406" t="s">
        <v>41</v>
      </c>
      <c r="G447" s="408"/>
      <c r="H447" s="270"/>
      <c r="I447" s="406" t="s">
        <v>42</v>
      </c>
      <c r="J447" s="407"/>
      <c r="K447" s="408"/>
      <c r="L447" s="284"/>
      <c r="N447" s="35"/>
      <c r="O447" s="36" t="s">
        <v>44</v>
      </c>
      <c r="P447" s="36">
        <v>31</v>
      </c>
      <c r="Q447" s="36">
        <v>0</v>
      </c>
      <c r="R447" s="36">
        <v>0</v>
      </c>
      <c r="S447" s="27"/>
      <c r="T447" s="36" t="s">
        <v>44</v>
      </c>
      <c r="U447" s="63">
        <f>IF($J$1="February","",Y446)</f>
        <v>0</v>
      </c>
      <c r="V447" s="38"/>
      <c r="W447" s="63">
        <f t="shared" ref="W447:W456" si="107">IF(U447="","",U447+V447)</f>
        <v>0</v>
      </c>
      <c r="X447" s="38"/>
      <c r="Y447" s="63">
        <f t="shared" ref="Y447:Y456" si="108">IF(W447="","",W447-X447)</f>
        <v>0</v>
      </c>
      <c r="Z447" s="40"/>
    </row>
    <row r="448" spans="1:29" s="25" customFormat="1" ht="18" customHeight="1" x14ac:dyDescent="0.2">
      <c r="A448" s="272"/>
      <c r="B448" s="270"/>
      <c r="C448" s="270"/>
      <c r="D448" s="270"/>
      <c r="E448" s="270"/>
      <c r="F448" s="270"/>
      <c r="G448" s="270"/>
      <c r="H448" s="285"/>
      <c r="I448" s="270"/>
      <c r="J448" s="270"/>
      <c r="K448" s="270"/>
      <c r="L448" s="286"/>
      <c r="N448" s="35"/>
      <c r="O448" s="36" t="s">
        <v>45</v>
      </c>
      <c r="P448" s="36">
        <v>30</v>
      </c>
      <c r="Q448" s="36">
        <v>0</v>
      </c>
      <c r="R448" s="36">
        <v>0</v>
      </c>
      <c r="S448" s="27"/>
      <c r="T448" s="36" t="s">
        <v>45</v>
      </c>
      <c r="U448" s="63">
        <f>IF($J$1="March","",Y447)</f>
        <v>0</v>
      </c>
      <c r="V448" s="38"/>
      <c r="W448" s="63">
        <f t="shared" si="107"/>
        <v>0</v>
      </c>
      <c r="X448" s="38"/>
      <c r="Y448" s="63">
        <f t="shared" si="108"/>
        <v>0</v>
      </c>
      <c r="Z448" s="40"/>
    </row>
    <row r="449" spans="1:26" s="25" customFormat="1" ht="18" customHeight="1" x14ac:dyDescent="0.2">
      <c r="A449" s="272"/>
      <c r="B449" s="401" t="s">
        <v>40</v>
      </c>
      <c r="C449" s="402"/>
      <c r="D449" s="270"/>
      <c r="E449" s="270"/>
      <c r="F449" s="287" t="s">
        <v>62</v>
      </c>
      <c r="G449" s="288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5"/>
      <c r="I449" s="289">
        <f>IF(C453&gt;=C452,$K$2,C451+C453)</f>
        <v>30</v>
      </c>
      <c r="J449" s="290" t="s">
        <v>59</v>
      </c>
      <c r="K449" s="291">
        <f>K445/$K$2*I449</f>
        <v>26500</v>
      </c>
      <c r="L449" s="292"/>
      <c r="N449" s="35"/>
      <c r="O449" s="36" t="s">
        <v>46</v>
      </c>
      <c r="P449" s="36">
        <v>31</v>
      </c>
      <c r="Q449" s="36">
        <v>0</v>
      </c>
      <c r="R449" s="36">
        <v>0</v>
      </c>
      <c r="S449" s="27"/>
      <c r="T449" s="36" t="s">
        <v>46</v>
      </c>
      <c r="U449" s="63">
        <f>IF($J$1="April","",Y448)</f>
        <v>0</v>
      </c>
      <c r="V449" s="38"/>
      <c r="W449" s="63">
        <f t="shared" si="107"/>
        <v>0</v>
      </c>
      <c r="X449" s="38"/>
      <c r="Y449" s="63">
        <f t="shared" si="108"/>
        <v>0</v>
      </c>
      <c r="Z449" s="40"/>
    </row>
    <row r="450" spans="1:26" s="25" customFormat="1" ht="18" customHeight="1" x14ac:dyDescent="0.2">
      <c r="A450" s="272"/>
      <c r="B450" s="293"/>
      <c r="C450" s="293"/>
      <c r="D450" s="270"/>
      <c r="E450" s="270"/>
      <c r="F450" s="287" t="s">
        <v>18</v>
      </c>
      <c r="G450" s="288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5"/>
      <c r="I450" s="289">
        <v>70</v>
      </c>
      <c r="J450" s="290" t="s">
        <v>60</v>
      </c>
      <c r="K450" s="294">
        <f>K445/$K$2/8*I450</f>
        <v>7729.166666666667</v>
      </c>
      <c r="L450" s="295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>
        <f>IF($J$1="May","",Y449)</f>
        <v>0</v>
      </c>
      <c r="V450" s="38"/>
      <c r="W450" s="63">
        <f t="shared" si="107"/>
        <v>0</v>
      </c>
      <c r="X450" s="38"/>
      <c r="Y450" s="63">
        <f t="shared" si="108"/>
        <v>0</v>
      </c>
      <c r="Z450" s="40"/>
    </row>
    <row r="451" spans="1:26" s="25" customFormat="1" ht="18" customHeight="1" x14ac:dyDescent="0.2">
      <c r="A451" s="272"/>
      <c r="B451" s="287" t="s">
        <v>7</v>
      </c>
      <c r="C451" s="293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0</v>
      </c>
      <c r="D451" s="270"/>
      <c r="E451" s="270"/>
      <c r="F451" s="287" t="s">
        <v>63</v>
      </c>
      <c r="G451" s="288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5"/>
      <c r="I451" s="389" t="s">
        <v>67</v>
      </c>
      <c r="J451" s="390"/>
      <c r="K451" s="294">
        <f>K449+K450</f>
        <v>34229.166666666664</v>
      </c>
      <c r="L451" s="295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07"/>
        <v/>
      </c>
      <c r="X451" s="38"/>
      <c r="Y451" s="63" t="str">
        <f t="shared" si="108"/>
        <v/>
      </c>
      <c r="Z451" s="40"/>
    </row>
    <row r="452" spans="1:26" s="25" customFormat="1" ht="18" customHeight="1" x14ac:dyDescent="0.2">
      <c r="A452" s="272"/>
      <c r="B452" s="287" t="s">
        <v>6</v>
      </c>
      <c r="C452" s="293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0"/>
      <c r="E452" s="270"/>
      <c r="F452" s="287" t="s">
        <v>19</v>
      </c>
      <c r="G452" s="288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5"/>
      <c r="I452" s="389" t="s">
        <v>68</v>
      </c>
      <c r="J452" s="390"/>
      <c r="K452" s="288">
        <f>G452</f>
        <v>0</v>
      </c>
      <c r="L452" s="296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07"/>
        <v/>
      </c>
      <c r="X452" s="38"/>
      <c r="Y452" s="63" t="str">
        <f t="shared" si="108"/>
        <v/>
      </c>
      <c r="Z452" s="40"/>
    </row>
    <row r="453" spans="1:26" s="25" customFormat="1" ht="18" customHeight="1" x14ac:dyDescent="0.2">
      <c r="A453" s="272"/>
      <c r="B453" s="302" t="s">
        <v>66</v>
      </c>
      <c r="C453" s="293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270"/>
      <c r="E453" s="270"/>
      <c r="F453" s="302" t="s">
        <v>195</v>
      </c>
      <c r="G453" s="28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0"/>
      <c r="I453" s="391" t="s">
        <v>61</v>
      </c>
      <c r="J453" s="391"/>
      <c r="K453" s="229">
        <f>K451-K452</f>
        <v>34229.166666666664</v>
      </c>
      <c r="L453" s="297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07"/>
        <v/>
      </c>
      <c r="X453" s="38"/>
      <c r="Y453" s="63" t="str">
        <f t="shared" si="108"/>
        <v/>
      </c>
      <c r="Z453" s="40"/>
    </row>
    <row r="454" spans="1:26" s="25" customFormat="1" ht="18" customHeight="1" x14ac:dyDescent="0.2">
      <c r="A454" s="272"/>
      <c r="B454" s="270"/>
      <c r="C454" s="270"/>
      <c r="D454" s="270"/>
      <c r="E454" s="270"/>
      <c r="F454" s="270"/>
      <c r="G454" s="270"/>
      <c r="H454" s="270"/>
      <c r="I454" s="392"/>
      <c r="J454" s="392"/>
      <c r="K454" s="352"/>
      <c r="L454" s="284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07"/>
        <v/>
      </c>
      <c r="X454" s="38"/>
      <c r="Y454" s="63" t="str">
        <f t="shared" si="108"/>
        <v/>
      </c>
      <c r="Z454" s="40"/>
    </row>
    <row r="455" spans="1:26" s="25" customFormat="1" ht="18" customHeight="1" x14ac:dyDescent="0.3">
      <c r="A455" s="272"/>
      <c r="B455" s="268"/>
      <c r="C455" s="268"/>
      <c r="D455" s="268"/>
      <c r="E455" s="268"/>
      <c r="F455" s="268"/>
      <c r="G455" s="268"/>
      <c r="H455" s="268"/>
      <c r="I455" s="392"/>
      <c r="J455" s="392"/>
      <c r="K455" s="352"/>
      <c r="L455" s="284"/>
      <c r="N455" s="35"/>
      <c r="O455" s="36" t="s">
        <v>55</v>
      </c>
      <c r="P455" s="36"/>
      <c r="Q455" s="36"/>
      <c r="R455" s="36" t="str">
        <f t="shared" ref="R455:R456" si="109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07"/>
        <v/>
      </c>
      <c r="X455" s="38"/>
      <c r="Y455" s="63" t="str">
        <f t="shared" si="108"/>
        <v/>
      </c>
      <c r="Z455" s="40"/>
    </row>
    <row r="456" spans="1:26" s="25" customFormat="1" ht="18" customHeight="1" thickBot="1" x14ac:dyDescent="0.35">
      <c r="A456" s="298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300"/>
      <c r="N456" s="35"/>
      <c r="O456" s="36" t="s">
        <v>56</v>
      </c>
      <c r="P456" s="36"/>
      <c r="Q456" s="36"/>
      <c r="R456" s="36" t="str">
        <f t="shared" si="109"/>
        <v/>
      </c>
      <c r="S456" s="27"/>
      <c r="T456" s="36" t="s">
        <v>56</v>
      </c>
      <c r="U456" s="63">
        <v>0</v>
      </c>
      <c r="V456" s="38"/>
      <c r="W456" s="63">
        <f t="shared" si="107"/>
        <v>0</v>
      </c>
      <c r="X456" s="38"/>
      <c r="Y456" s="63">
        <f t="shared" si="108"/>
        <v>0</v>
      </c>
      <c r="Z456" s="40"/>
    </row>
    <row r="457" spans="1:26" s="56" customFormat="1" ht="18" customHeight="1" thickBot="1" x14ac:dyDescent="0.25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403" t="s">
        <v>38</v>
      </c>
      <c r="B458" s="404"/>
      <c r="C458" s="404"/>
      <c r="D458" s="404"/>
      <c r="E458" s="404"/>
      <c r="F458" s="404"/>
      <c r="G458" s="404"/>
      <c r="H458" s="404"/>
      <c r="I458" s="404"/>
      <c r="J458" s="404"/>
      <c r="K458" s="404"/>
      <c r="L458" s="405"/>
      <c r="M458" s="24"/>
      <c r="N458" s="28"/>
      <c r="O458" s="396" t="s">
        <v>40</v>
      </c>
      <c r="P458" s="397"/>
      <c r="Q458" s="397"/>
      <c r="R458" s="398"/>
      <c r="S458" s="29"/>
      <c r="T458" s="396" t="s">
        <v>41</v>
      </c>
      <c r="U458" s="397"/>
      <c r="V458" s="397"/>
      <c r="W458" s="397"/>
      <c r="X458" s="397"/>
      <c r="Y458" s="398"/>
      <c r="Z458" s="30"/>
    </row>
    <row r="459" spans="1:26" s="25" customFormat="1" ht="18" customHeight="1" x14ac:dyDescent="0.2">
      <c r="A459" s="272"/>
      <c r="B459" s="270"/>
      <c r="C459" s="399" t="s">
        <v>202</v>
      </c>
      <c r="D459" s="399"/>
      <c r="E459" s="399"/>
      <c r="F459" s="399"/>
      <c r="G459" s="273" t="str">
        <f>$J$1</f>
        <v>June</v>
      </c>
      <c r="H459" s="400">
        <f>$K$1</f>
        <v>2024</v>
      </c>
      <c r="I459" s="400"/>
      <c r="J459" s="270"/>
      <c r="K459" s="274"/>
      <c r="L459" s="275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2"/>
      <c r="B460" s="270"/>
      <c r="C460" s="270"/>
      <c r="D460" s="276"/>
      <c r="E460" s="276"/>
      <c r="F460" s="276"/>
      <c r="G460" s="276"/>
      <c r="H460" s="276"/>
      <c r="I460" s="270"/>
      <c r="J460" s="277" t="s">
        <v>1</v>
      </c>
      <c r="K460" s="278">
        <f>20000+2500+2000+2000</f>
        <v>26500</v>
      </c>
      <c r="L460" s="279"/>
      <c r="N460" s="35"/>
      <c r="O460" s="36" t="s">
        <v>43</v>
      </c>
      <c r="P460" s="36">
        <v>31</v>
      </c>
      <c r="Q460" s="36">
        <v>0</v>
      </c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2"/>
      <c r="B461" s="270" t="s">
        <v>0</v>
      </c>
      <c r="C461" s="269" t="s">
        <v>150</v>
      </c>
      <c r="D461" s="270"/>
      <c r="E461" s="270"/>
      <c r="F461" s="270"/>
      <c r="G461" s="270"/>
      <c r="H461" s="280"/>
      <c r="I461" s="276"/>
      <c r="J461" s="270"/>
      <c r="K461" s="270"/>
      <c r="L461" s="281"/>
      <c r="M461" s="24"/>
      <c r="N461" s="39"/>
      <c r="O461" s="36" t="s">
        <v>69</v>
      </c>
      <c r="P461" s="36">
        <v>29</v>
      </c>
      <c r="Q461" s="36">
        <v>0</v>
      </c>
      <c r="R461" s="36">
        <v>0</v>
      </c>
      <c r="S461" s="27"/>
      <c r="T461" s="36" t="s">
        <v>69</v>
      </c>
      <c r="U461" s="63">
        <f>IF($J$1="January","",Y460)</f>
        <v>0</v>
      </c>
      <c r="V461" s="38"/>
      <c r="W461" s="63">
        <f>IF(U461="","",U461+V461)</f>
        <v>0</v>
      </c>
      <c r="X461" s="38"/>
      <c r="Y461" s="63">
        <f>IF(W461="","",W461-X461)</f>
        <v>0</v>
      </c>
      <c r="Z461" s="40"/>
    </row>
    <row r="462" spans="1:26" s="25" customFormat="1" ht="18" customHeight="1" x14ac:dyDescent="0.2">
      <c r="A462" s="272"/>
      <c r="B462" s="282"/>
      <c r="C462" s="283"/>
      <c r="D462" s="270"/>
      <c r="E462" s="270"/>
      <c r="F462" s="406" t="s">
        <v>41</v>
      </c>
      <c r="G462" s="408"/>
      <c r="H462" s="270"/>
      <c r="I462" s="406" t="s">
        <v>42</v>
      </c>
      <c r="J462" s="407"/>
      <c r="K462" s="408"/>
      <c r="L462" s="284"/>
      <c r="N462" s="35"/>
      <c r="O462" s="36" t="s">
        <v>44</v>
      </c>
      <c r="P462" s="36">
        <v>28</v>
      </c>
      <c r="Q462" s="36">
        <v>3</v>
      </c>
      <c r="R462" s="36">
        <v>0</v>
      </c>
      <c r="S462" s="27"/>
      <c r="T462" s="36" t="s">
        <v>44</v>
      </c>
      <c r="U462" s="63">
        <f>IF($J$1="February","",Y461)</f>
        <v>0</v>
      </c>
      <c r="V462" s="38"/>
      <c r="W462" s="63">
        <f t="shared" ref="W462:W471" si="110">IF(U462="","",U462+V462)</f>
        <v>0</v>
      </c>
      <c r="X462" s="38"/>
      <c r="Y462" s="63">
        <f t="shared" ref="Y462:Y471" si="111">IF(W462="","",W462-X462)</f>
        <v>0</v>
      </c>
      <c r="Z462" s="40"/>
    </row>
    <row r="463" spans="1:26" s="25" customFormat="1" ht="18" customHeight="1" x14ac:dyDescent="0.2">
      <c r="A463" s="272"/>
      <c r="B463" s="270"/>
      <c r="C463" s="270"/>
      <c r="D463" s="270"/>
      <c r="E463" s="270"/>
      <c r="F463" s="270"/>
      <c r="G463" s="270"/>
      <c r="H463" s="285"/>
      <c r="I463" s="270"/>
      <c r="J463" s="270"/>
      <c r="K463" s="270"/>
      <c r="L463" s="286"/>
      <c r="N463" s="35"/>
      <c r="O463" s="36" t="s">
        <v>45</v>
      </c>
      <c r="P463" s="36">
        <v>30</v>
      </c>
      <c r="Q463" s="36">
        <v>0</v>
      </c>
      <c r="R463" s="36">
        <v>0</v>
      </c>
      <c r="S463" s="27"/>
      <c r="T463" s="36" t="s">
        <v>45</v>
      </c>
      <c r="U463" s="63">
        <f>IF($J$1="March","",Y462)</f>
        <v>0</v>
      </c>
      <c r="V463" s="38"/>
      <c r="W463" s="63">
        <f t="shared" si="110"/>
        <v>0</v>
      </c>
      <c r="X463" s="38"/>
      <c r="Y463" s="63">
        <f t="shared" si="111"/>
        <v>0</v>
      </c>
      <c r="Z463" s="40"/>
    </row>
    <row r="464" spans="1:26" s="25" customFormat="1" ht="18" customHeight="1" x14ac:dyDescent="0.2">
      <c r="A464" s="272"/>
      <c r="B464" s="401" t="s">
        <v>40</v>
      </c>
      <c r="C464" s="402"/>
      <c r="D464" s="270"/>
      <c r="E464" s="270"/>
      <c r="F464" s="287" t="s">
        <v>62</v>
      </c>
      <c r="G464" s="288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5"/>
      <c r="I464" s="289">
        <f>IF(C468&gt;=C467,$K$2,C466+C468)</f>
        <v>30</v>
      </c>
      <c r="J464" s="290" t="s">
        <v>59</v>
      </c>
      <c r="K464" s="291">
        <f>K460/$K$2*I464</f>
        <v>26500</v>
      </c>
      <c r="L464" s="292"/>
      <c r="N464" s="35"/>
      <c r="O464" s="36" t="s">
        <v>46</v>
      </c>
      <c r="P464" s="36">
        <v>31</v>
      </c>
      <c r="Q464" s="36">
        <v>0</v>
      </c>
      <c r="R464" s="36">
        <v>0</v>
      </c>
      <c r="S464" s="27"/>
      <c r="T464" s="36" t="s">
        <v>46</v>
      </c>
      <c r="U464" s="63">
        <f>IF($J$1="April","",Y463)</f>
        <v>0</v>
      </c>
      <c r="V464" s="38"/>
      <c r="W464" s="63">
        <f t="shared" si="110"/>
        <v>0</v>
      </c>
      <c r="X464" s="38"/>
      <c r="Y464" s="63">
        <f t="shared" si="111"/>
        <v>0</v>
      </c>
      <c r="Z464" s="40"/>
    </row>
    <row r="465" spans="1:27" s="25" customFormat="1" ht="18" customHeight="1" x14ac:dyDescent="0.2">
      <c r="A465" s="272"/>
      <c r="B465" s="293"/>
      <c r="C465" s="293"/>
      <c r="D465" s="270"/>
      <c r="E465" s="270"/>
      <c r="F465" s="287" t="s">
        <v>18</v>
      </c>
      <c r="G465" s="288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5"/>
      <c r="I465" s="289">
        <v>66</v>
      </c>
      <c r="J465" s="290" t="s">
        <v>60</v>
      </c>
      <c r="K465" s="294">
        <f>K460/$K$2/8*I465</f>
        <v>7287.5</v>
      </c>
      <c r="L465" s="295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>
        <f>IF($J$1="May","",Y464)</f>
        <v>0</v>
      </c>
      <c r="V465" s="38"/>
      <c r="W465" s="63">
        <f t="shared" si="110"/>
        <v>0</v>
      </c>
      <c r="X465" s="38"/>
      <c r="Y465" s="63">
        <f t="shared" si="111"/>
        <v>0</v>
      </c>
      <c r="Z465" s="40"/>
    </row>
    <row r="466" spans="1:27" s="25" customFormat="1" ht="18" customHeight="1" x14ac:dyDescent="0.2">
      <c r="A466" s="272"/>
      <c r="B466" s="287" t="s">
        <v>7</v>
      </c>
      <c r="C466" s="293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0</v>
      </c>
      <c r="D466" s="270"/>
      <c r="E466" s="270"/>
      <c r="F466" s="287" t="s">
        <v>63</v>
      </c>
      <c r="G466" s="288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5"/>
      <c r="I466" s="389" t="s">
        <v>67</v>
      </c>
      <c r="J466" s="390"/>
      <c r="K466" s="294">
        <f>K464+K465</f>
        <v>33787.5</v>
      </c>
      <c r="L466" s="295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0"/>
        <v/>
      </c>
      <c r="X466" s="38"/>
      <c r="Y466" s="63" t="str">
        <f t="shared" si="111"/>
        <v/>
      </c>
      <c r="Z466" s="40"/>
    </row>
    <row r="467" spans="1:27" s="25" customFormat="1" ht="18" customHeight="1" x14ac:dyDescent="0.2">
      <c r="A467" s="272"/>
      <c r="B467" s="287" t="s">
        <v>6</v>
      </c>
      <c r="C467" s="293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270"/>
      <c r="E467" s="270"/>
      <c r="F467" s="287" t="s">
        <v>19</v>
      </c>
      <c r="G467" s="288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5"/>
      <c r="I467" s="389" t="s">
        <v>68</v>
      </c>
      <c r="J467" s="390"/>
      <c r="K467" s="288">
        <f>G467</f>
        <v>0</v>
      </c>
      <c r="L467" s="296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0"/>
        <v/>
      </c>
      <c r="X467" s="38"/>
      <c r="Y467" s="63" t="str">
        <f t="shared" si="111"/>
        <v/>
      </c>
      <c r="Z467" s="40"/>
    </row>
    <row r="468" spans="1:27" s="25" customFormat="1" ht="18" customHeight="1" x14ac:dyDescent="0.2">
      <c r="A468" s="272"/>
      <c r="B468" s="302" t="s">
        <v>66</v>
      </c>
      <c r="C468" s="293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0"/>
      <c r="E468" s="270"/>
      <c r="F468" s="302" t="s">
        <v>195</v>
      </c>
      <c r="G468" s="28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0"/>
      <c r="I468" s="391" t="s">
        <v>61</v>
      </c>
      <c r="J468" s="391"/>
      <c r="K468" s="229">
        <f>K466-K467</f>
        <v>33787.5</v>
      </c>
      <c r="L468" s="297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0"/>
        <v/>
      </c>
      <c r="X468" s="38"/>
      <c r="Y468" s="63" t="str">
        <f t="shared" si="111"/>
        <v/>
      </c>
      <c r="Z468" s="40"/>
    </row>
    <row r="469" spans="1:27" s="25" customFormat="1" ht="18" customHeight="1" x14ac:dyDescent="0.2">
      <c r="A469" s="272"/>
      <c r="B469" s="270"/>
      <c r="C469" s="270"/>
      <c r="D469" s="270"/>
      <c r="E469" s="270"/>
      <c r="F469" s="270"/>
      <c r="G469" s="270"/>
      <c r="H469" s="270"/>
      <c r="I469" s="392"/>
      <c r="J469" s="392"/>
      <c r="K469" s="352"/>
      <c r="L469" s="284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0"/>
        <v/>
      </c>
      <c r="X469" s="38"/>
      <c r="Y469" s="63" t="str">
        <f t="shared" si="111"/>
        <v/>
      </c>
      <c r="Z469" s="40"/>
    </row>
    <row r="470" spans="1:27" s="25" customFormat="1" ht="18" customHeight="1" x14ac:dyDescent="0.3">
      <c r="A470" s="272"/>
      <c r="B470" s="268"/>
      <c r="C470" s="268"/>
      <c r="D470" s="268"/>
      <c r="E470" s="268"/>
      <c r="F470" s="268"/>
      <c r="G470" s="268"/>
      <c r="H470" s="268"/>
      <c r="I470" s="392"/>
      <c r="J470" s="392"/>
      <c r="K470" s="352"/>
      <c r="L470" s="284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0"/>
        <v/>
      </c>
      <c r="X470" s="38"/>
      <c r="Y470" s="63" t="str">
        <f t="shared" si="111"/>
        <v/>
      </c>
      <c r="Z470" s="40"/>
    </row>
    <row r="471" spans="1:27" s="25" customFormat="1" ht="18" customHeight="1" thickBot="1" x14ac:dyDescent="0.35">
      <c r="A471" s="298"/>
      <c r="B471" s="299"/>
      <c r="C471" s="299"/>
      <c r="D471" s="299"/>
      <c r="E471" s="299"/>
      <c r="F471" s="299"/>
      <c r="G471" s="299"/>
      <c r="H471" s="299"/>
      <c r="I471" s="299"/>
      <c r="J471" s="299"/>
      <c r="K471" s="354"/>
      <c r="L471" s="300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0"/>
        <v>0</v>
      </c>
      <c r="X471" s="38"/>
      <c r="Y471" s="63">
        <f t="shared" si="111"/>
        <v>0</v>
      </c>
      <c r="Z471" s="40"/>
    </row>
    <row r="472" spans="1:27" s="56" customFormat="1" ht="18" customHeight="1" thickBot="1" x14ac:dyDescent="0.25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403" t="s">
        <v>38</v>
      </c>
      <c r="B473" s="404"/>
      <c r="C473" s="404"/>
      <c r="D473" s="404"/>
      <c r="E473" s="404"/>
      <c r="F473" s="404"/>
      <c r="G473" s="404"/>
      <c r="H473" s="404"/>
      <c r="I473" s="404"/>
      <c r="J473" s="404"/>
      <c r="K473" s="404"/>
      <c r="L473" s="405"/>
      <c r="M473" s="24"/>
      <c r="N473" s="28"/>
      <c r="O473" s="396" t="s">
        <v>40</v>
      </c>
      <c r="P473" s="397"/>
      <c r="Q473" s="397"/>
      <c r="R473" s="398"/>
      <c r="S473" s="29"/>
      <c r="T473" s="396" t="s">
        <v>41</v>
      </c>
      <c r="U473" s="397"/>
      <c r="V473" s="397"/>
      <c r="W473" s="397"/>
      <c r="X473" s="397"/>
      <c r="Y473" s="398"/>
      <c r="Z473" s="30"/>
      <c r="AA473" s="24"/>
    </row>
    <row r="474" spans="1:27" s="25" customFormat="1" ht="18" customHeight="1" x14ac:dyDescent="0.2">
      <c r="A474" s="272"/>
      <c r="B474" s="270"/>
      <c r="C474" s="399" t="s">
        <v>202</v>
      </c>
      <c r="D474" s="399"/>
      <c r="E474" s="399"/>
      <c r="F474" s="399"/>
      <c r="G474" s="273" t="str">
        <f>$J$1</f>
        <v>June</v>
      </c>
      <c r="H474" s="400">
        <f>$K$1</f>
        <v>2024</v>
      </c>
      <c r="I474" s="400"/>
      <c r="J474" s="270"/>
      <c r="K474" s="274"/>
      <c r="L474" s="275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2"/>
      <c r="B475" s="270"/>
      <c r="C475" s="270"/>
      <c r="D475" s="276"/>
      <c r="E475" s="276"/>
      <c r="F475" s="276"/>
      <c r="G475" s="276"/>
      <c r="H475" s="276"/>
      <c r="I475" s="270"/>
      <c r="J475" s="277" t="s">
        <v>1</v>
      </c>
      <c r="K475" s="278">
        <f>30000+2000</f>
        <v>32000</v>
      </c>
      <c r="L475" s="279"/>
      <c r="N475" s="35"/>
      <c r="O475" s="36" t="s">
        <v>43</v>
      </c>
      <c r="P475" s="36">
        <v>31</v>
      </c>
      <c r="Q475" s="36">
        <v>0</v>
      </c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2"/>
      <c r="B476" s="270" t="s">
        <v>0</v>
      </c>
      <c r="C476" s="269" t="s">
        <v>192</v>
      </c>
      <c r="D476" s="270"/>
      <c r="E476" s="270"/>
      <c r="F476" s="270"/>
      <c r="G476" s="270"/>
      <c r="H476" s="280"/>
      <c r="I476" s="276"/>
      <c r="J476" s="270"/>
      <c r="K476" s="270"/>
      <c r="L476" s="281"/>
      <c r="M476" s="24"/>
      <c r="N476" s="39"/>
      <c r="O476" s="36" t="s">
        <v>69</v>
      </c>
      <c r="P476" s="36">
        <v>29</v>
      </c>
      <c r="Q476" s="36">
        <v>0</v>
      </c>
      <c r="R476" s="36">
        <f t="shared" ref="R476:R485" si="112">IF(Q476="","",R475-Q476)</f>
        <v>0</v>
      </c>
      <c r="S476" s="27"/>
      <c r="T476" s="36" t="s">
        <v>69</v>
      </c>
      <c r="U476" s="63">
        <f>IF($J$1="January","",Y475)</f>
        <v>0</v>
      </c>
      <c r="V476" s="38"/>
      <c r="W476" s="63">
        <f>IF(U476="","",U476+V476)</f>
        <v>0</v>
      </c>
      <c r="X476" s="38"/>
      <c r="Y476" s="63">
        <f>IF(W476="","",W476-X476)</f>
        <v>0</v>
      </c>
      <c r="Z476" s="40"/>
      <c r="AA476" s="24"/>
    </row>
    <row r="477" spans="1:27" s="25" customFormat="1" ht="18" customHeight="1" x14ac:dyDescent="0.2">
      <c r="A477" s="272"/>
      <c r="B477" s="282" t="s">
        <v>39</v>
      </c>
      <c r="C477" s="283"/>
      <c r="D477" s="270"/>
      <c r="E477" s="270"/>
      <c r="F477" s="406" t="s">
        <v>41</v>
      </c>
      <c r="G477" s="408"/>
      <c r="H477" s="270"/>
      <c r="I477" s="406" t="s">
        <v>42</v>
      </c>
      <c r="J477" s="407"/>
      <c r="K477" s="408"/>
      <c r="L477" s="284"/>
      <c r="N477" s="35"/>
      <c r="O477" s="36" t="s">
        <v>44</v>
      </c>
      <c r="P477" s="36">
        <v>31</v>
      </c>
      <c r="Q477" s="36">
        <v>0</v>
      </c>
      <c r="R477" s="36">
        <v>0</v>
      </c>
      <c r="S477" s="27"/>
      <c r="T477" s="36" t="s">
        <v>44</v>
      </c>
      <c r="U477" s="63">
        <f>IF($J$1="February","",Y476)</f>
        <v>0</v>
      </c>
      <c r="V477" s="38">
        <v>25000</v>
      </c>
      <c r="W477" s="63">
        <f t="shared" ref="W477" si="113">IF(U477="","",U477+V477)</f>
        <v>25000</v>
      </c>
      <c r="X477" s="38"/>
      <c r="Y477" s="63">
        <f t="shared" ref="Y477" si="114">IF(W477="","",W477-X477)</f>
        <v>25000</v>
      </c>
      <c r="Z477" s="40"/>
    </row>
    <row r="478" spans="1:27" s="25" customFormat="1" ht="18" customHeight="1" x14ac:dyDescent="0.2">
      <c r="A478" s="272"/>
      <c r="B478" s="270"/>
      <c r="C478" s="270"/>
      <c r="D478" s="270"/>
      <c r="E478" s="270"/>
      <c r="F478" s="270"/>
      <c r="G478" s="270"/>
      <c r="H478" s="285"/>
      <c r="I478" s="270"/>
      <c r="J478" s="270"/>
      <c r="K478" s="270"/>
      <c r="L478" s="286"/>
      <c r="N478" s="35"/>
      <c r="O478" s="36" t="s">
        <v>45</v>
      </c>
      <c r="P478" s="36">
        <v>30</v>
      </c>
      <c r="Q478" s="36">
        <v>0</v>
      </c>
      <c r="R478" s="36">
        <f t="shared" si="112"/>
        <v>0</v>
      </c>
      <c r="S478" s="27"/>
      <c r="T478" s="36" t="s">
        <v>45</v>
      </c>
      <c r="U478" s="63">
        <f>Y477</f>
        <v>25000</v>
      </c>
      <c r="V478" s="38"/>
      <c r="W478" s="63">
        <f t="shared" ref="W478:W486" si="115">IF(U478="","",U478+V478)</f>
        <v>25000</v>
      </c>
      <c r="X478" s="38">
        <v>5000</v>
      </c>
      <c r="Y478" s="63">
        <f t="shared" ref="Y478:Y486" si="116">IF(W478="","",W478-X478)</f>
        <v>20000</v>
      </c>
      <c r="Z478" s="40"/>
    </row>
    <row r="479" spans="1:27" s="25" customFormat="1" ht="18" customHeight="1" x14ac:dyDescent="0.2">
      <c r="A479" s="272"/>
      <c r="B479" s="401" t="s">
        <v>40</v>
      </c>
      <c r="C479" s="402"/>
      <c r="D479" s="270"/>
      <c r="E479" s="270"/>
      <c r="F479" s="287" t="s">
        <v>62</v>
      </c>
      <c r="G479" s="288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15000</v>
      </c>
      <c r="H479" s="285"/>
      <c r="I479" s="289">
        <f>IF(C483&gt;=C482,$K$2,C481+C483)</f>
        <v>30</v>
      </c>
      <c r="J479" s="290" t="s">
        <v>59</v>
      </c>
      <c r="K479" s="291">
        <f>K475/$K$2*I479</f>
        <v>32000.000000000004</v>
      </c>
      <c r="L479" s="292"/>
      <c r="N479" s="35"/>
      <c r="O479" s="36" t="s">
        <v>46</v>
      </c>
      <c r="P479" s="36">
        <v>31</v>
      </c>
      <c r="Q479" s="36">
        <v>0</v>
      </c>
      <c r="R479" s="36">
        <f t="shared" si="112"/>
        <v>0</v>
      </c>
      <c r="S479" s="27"/>
      <c r="T479" s="36" t="s">
        <v>46</v>
      </c>
      <c r="U479" s="63">
        <f>Y478</f>
        <v>20000</v>
      </c>
      <c r="V479" s="38"/>
      <c r="W479" s="63">
        <f t="shared" si="115"/>
        <v>20000</v>
      </c>
      <c r="X479" s="38">
        <v>5000</v>
      </c>
      <c r="Y479" s="63">
        <f t="shared" si="116"/>
        <v>15000</v>
      </c>
      <c r="Z479" s="40"/>
    </row>
    <row r="480" spans="1:27" s="25" customFormat="1" ht="18" customHeight="1" x14ac:dyDescent="0.2">
      <c r="A480" s="272"/>
      <c r="B480" s="293"/>
      <c r="C480" s="293"/>
      <c r="D480" s="270"/>
      <c r="E480" s="270"/>
      <c r="F480" s="287" t="s">
        <v>18</v>
      </c>
      <c r="G480" s="288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285"/>
      <c r="I480" s="289">
        <v>18</v>
      </c>
      <c r="J480" s="290" t="s">
        <v>60</v>
      </c>
      <c r="K480" s="294">
        <f>K475/$K$2/8*I480</f>
        <v>2400</v>
      </c>
      <c r="L480" s="295"/>
      <c r="N480" s="35"/>
      <c r="O480" s="36" t="s">
        <v>47</v>
      </c>
      <c r="P480" s="36"/>
      <c r="Q480" s="36"/>
      <c r="R480" s="36" t="str">
        <f t="shared" si="112"/>
        <v/>
      </c>
      <c r="S480" s="27"/>
      <c r="T480" s="36" t="s">
        <v>47</v>
      </c>
      <c r="U480" s="63">
        <f>Y479</f>
        <v>15000</v>
      </c>
      <c r="V480" s="38"/>
      <c r="W480" s="63">
        <f t="shared" si="115"/>
        <v>15000</v>
      </c>
      <c r="X480" s="38">
        <v>3000</v>
      </c>
      <c r="Y480" s="63">
        <f t="shared" si="116"/>
        <v>12000</v>
      </c>
      <c r="Z480" s="40"/>
    </row>
    <row r="481" spans="1:26" s="25" customFormat="1" ht="18" customHeight="1" x14ac:dyDescent="0.2">
      <c r="A481" s="272"/>
      <c r="B481" s="287" t="s">
        <v>7</v>
      </c>
      <c r="C481" s="293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0</v>
      </c>
      <c r="D481" s="270"/>
      <c r="E481" s="270"/>
      <c r="F481" s="287" t="s">
        <v>63</v>
      </c>
      <c r="G481" s="288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15000</v>
      </c>
      <c r="H481" s="285"/>
      <c r="I481" s="389" t="s">
        <v>67</v>
      </c>
      <c r="J481" s="390"/>
      <c r="K481" s="294">
        <f>K479+K480</f>
        <v>34400</v>
      </c>
      <c r="L481" s="295"/>
      <c r="N481" s="35"/>
      <c r="O481" s="36" t="s">
        <v>48</v>
      </c>
      <c r="P481" s="36"/>
      <c r="Q481" s="36"/>
      <c r="R481" s="36" t="str">
        <f t="shared" si="112"/>
        <v/>
      </c>
      <c r="S481" s="27"/>
      <c r="T481" s="36" t="s">
        <v>48</v>
      </c>
      <c r="U481" s="63"/>
      <c r="V481" s="38"/>
      <c r="W481" s="63" t="str">
        <f t="shared" si="115"/>
        <v/>
      </c>
      <c r="X481" s="38"/>
      <c r="Y481" s="63" t="str">
        <f t="shared" si="116"/>
        <v/>
      </c>
      <c r="Z481" s="40"/>
    </row>
    <row r="482" spans="1:26" s="25" customFormat="1" ht="18" customHeight="1" x14ac:dyDescent="0.2">
      <c r="A482" s="272"/>
      <c r="B482" s="287" t="s">
        <v>6</v>
      </c>
      <c r="C482" s="293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0"/>
      <c r="E482" s="270"/>
      <c r="F482" s="287" t="s">
        <v>19</v>
      </c>
      <c r="G482" s="288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3000</v>
      </c>
      <c r="H482" s="285"/>
      <c r="I482" s="389" t="s">
        <v>68</v>
      </c>
      <c r="J482" s="390"/>
      <c r="K482" s="288">
        <f>G482</f>
        <v>3000</v>
      </c>
      <c r="L482" s="296"/>
      <c r="N482" s="35"/>
      <c r="O482" s="36" t="s">
        <v>49</v>
      </c>
      <c r="P482" s="36"/>
      <c r="Q482" s="36"/>
      <c r="R482" s="36" t="str">
        <f t="shared" si="112"/>
        <v/>
      </c>
      <c r="S482" s="27"/>
      <c r="T482" s="36" t="s">
        <v>49</v>
      </c>
      <c r="U482" s="63">
        <v>0</v>
      </c>
      <c r="V482" s="38"/>
      <c r="W482" s="63">
        <f t="shared" si="115"/>
        <v>0</v>
      </c>
      <c r="X482" s="38"/>
      <c r="Y482" s="63">
        <f t="shared" si="116"/>
        <v>0</v>
      </c>
      <c r="Z482" s="40"/>
    </row>
    <row r="483" spans="1:26" s="25" customFormat="1" ht="18" customHeight="1" x14ac:dyDescent="0.2">
      <c r="A483" s="272"/>
      <c r="B483" s="302" t="s">
        <v>66</v>
      </c>
      <c r="C483" s="293" t="str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/>
      </c>
      <c r="D483" s="270"/>
      <c r="E483" s="270"/>
      <c r="F483" s="302" t="s">
        <v>195</v>
      </c>
      <c r="G483" s="28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12000</v>
      </c>
      <c r="H483" s="270"/>
      <c r="I483" s="391" t="s">
        <v>61</v>
      </c>
      <c r="J483" s="391"/>
      <c r="K483" s="229">
        <f>K481-K482</f>
        <v>31400</v>
      </c>
      <c r="L483" s="297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5"/>
        <v/>
      </c>
      <c r="X483" s="38"/>
      <c r="Y483" s="63" t="str">
        <f t="shared" si="116"/>
        <v/>
      </c>
      <c r="Z483" s="40"/>
    </row>
    <row r="484" spans="1:26" s="25" customFormat="1" ht="18" customHeight="1" x14ac:dyDescent="0.2">
      <c r="A484" s="272"/>
      <c r="B484" s="270"/>
      <c r="C484" s="270"/>
      <c r="D484" s="270"/>
      <c r="E484" s="270"/>
      <c r="F484" s="270"/>
      <c r="G484" s="270"/>
      <c r="H484" s="270"/>
      <c r="I484" s="392"/>
      <c r="J484" s="392"/>
      <c r="K484" s="352"/>
      <c r="L484" s="284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5"/>
        <v/>
      </c>
      <c r="X484" s="38"/>
      <c r="Y484" s="63" t="str">
        <f t="shared" si="116"/>
        <v/>
      </c>
      <c r="Z484" s="40"/>
    </row>
    <row r="485" spans="1:26" s="25" customFormat="1" ht="18" customHeight="1" x14ac:dyDescent="0.3">
      <c r="A485" s="272"/>
      <c r="B485" s="268"/>
      <c r="C485" s="268"/>
      <c r="D485" s="268"/>
      <c r="E485" s="268"/>
      <c r="F485" s="268"/>
      <c r="G485" s="268"/>
      <c r="H485" s="268"/>
      <c r="I485" s="392"/>
      <c r="J485" s="392"/>
      <c r="K485" s="352"/>
      <c r="L485" s="284"/>
      <c r="N485" s="35"/>
      <c r="O485" s="36" t="s">
        <v>55</v>
      </c>
      <c r="P485" s="36"/>
      <c r="Q485" s="36"/>
      <c r="R485" s="36" t="str">
        <f t="shared" si="112"/>
        <v/>
      </c>
      <c r="S485" s="27"/>
      <c r="T485" s="36" t="s">
        <v>55</v>
      </c>
      <c r="U485" s="63"/>
      <c r="V485" s="38"/>
      <c r="W485" s="63" t="str">
        <f t="shared" si="115"/>
        <v/>
      </c>
      <c r="X485" s="38"/>
      <c r="Y485" s="63" t="str">
        <f t="shared" si="116"/>
        <v/>
      </c>
      <c r="Z485" s="40"/>
    </row>
    <row r="486" spans="1:26" s="25" customFormat="1" ht="18" customHeight="1" thickBot="1" x14ac:dyDescent="0.35">
      <c r="A486" s="298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300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5"/>
        <v/>
      </c>
      <c r="X486" s="38"/>
      <c r="Y486" s="63" t="str">
        <f t="shared" si="116"/>
        <v/>
      </c>
      <c r="Z486" s="40"/>
    </row>
    <row r="487" spans="1:26" s="56" customFormat="1" ht="18" customHeight="1" thickBot="1" x14ac:dyDescent="0.25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403" t="s">
        <v>38</v>
      </c>
      <c r="B488" s="404"/>
      <c r="C488" s="404"/>
      <c r="D488" s="404"/>
      <c r="E488" s="404"/>
      <c r="F488" s="404"/>
      <c r="G488" s="404"/>
      <c r="H488" s="404"/>
      <c r="I488" s="404"/>
      <c r="J488" s="404"/>
      <c r="K488" s="404"/>
      <c r="L488" s="405"/>
      <c r="M488" s="24"/>
      <c r="N488" s="28"/>
      <c r="O488" s="396" t="s">
        <v>40</v>
      </c>
      <c r="P488" s="397"/>
      <c r="Q488" s="397"/>
      <c r="R488" s="398"/>
      <c r="S488" s="29"/>
      <c r="T488" s="396" t="s">
        <v>41</v>
      </c>
      <c r="U488" s="397"/>
      <c r="V488" s="397"/>
      <c r="W488" s="397"/>
      <c r="X488" s="397"/>
      <c r="Y488" s="398"/>
      <c r="Z488" s="30"/>
    </row>
    <row r="489" spans="1:26" s="25" customFormat="1" ht="18" customHeight="1" x14ac:dyDescent="0.2">
      <c r="A489" s="272"/>
      <c r="B489" s="270"/>
      <c r="C489" s="399" t="s">
        <v>202</v>
      </c>
      <c r="D489" s="399"/>
      <c r="E489" s="399"/>
      <c r="F489" s="399"/>
      <c r="G489" s="273" t="str">
        <f>$J$1</f>
        <v>June</v>
      </c>
      <c r="H489" s="400">
        <f>$K$1</f>
        <v>2024</v>
      </c>
      <c r="I489" s="400"/>
      <c r="J489" s="270"/>
      <c r="K489" s="274"/>
      <c r="L489" s="275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2"/>
      <c r="B490" s="270"/>
      <c r="C490" s="270"/>
      <c r="D490" s="276"/>
      <c r="E490" s="276"/>
      <c r="F490" s="276"/>
      <c r="G490" s="276"/>
      <c r="H490" s="276"/>
      <c r="I490" s="270"/>
      <c r="J490" s="277" t="s">
        <v>1</v>
      </c>
      <c r="K490" s="278">
        <f>25000+2500+2000+2000</f>
        <v>31500</v>
      </c>
      <c r="L490" s="279"/>
      <c r="N490" s="35"/>
      <c r="O490" s="36" t="s">
        <v>43</v>
      </c>
      <c r="P490" s="36">
        <v>31</v>
      </c>
      <c r="Q490" s="36">
        <v>0</v>
      </c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2"/>
      <c r="B491" s="270" t="s">
        <v>0</v>
      </c>
      <c r="C491" s="269" t="s">
        <v>101</v>
      </c>
      <c r="D491" s="270"/>
      <c r="E491" s="270"/>
      <c r="F491" s="270"/>
      <c r="G491" s="270"/>
      <c r="H491" s="280"/>
      <c r="I491" s="276"/>
      <c r="J491" s="270"/>
      <c r="K491" s="270"/>
      <c r="L491" s="281"/>
      <c r="M491" s="24"/>
      <c r="N491" s="39"/>
      <c r="O491" s="36" t="s">
        <v>69</v>
      </c>
      <c r="P491" s="36">
        <v>29</v>
      </c>
      <c r="Q491" s="36">
        <v>0</v>
      </c>
      <c r="R491" s="36">
        <v>0</v>
      </c>
      <c r="S491" s="27"/>
      <c r="T491" s="36" t="s">
        <v>69</v>
      </c>
      <c r="U491" s="63">
        <f>IF($J$1="January","",Y490)</f>
        <v>0</v>
      </c>
      <c r="V491" s="38"/>
      <c r="W491" s="63">
        <f>IF(U491="","",U491+V491)</f>
        <v>0</v>
      </c>
      <c r="X491" s="38"/>
      <c r="Y491" s="63">
        <f>IF(W491="","",W491-X491)</f>
        <v>0</v>
      </c>
      <c r="Z491" s="40"/>
    </row>
    <row r="492" spans="1:26" s="25" customFormat="1" ht="18" customHeight="1" x14ac:dyDescent="0.2">
      <c r="A492" s="272"/>
      <c r="B492" s="282" t="s">
        <v>39</v>
      </c>
      <c r="C492" s="283"/>
      <c r="D492" s="270"/>
      <c r="E492" s="270"/>
      <c r="F492" s="406" t="s">
        <v>41</v>
      </c>
      <c r="G492" s="408"/>
      <c r="H492" s="270"/>
      <c r="I492" s="406" t="s">
        <v>42</v>
      </c>
      <c r="J492" s="407"/>
      <c r="K492" s="408"/>
      <c r="L492" s="284"/>
      <c r="N492" s="35"/>
      <c r="O492" s="36" t="s">
        <v>44</v>
      </c>
      <c r="P492" s="36">
        <v>31</v>
      </c>
      <c r="Q492" s="36">
        <v>0</v>
      </c>
      <c r="R492" s="36">
        <v>0</v>
      </c>
      <c r="S492" s="27"/>
      <c r="T492" s="36" t="s">
        <v>44</v>
      </c>
      <c r="U492" s="63">
        <f>IF($J$1="February","",Y491)</f>
        <v>0</v>
      </c>
      <c r="V492" s="38"/>
      <c r="W492" s="63">
        <f t="shared" ref="W492:W501" si="117">IF(U492="","",U492+V492)</f>
        <v>0</v>
      </c>
      <c r="X492" s="38"/>
      <c r="Y492" s="63">
        <f t="shared" ref="Y492:Y501" si="118">IF(W492="","",W492-X492)</f>
        <v>0</v>
      </c>
      <c r="Z492" s="40"/>
    </row>
    <row r="493" spans="1:26" s="25" customFormat="1" ht="18" customHeight="1" x14ac:dyDescent="0.2">
      <c r="A493" s="272"/>
      <c r="B493" s="270"/>
      <c r="C493" s="270"/>
      <c r="D493" s="270"/>
      <c r="E493" s="270"/>
      <c r="F493" s="270"/>
      <c r="G493" s="270"/>
      <c r="H493" s="285"/>
      <c r="I493" s="270"/>
      <c r="J493" s="270"/>
      <c r="K493" s="270"/>
      <c r="L493" s="286"/>
      <c r="N493" s="35"/>
      <c r="O493" s="36" t="s">
        <v>45</v>
      </c>
      <c r="P493" s="36">
        <v>30</v>
      </c>
      <c r="Q493" s="36">
        <v>0</v>
      </c>
      <c r="R493" s="36">
        <v>0</v>
      </c>
      <c r="S493" s="27"/>
      <c r="T493" s="36" t="s">
        <v>45</v>
      </c>
      <c r="U493" s="63">
        <f>IF($J$1="March","",Y492)</f>
        <v>0</v>
      </c>
      <c r="V493" s="38"/>
      <c r="W493" s="63">
        <f t="shared" si="117"/>
        <v>0</v>
      </c>
      <c r="X493" s="38"/>
      <c r="Y493" s="63">
        <f t="shared" si="118"/>
        <v>0</v>
      </c>
      <c r="Z493" s="40"/>
    </row>
    <row r="494" spans="1:26" s="25" customFormat="1" ht="18" customHeight="1" x14ac:dyDescent="0.2">
      <c r="A494" s="272"/>
      <c r="B494" s="401" t="s">
        <v>40</v>
      </c>
      <c r="C494" s="402"/>
      <c r="D494" s="270"/>
      <c r="E494" s="270"/>
      <c r="F494" s="287" t="s">
        <v>62</v>
      </c>
      <c r="G494" s="288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5"/>
      <c r="I494" s="289">
        <f>IF(C498&gt;=C497,$K$2,C496+C498)</f>
        <v>30</v>
      </c>
      <c r="J494" s="290" t="s">
        <v>59</v>
      </c>
      <c r="K494" s="291">
        <f>K490/$K$2*I494</f>
        <v>31500</v>
      </c>
      <c r="L494" s="292"/>
      <c r="N494" s="35"/>
      <c r="O494" s="36" t="s">
        <v>46</v>
      </c>
      <c r="P494" s="36">
        <v>31</v>
      </c>
      <c r="Q494" s="36">
        <v>0</v>
      </c>
      <c r="R494" s="36">
        <v>0</v>
      </c>
      <c r="S494" s="27"/>
      <c r="T494" s="36" t="s">
        <v>46</v>
      </c>
      <c r="U494" s="63">
        <f>IF($J$1="April","",Y493)</f>
        <v>0</v>
      </c>
      <c r="V494" s="38"/>
      <c r="W494" s="63">
        <f t="shared" si="117"/>
        <v>0</v>
      </c>
      <c r="X494" s="38"/>
      <c r="Y494" s="63">
        <f t="shared" si="118"/>
        <v>0</v>
      </c>
      <c r="Z494" s="40"/>
    </row>
    <row r="495" spans="1:26" s="25" customFormat="1" ht="18" customHeight="1" x14ac:dyDescent="0.2">
      <c r="A495" s="272"/>
      <c r="B495" s="293"/>
      <c r="C495" s="293"/>
      <c r="D495" s="270"/>
      <c r="E495" s="270"/>
      <c r="F495" s="287" t="s">
        <v>18</v>
      </c>
      <c r="G495" s="288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5"/>
      <c r="I495" s="289">
        <v>50</v>
      </c>
      <c r="J495" s="290" t="s">
        <v>60</v>
      </c>
      <c r="K495" s="294">
        <f>K490/$K$2/8*I495</f>
        <v>6562.5</v>
      </c>
      <c r="L495" s="295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>
        <f>IF($J$1="May","",Y494)</f>
        <v>0</v>
      </c>
      <c r="V495" s="38"/>
      <c r="W495" s="63">
        <f t="shared" si="117"/>
        <v>0</v>
      </c>
      <c r="X495" s="38"/>
      <c r="Y495" s="63">
        <f t="shared" si="118"/>
        <v>0</v>
      </c>
      <c r="Z495" s="40"/>
    </row>
    <row r="496" spans="1:26" s="25" customFormat="1" ht="18" customHeight="1" x14ac:dyDescent="0.2">
      <c r="A496" s="272"/>
      <c r="B496" s="287" t="s">
        <v>7</v>
      </c>
      <c r="C496" s="293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0</v>
      </c>
      <c r="D496" s="270"/>
      <c r="E496" s="270"/>
      <c r="F496" s="287" t="s">
        <v>63</v>
      </c>
      <c r="G496" s="288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5"/>
      <c r="I496" s="389" t="s">
        <v>67</v>
      </c>
      <c r="J496" s="390"/>
      <c r="K496" s="294">
        <f>K494+K495</f>
        <v>38062.5</v>
      </c>
      <c r="L496" s="295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17"/>
        <v/>
      </c>
      <c r="X496" s="38"/>
      <c r="Y496" s="63" t="str">
        <f t="shared" si="118"/>
        <v/>
      </c>
      <c r="Z496" s="40"/>
    </row>
    <row r="497" spans="1:27" s="25" customFormat="1" ht="18" customHeight="1" x14ac:dyDescent="0.2">
      <c r="A497" s="272"/>
      <c r="B497" s="287" t="s">
        <v>6</v>
      </c>
      <c r="C497" s="293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0"/>
      <c r="E497" s="270"/>
      <c r="F497" s="287" t="s">
        <v>19</v>
      </c>
      <c r="G497" s="288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5"/>
      <c r="I497" s="389" t="s">
        <v>68</v>
      </c>
      <c r="J497" s="390"/>
      <c r="K497" s="288">
        <f>G497</f>
        <v>0</v>
      </c>
      <c r="L497" s="296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17"/>
        <v/>
      </c>
      <c r="X497" s="38"/>
      <c r="Y497" s="63" t="str">
        <f t="shared" si="118"/>
        <v/>
      </c>
      <c r="Z497" s="40"/>
    </row>
    <row r="498" spans="1:27" s="25" customFormat="1" ht="18" customHeight="1" x14ac:dyDescent="0.2">
      <c r="A498" s="272"/>
      <c r="B498" s="302" t="s">
        <v>66</v>
      </c>
      <c r="C498" s="293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0"/>
      <c r="E498" s="270"/>
      <c r="F498" s="302" t="s">
        <v>195</v>
      </c>
      <c r="G498" s="28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0"/>
      <c r="I498" s="391" t="s">
        <v>61</v>
      </c>
      <c r="J498" s="391"/>
      <c r="K498" s="229">
        <f>K496-K497</f>
        <v>38062.5</v>
      </c>
      <c r="L498" s="297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17"/>
        <v/>
      </c>
      <c r="X498" s="38"/>
      <c r="Y498" s="63" t="str">
        <f t="shared" si="118"/>
        <v/>
      </c>
      <c r="Z498" s="40"/>
    </row>
    <row r="499" spans="1:27" s="25" customFormat="1" ht="18" customHeight="1" x14ac:dyDescent="0.2">
      <c r="A499" s="272"/>
      <c r="B499" s="270"/>
      <c r="C499" s="270"/>
      <c r="D499" s="270"/>
      <c r="E499" s="270"/>
      <c r="F499" s="270"/>
      <c r="G499" s="270"/>
      <c r="H499" s="270"/>
      <c r="I499" s="392"/>
      <c r="J499" s="392"/>
      <c r="K499" s="352"/>
      <c r="L499" s="284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17"/>
        <v/>
      </c>
      <c r="X499" s="38"/>
      <c r="Y499" s="63" t="str">
        <f t="shared" si="118"/>
        <v/>
      </c>
      <c r="Z499" s="40"/>
    </row>
    <row r="500" spans="1:27" s="25" customFormat="1" ht="18" customHeight="1" x14ac:dyDescent="0.3">
      <c r="A500" s="272"/>
      <c r="B500" s="268"/>
      <c r="C500" s="268"/>
      <c r="D500" s="268"/>
      <c r="E500" s="268"/>
      <c r="F500" s="268"/>
      <c r="G500" s="268"/>
      <c r="H500" s="268"/>
      <c r="I500" s="392"/>
      <c r="J500" s="392"/>
      <c r="K500" s="352"/>
      <c r="L500" s="284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17"/>
        <v/>
      </c>
      <c r="X500" s="38"/>
      <c r="Y500" s="63" t="str">
        <f t="shared" si="118"/>
        <v/>
      </c>
      <c r="Z500" s="40"/>
    </row>
    <row r="501" spans="1:27" s="25" customFormat="1" ht="18" customHeight="1" thickBot="1" x14ac:dyDescent="0.35">
      <c r="A501" s="298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300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17"/>
        <v/>
      </c>
      <c r="X501" s="38"/>
      <c r="Y501" s="63" t="str">
        <f t="shared" si="118"/>
        <v/>
      </c>
      <c r="Z501" s="40"/>
    </row>
    <row r="502" spans="1:27" s="56" customFormat="1" ht="18" customHeight="1" thickBot="1" x14ac:dyDescent="0.25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403" t="s">
        <v>38</v>
      </c>
      <c r="B503" s="404"/>
      <c r="C503" s="404"/>
      <c r="D503" s="404"/>
      <c r="E503" s="404"/>
      <c r="F503" s="404"/>
      <c r="G503" s="404"/>
      <c r="H503" s="404"/>
      <c r="I503" s="404"/>
      <c r="J503" s="404"/>
      <c r="K503" s="404"/>
      <c r="L503" s="405"/>
      <c r="M503" s="24"/>
      <c r="N503" s="28"/>
      <c r="O503" s="396" t="s">
        <v>40</v>
      </c>
      <c r="P503" s="397"/>
      <c r="Q503" s="397"/>
      <c r="R503" s="398"/>
      <c r="S503" s="29"/>
      <c r="T503" s="396" t="s">
        <v>41</v>
      </c>
      <c r="U503" s="397"/>
      <c r="V503" s="397"/>
      <c r="W503" s="397"/>
      <c r="X503" s="397"/>
      <c r="Y503" s="398"/>
      <c r="Z503" s="30"/>
      <c r="AA503" s="24"/>
    </row>
    <row r="504" spans="1:27" s="25" customFormat="1" ht="18" customHeight="1" x14ac:dyDescent="0.2">
      <c r="A504" s="272"/>
      <c r="B504" s="270"/>
      <c r="C504" s="399" t="s">
        <v>202</v>
      </c>
      <c r="D504" s="399"/>
      <c r="E504" s="399"/>
      <c r="F504" s="399"/>
      <c r="G504" s="273" t="str">
        <f>$J$1</f>
        <v>June</v>
      </c>
      <c r="H504" s="400">
        <f>$K$1</f>
        <v>2024</v>
      </c>
      <c r="I504" s="400"/>
      <c r="J504" s="270"/>
      <c r="K504" s="274"/>
      <c r="L504" s="275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2"/>
      <c r="B505" s="270"/>
      <c r="C505" s="270"/>
      <c r="D505" s="276"/>
      <c r="E505" s="276"/>
      <c r="F505" s="276"/>
      <c r="G505" s="276"/>
      <c r="H505" s="276"/>
      <c r="I505" s="270"/>
      <c r="J505" s="277" t="s">
        <v>1</v>
      </c>
      <c r="K505" s="278">
        <f>22500+2500+2000+3000</f>
        <v>30000</v>
      </c>
      <c r="L505" s="279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2"/>
      <c r="B506" s="270" t="s">
        <v>0</v>
      </c>
      <c r="C506" s="269" t="s">
        <v>136</v>
      </c>
      <c r="D506" s="270"/>
      <c r="E506" s="270"/>
      <c r="F506" s="270"/>
      <c r="G506" s="270"/>
      <c r="H506" s="280"/>
      <c r="I506" s="276"/>
      <c r="J506" s="270"/>
      <c r="K506" s="270"/>
      <c r="L506" s="281"/>
      <c r="M506" s="24"/>
      <c r="N506" s="39"/>
      <c r="O506" s="36" t="s">
        <v>69</v>
      </c>
      <c r="P506" s="36">
        <v>29</v>
      </c>
      <c r="Q506" s="36">
        <v>0</v>
      </c>
      <c r="R506" s="36">
        <v>0</v>
      </c>
      <c r="S506" s="27"/>
      <c r="T506" s="36" t="s">
        <v>69</v>
      </c>
      <c r="U506" s="63">
        <f>Y505</f>
        <v>55000</v>
      </c>
      <c r="V506" s="38"/>
      <c r="W506" s="63">
        <f>IF(U506="","",U506+V506)</f>
        <v>55000</v>
      </c>
      <c r="X506" s="38">
        <v>5000</v>
      </c>
      <c r="Y506" s="63">
        <f>IF(W506="","",W506-X506)</f>
        <v>50000</v>
      </c>
      <c r="Z506" s="40"/>
      <c r="AA506" s="24"/>
    </row>
    <row r="507" spans="1:27" s="25" customFormat="1" ht="18" customHeight="1" x14ac:dyDescent="0.2">
      <c r="A507" s="272"/>
      <c r="B507" s="282" t="s">
        <v>39</v>
      </c>
      <c r="C507" s="283"/>
      <c r="D507" s="270"/>
      <c r="E507" s="270"/>
      <c r="F507" s="406" t="s">
        <v>41</v>
      </c>
      <c r="G507" s="408"/>
      <c r="H507" s="270"/>
      <c r="I507" s="406" t="s">
        <v>42</v>
      </c>
      <c r="J507" s="407"/>
      <c r="K507" s="408"/>
      <c r="L507" s="284"/>
      <c r="N507" s="35"/>
      <c r="O507" s="36" t="s">
        <v>44</v>
      </c>
      <c r="P507" s="36">
        <v>31</v>
      </c>
      <c r="Q507" s="36">
        <v>0</v>
      </c>
      <c r="R507" s="36">
        <v>0</v>
      </c>
      <c r="S507" s="27"/>
      <c r="T507" s="36" t="s">
        <v>44</v>
      </c>
      <c r="U507" s="63">
        <f>Y506</f>
        <v>50000</v>
      </c>
      <c r="V507" s="38"/>
      <c r="W507" s="63">
        <f t="shared" ref="W507:W516" si="119">IF(U507="","",U507+V507)</f>
        <v>50000</v>
      </c>
      <c r="X507" s="38">
        <v>5000</v>
      </c>
      <c r="Y507" s="63">
        <f t="shared" ref="Y507:Y516" si="120">IF(W507="","",W507-X507)</f>
        <v>45000</v>
      </c>
      <c r="Z507" s="40"/>
    </row>
    <row r="508" spans="1:27" s="25" customFormat="1" ht="18" customHeight="1" x14ac:dyDescent="0.2">
      <c r="A508" s="272"/>
      <c r="B508" s="270"/>
      <c r="C508" s="270"/>
      <c r="D508" s="270"/>
      <c r="E508" s="270"/>
      <c r="F508" s="270"/>
      <c r="G508" s="270"/>
      <c r="H508" s="285"/>
      <c r="I508" s="270"/>
      <c r="J508" s="270"/>
      <c r="K508" s="270"/>
      <c r="L508" s="286"/>
      <c r="N508" s="35"/>
      <c r="O508" s="36" t="s">
        <v>45</v>
      </c>
      <c r="P508" s="36">
        <v>29</v>
      </c>
      <c r="Q508" s="36">
        <v>1</v>
      </c>
      <c r="R508" s="36">
        <v>0</v>
      </c>
      <c r="S508" s="27"/>
      <c r="T508" s="36" t="s">
        <v>45</v>
      </c>
      <c r="U508" s="63">
        <f>IF($J$1="March","",Y507)</f>
        <v>45000</v>
      </c>
      <c r="V508" s="38"/>
      <c r="W508" s="63">
        <f t="shared" si="119"/>
        <v>45000</v>
      </c>
      <c r="X508" s="38">
        <v>5000</v>
      </c>
      <c r="Y508" s="63">
        <f t="shared" si="120"/>
        <v>40000</v>
      </c>
      <c r="Z508" s="40"/>
    </row>
    <row r="509" spans="1:27" s="25" customFormat="1" ht="18" customHeight="1" x14ac:dyDescent="0.2">
      <c r="A509" s="272"/>
      <c r="B509" s="401" t="s">
        <v>40</v>
      </c>
      <c r="C509" s="402"/>
      <c r="D509" s="270"/>
      <c r="E509" s="270"/>
      <c r="F509" s="287" t="s">
        <v>62</v>
      </c>
      <c r="G509" s="288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35000</v>
      </c>
      <c r="H509" s="285"/>
      <c r="I509" s="289">
        <f>IF(C513&gt;=C512,$K$2,C511+C513)</f>
        <v>30</v>
      </c>
      <c r="J509" s="290" t="s">
        <v>59</v>
      </c>
      <c r="K509" s="291">
        <f>K505/$K$2*I509</f>
        <v>30000</v>
      </c>
      <c r="L509" s="292"/>
      <c r="N509" s="35"/>
      <c r="O509" s="36" t="s">
        <v>46</v>
      </c>
      <c r="P509" s="36">
        <v>31</v>
      </c>
      <c r="Q509" s="36">
        <v>0</v>
      </c>
      <c r="R509" s="36">
        <v>0</v>
      </c>
      <c r="S509" s="27"/>
      <c r="T509" s="36" t="s">
        <v>46</v>
      </c>
      <c r="U509" s="63">
        <f>Y508</f>
        <v>40000</v>
      </c>
      <c r="V509" s="38"/>
      <c r="W509" s="63">
        <f t="shared" si="119"/>
        <v>40000</v>
      </c>
      <c r="X509" s="38">
        <v>5000</v>
      </c>
      <c r="Y509" s="63">
        <f t="shared" si="120"/>
        <v>35000</v>
      </c>
      <c r="Z509" s="40"/>
    </row>
    <row r="510" spans="1:27" s="25" customFormat="1" ht="18" customHeight="1" x14ac:dyDescent="0.2">
      <c r="A510" s="272"/>
      <c r="B510" s="293"/>
      <c r="C510" s="293"/>
      <c r="D510" s="270"/>
      <c r="E510" s="270"/>
      <c r="F510" s="287" t="s">
        <v>18</v>
      </c>
      <c r="G510" s="288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5"/>
      <c r="I510" s="289">
        <v>53</v>
      </c>
      <c r="J510" s="290" t="s">
        <v>60</v>
      </c>
      <c r="K510" s="294">
        <f>K505/$K$2/8*I510</f>
        <v>6625</v>
      </c>
      <c r="L510" s="295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>
        <f>Y509</f>
        <v>35000</v>
      </c>
      <c r="V510" s="38"/>
      <c r="W510" s="63">
        <f t="shared" si="119"/>
        <v>35000</v>
      </c>
      <c r="X510" s="38">
        <v>5000</v>
      </c>
      <c r="Y510" s="63">
        <f t="shared" si="120"/>
        <v>30000</v>
      </c>
      <c r="Z510" s="40"/>
    </row>
    <row r="511" spans="1:27" s="25" customFormat="1" ht="18" customHeight="1" x14ac:dyDescent="0.2">
      <c r="A511" s="272"/>
      <c r="B511" s="287" t="s">
        <v>7</v>
      </c>
      <c r="C511" s="293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0</v>
      </c>
      <c r="D511" s="270"/>
      <c r="E511" s="270"/>
      <c r="F511" s="287" t="s">
        <v>63</v>
      </c>
      <c r="G511" s="288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35000</v>
      </c>
      <c r="H511" s="285"/>
      <c r="I511" s="389" t="s">
        <v>67</v>
      </c>
      <c r="J511" s="390"/>
      <c r="K511" s="294">
        <f>K509+K510</f>
        <v>36625</v>
      </c>
      <c r="L511" s="295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19"/>
        <v/>
      </c>
      <c r="X511" s="38"/>
      <c r="Y511" s="63" t="str">
        <f t="shared" si="120"/>
        <v/>
      </c>
      <c r="Z511" s="40"/>
    </row>
    <row r="512" spans="1:27" s="25" customFormat="1" ht="18" customHeight="1" x14ac:dyDescent="0.2">
      <c r="A512" s="272"/>
      <c r="B512" s="287" t="s">
        <v>6</v>
      </c>
      <c r="C512" s="293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270"/>
      <c r="E512" s="270"/>
      <c r="F512" s="287" t="s">
        <v>19</v>
      </c>
      <c r="G512" s="288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285"/>
      <c r="I512" s="389" t="s">
        <v>68</v>
      </c>
      <c r="J512" s="390"/>
      <c r="K512" s="288">
        <f>G512</f>
        <v>5000</v>
      </c>
      <c r="L512" s="296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19"/>
        <v/>
      </c>
      <c r="X512" s="38"/>
      <c r="Y512" s="63" t="str">
        <f t="shared" si="120"/>
        <v/>
      </c>
      <c r="Z512" s="40"/>
    </row>
    <row r="513" spans="1:27" s="25" customFormat="1" ht="18" customHeight="1" x14ac:dyDescent="0.2">
      <c r="A513" s="272"/>
      <c r="B513" s="302" t="s">
        <v>66</v>
      </c>
      <c r="C513" s="293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0"/>
      <c r="E513" s="270"/>
      <c r="F513" s="302" t="s">
        <v>195</v>
      </c>
      <c r="G513" s="28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30000</v>
      </c>
      <c r="H513" s="270"/>
      <c r="I513" s="391" t="s">
        <v>61</v>
      </c>
      <c r="J513" s="391"/>
      <c r="K513" s="229">
        <f>K511-K512</f>
        <v>31625</v>
      </c>
      <c r="L513" s="297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19"/>
        <v/>
      </c>
      <c r="X513" s="38"/>
      <c r="Y513" s="63" t="str">
        <f t="shared" si="120"/>
        <v/>
      </c>
      <c r="Z513" s="40"/>
    </row>
    <row r="514" spans="1:27" s="25" customFormat="1" ht="18" customHeight="1" x14ac:dyDescent="0.2">
      <c r="A514" s="272"/>
      <c r="B514" s="270"/>
      <c r="C514" s="270"/>
      <c r="D514" s="270"/>
      <c r="E514" s="270"/>
      <c r="F514" s="270"/>
      <c r="G514" s="270"/>
      <c r="H514" s="270"/>
      <c r="I514" s="392"/>
      <c r="J514" s="392"/>
      <c r="K514" s="352"/>
      <c r="L514" s="284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19"/>
        <v/>
      </c>
      <c r="X514" s="38"/>
      <c r="Y514" s="63" t="str">
        <f t="shared" si="120"/>
        <v/>
      </c>
      <c r="Z514" s="40"/>
    </row>
    <row r="515" spans="1:27" s="25" customFormat="1" ht="18" customHeight="1" x14ac:dyDescent="0.3">
      <c r="A515" s="272"/>
      <c r="B515" s="268"/>
      <c r="C515" s="268"/>
      <c r="D515" s="268"/>
      <c r="E515" s="268"/>
      <c r="F515" s="268"/>
      <c r="G515" s="268"/>
      <c r="H515" s="268"/>
      <c r="I515" s="392"/>
      <c r="J515" s="392"/>
      <c r="K515" s="352"/>
      <c r="L515" s="284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19"/>
        <v/>
      </c>
      <c r="X515" s="38"/>
      <c r="Y515" s="63" t="str">
        <f t="shared" si="120"/>
        <v/>
      </c>
      <c r="Z515" s="40"/>
    </row>
    <row r="516" spans="1:27" s="25" customFormat="1" ht="18" customHeight="1" thickBot="1" x14ac:dyDescent="0.35">
      <c r="A516" s="298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300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19"/>
        <v/>
      </c>
      <c r="X516" s="38"/>
      <c r="Y516" s="63" t="str">
        <f t="shared" si="120"/>
        <v/>
      </c>
      <c r="Z516" s="40"/>
    </row>
    <row r="517" spans="1:27" s="56" customFormat="1" ht="18" customHeight="1" thickBot="1" x14ac:dyDescent="0.25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403" t="s">
        <v>38</v>
      </c>
      <c r="B518" s="404"/>
      <c r="C518" s="404"/>
      <c r="D518" s="404"/>
      <c r="E518" s="404"/>
      <c r="F518" s="404"/>
      <c r="G518" s="404"/>
      <c r="H518" s="404"/>
      <c r="I518" s="404"/>
      <c r="J518" s="404"/>
      <c r="K518" s="404"/>
      <c r="L518" s="405"/>
      <c r="M518" s="24"/>
      <c r="N518" s="28"/>
      <c r="O518" s="396" t="s">
        <v>40</v>
      </c>
      <c r="P518" s="397"/>
      <c r="Q518" s="397"/>
      <c r="R518" s="398"/>
      <c r="S518" s="29"/>
      <c r="T518" s="396" t="s">
        <v>41</v>
      </c>
      <c r="U518" s="397"/>
      <c r="V518" s="397"/>
      <c r="W518" s="397"/>
      <c r="X518" s="397"/>
      <c r="Y518" s="398"/>
      <c r="Z518" s="30"/>
      <c r="AA518" s="24"/>
    </row>
    <row r="519" spans="1:27" s="25" customFormat="1" ht="18" customHeight="1" x14ac:dyDescent="0.2">
      <c r="A519" s="272"/>
      <c r="B519" s="270"/>
      <c r="C519" s="399" t="s">
        <v>202</v>
      </c>
      <c r="D519" s="399"/>
      <c r="E519" s="399"/>
      <c r="F519" s="399"/>
      <c r="G519" s="273" t="str">
        <f>$J$1</f>
        <v>June</v>
      </c>
      <c r="H519" s="400">
        <f>$K$1</f>
        <v>2024</v>
      </c>
      <c r="I519" s="400"/>
      <c r="J519" s="270"/>
      <c r="K519" s="274"/>
      <c r="L519" s="275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2"/>
      <c r="B520" s="270"/>
      <c r="C520" s="270"/>
      <c r="D520" s="276"/>
      <c r="E520" s="276"/>
      <c r="F520" s="276"/>
      <c r="G520" s="276"/>
      <c r="H520" s="276"/>
      <c r="I520" s="270"/>
      <c r="J520" s="277" t="s">
        <v>1</v>
      </c>
      <c r="K520" s="278">
        <f>32500+2000+3000+5000</f>
        <v>42500</v>
      </c>
      <c r="L520" s="279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2"/>
      <c r="B521" s="270" t="s">
        <v>0</v>
      </c>
      <c r="C521" s="269" t="s">
        <v>148</v>
      </c>
      <c r="D521" s="270"/>
      <c r="E521" s="270"/>
      <c r="F521" s="270"/>
      <c r="G521" s="270"/>
      <c r="H521" s="280"/>
      <c r="I521" s="276"/>
      <c r="J521" s="270"/>
      <c r="K521" s="270"/>
      <c r="L521" s="281"/>
      <c r="M521" s="24"/>
      <c r="N521" s="39"/>
      <c r="O521" s="36" t="s">
        <v>69</v>
      </c>
      <c r="P521" s="36">
        <v>29</v>
      </c>
      <c r="Q521" s="36">
        <v>0</v>
      </c>
      <c r="R521" s="36">
        <v>0</v>
      </c>
      <c r="S521" s="27"/>
      <c r="T521" s="36" t="s">
        <v>69</v>
      </c>
      <c r="U521" s="63">
        <f>IF($J$1="January","",Y520)</f>
        <v>0</v>
      </c>
      <c r="V521" s="38"/>
      <c r="W521" s="63">
        <f>IF(U521="","",U521+V521)</f>
        <v>0</v>
      </c>
      <c r="X521" s="38"/>
      <c r="Y521" s="63">
        <f>IF(W521="","",W521-X521)</f>
        <v>0</v>
      </c>
      <c r="Z521" s="40"/>
      <c r="AA521" s="24"/>
    </row>
    <row r="522" spans="1:27" s="25" customFormat="1" ht="18" customHeight="1" x14ac:dyDescent="0.2">
      <c r="A522" s="272"/>
      <c r="B522" s="282" t="s">
        <v>39</v>
      </c>
      <c r="C522" s="283"/>
      <c r="D522" s="270"/>
      <c r="E522" s="270"/>
      <c r="F522" s="406" t="s">
        <v>41</v>
      </c>
      <c r="G522" s="408"/>
      <c r="H522" s="270"/>
      <c r="I522" s="406" t="s">
        <v>42</v>
      </c>
      <c r="J522" s="407"/>
      <c r="K522" s="408"/>
      <c r="L522" s="284"/>
      <c r="N522" s="35"/>
      <c r="O522" s="36" t="s">
        <v>44</v>
      </c>
      <c r="P522" s="36">
        <v>28</v>
      </c>
      <c r="Q522" s="36">
        <v>3</v>
      </c>
      <c r="R522" s="36">
        <v>0</v>
      </c>
      <c r="S522" s="27"/>
      <c r="T522" s="36" t="s">
        <v>44</v>
      </c>
      <c r="U522" s="63">
        <f>IF($J$1="February","",Y521)</f>
        <v>0</v>
      </c>
      <c r="V522" s="38"/>
      <c r="W522" s="63">
        <f t="shared" ref="W522:W531" si="121">IF(U522="","",U522+V522)</f>
        <v>0</v>
      </c>
      <c r="X522" s="38"/>
      <c r="Y522" s="63">
        <f t="shared" ref="Y522:Y531" si="122">IF(W522="","",W522-X522)</f>
        <v>0</v>
      </c>
      <c r="Z522" s="40"/>
    </row>
    <row r="523" spans="1:27" s="25" customFormat="1" ht="18" customHeight="1" x14ac:dyDescent="0.2">
      <c r="A523" s="272"/>
      <c r="B523" s="270"/>
      <c r="C523" s="270"/>
      <c r="D523" s="270"/>
      <c r="E523" s="270"/>
      <c r="F523" s="270"/>
      <c r="G523" s="270"/>
      <c r="H523" s="285"/>
      <c r="I523" s="270"/>
      <c r="J523" s="270"/>
      <c r="K523" s="270"/>
      <c r="L523" s="286"/>
      <c r="N523" s="35"/>
      <c r="O523" s="36" t="s">
        <v>45</v>
      </c>
      <c r="P523" s="36">
        <v>29</v>
      </c>
      <c r="Q523" s="36">
        <v>1</v>
      </c>
      <c r="R523" s="36">
        <v>0</v>
      </c>
      <c r="S523" s="27"/>
      <c r="T523" s="36" t="s">
        <v>45</v>
      </c>
      <c r="U523" s="63">
        <f>IF($J$1="March","",Y522)</f>
        <v>0</v>
      </c>
      <c r="V523" s="38"/>
      <c r="W523" s="63">
        <f t="shared" si="121"/>
        <v>0</v>
      </c>
      <c r="X523" s="38"/>
      <c r="Y523" s="63">
        <f t="shared" si="122"/>
        <v>0</v>
      </c>
      <c r="Z523" s="40"/>
    </row>
    <row r="524" spans="1:27" s="25" customFormat="1" ht="18" customHeight="1" x14ac:dyDescent="0.2">
      <c r="A524" s="272"/>
      <c r="B524" s="401" t="s">
        <v>40</v>
      </c>
      <c r="C524" s="402"/>
      <c r="D524" s="270"/>
      <c r="E524" s="270"/>
      <c r="F524" s="287" t="s">
        <v>62</v>
      </c>
      <c r="G524" s="28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5"/>
      <c r="I524" s="289">
        <f>IF(C528&gt;=C527,$K$2,C526+C528)</f>
        <v>30</v>
      </c>
      <c r="J524" s="290" t="s">
        <v>59</v>
      </c>
      <c r="K524" s="291">
        <f>K520/$K$2*I524</f>
        <v>42500</v>
      </c>
      <c r="L524" s="292"/>
      <c r="N524" s="35"/>
      <c r="O524" s="36" t="s">
        <v>46</v>
      </c>
      <c r="P524" s="36">
        <v>31</v>
      </c>
      <c r="Q524" s="36">
        <v>0</v>
      </c>
      <c r="R524" s="36">
        <v>0</v>
      </c>
      <c r="S524" s="27"/>
      <c r="T524" s="36" t="s">
        <v>46</v>
      </c>
      <c r="U524" s="63">
        <f>IF($J$1="April","",Y523)</f>
        <v>0</v>
      </c>
      <c r="V524" s="38"/>
      <c r="W524" s="63">
        <f t="shared" si="121"/>
        <v>0</v>
      </c>
      <c r="X524" s="38"/>
      <c r="Y524" s="63">
        <f t="shared" si="122"/>
        <v>0</v>
      </c>
      <c r="Z524" s="40"/>
    </row>
    <row r="525" spans="1:27" s="25" customFormat="1" ht="18" customHeight="1" x14ac:dyDescent="0.2">
      <c r="A525" s="272"/>
      <c r="B525" s="293"/>
      <c r="C525" s="293"/>
      <c r="D525" s="270"/>
      <c r="E525" s="270"/>
      <c r="F525" s="287" t="s">
        <v>18</v>
      </c>
      <c r="G525" s="28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5"/>
      <c r="I525" s="289">
        <v>10</v>
      </c>
      <c r="J525" s="290" t="s">
        <v>60</v>
      </c>
      <c r="K525" s="294">
        <f>K520/$K$2/8*I525</f>
        <v>1770.8333333333335</v>
      </c>
      <c r="L525" s="295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>
        <f>IF($J$1="May","",Y524)</f>
        <v>0</v>
      </c>
      <c r="V525" s="38"/>
      <c r="W525" s="63">
        <f t="shared" si="121"/>
        <v>0</v>
      </c>
      <c r="X525" s="38"/>
      <c r="Y525" s="63">
        <f t="shared" si="122"/>
        <v>0</v>
      </c>
      <c r="Z525" s="40"/>
    </row>
    <row r="526" spans="1:27" s="25" customFormat="1" ht="18" customHeight="1" x14ac:dyDescent="0.2">
      <c r="A526" s="272"/>
      <c r="B526" s="287" t="s">
        <v>7</v>
      </c>
      <c r="C526" s="293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0</v>
      </c>
      <c r="D526" s="270"/>
      <c r="E526" s="270"/>
      <c r="F526" s="287" t="s">
        <v>63</v>
      </c>
      <c r="G526" s="28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5"/>
      <c r="I526" s="389" t="s">
        <v>67</v>
      </c>
      <c r="J526" s="390"/>
      <c r="K526" s="294">
        <f>K524+K525</f>
        <v>44270.833333333336</v>
      </c>
      <c r="L526" s="295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1"/>
        <v/>
      </c>
      <c r="X526" s="38"/>
      <c r="Y526" s="63" t="str">
        <f t="shared" si="122"/>
        <v/>
      </c>
      <c r="Z526" s="40"/>
    </row>
    <row r="527" spans="1:27" s="25" customFormat="1" ht="18" customHeight="1" x14ac:dyDescent="0.2">
      <c r="A527" s="272"/>
      <c r="B527" s="287" t="s">
        <v>6</v>
      </c>
      <c r="C527" s="293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270"/>
      <c r="E527" s="270"/>
      <c r="F527" s="287" t="s">
        <v>19</v>
      </c>
      <c r="G527" s="28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5"/>
      <c r="I527" s="389" t="s">
        <v>68</v>
      </c>
      <c r="J527" s="390"/>
      <c r="K527" s="288">
        <f>G527</f>
        <v>0</v>
      </c>
      <c r="L527" s="296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1"/>
        <v/>
      </c>
      <c r="X527" s="38"/>
      <c r="Y527" s="63" t="str">
        <f t="shared" si="122"/>
        <v/>
      </c>
      <c r="Z527" s="40"/>
    </row>
    <row r="528" spans="1:27" s="25" customFormat="1" ht="18" customHeight="1" x14ac:dyDescent="0.2">
      <c r="A528" s="272"/>
      <c r="B528" s="302" t="s">
        <v>66</v>
      </c>
      <c r="C528" s="293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0"/>
      <c r="E528" s="270"/>
      <c r="F528" s="302" t="s">
        <v>195</v>
      </c>
      <c r="G528" s="28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0"/>
      <c r="I528" s="391" t="s">
        <v>61</v>
      </c>
      <c r="J528" s="391"/>
      <c r="K528" s="229">
        <f>K526-K527</f>
        <v>44270.833333333336</v>
      </c>
      <c r="L528" s="297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1"/>
        <v/>
      </c>
      <c r="X528" s="38"/>
      <c r="Y528" s="63" t="str">
        <f t="shared" si="122"/>
        <v/>
      </c>
      <c r="Z528" s="40"/>
    </row>
    <row r="529" spans="1:26" s="25" customFormat="1" ht="18" customHeight="1" x14ac:dyDescent="0.2">
      <c r="A529" s="272"/>
      <c r="B529" s="270"/>
      <c r="C529" s="270"/>
      <c r="D529" s="270"/>
      <c r="E529" s="270"/>
      <c r="F529" s="270"/>
      <c r="G529" s="270"/>
      <c r="H529" s="270"/>
      <c r="I529" s="392"/>
      <c r="J529" s="392"/>
      <c r="K529" s="352"/>
      <c r="L529" s="284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1"/>
        <v/>
      </c>
      <c r="X529" s="38"/>
      <c r="Y529" s="63" t="str">
        <f t="shared" si="122"/>
        <v/>
      </c>
      <c r="Z529" s="40"/>
    </row>
    <row r="530" spans="1:26" s="25" customFormat="1" ht="18" customHeight="1" x14ac:dyDescent="0.3">
      <c r="A530" s="272"/>
      <c r="B530" s="268"/>
      <c r="C530" s="268"/>
      <c r="D530" s="268"/>
      <c r="E530" s="268"/>
      <c r="F530" s="268"/>
      <c r="G530" s="268"/>
      <c r="H530" s="268"/>
      <c r="I530" s="392"/>
      <c r="J530" s="392"/>
      <c r="K530" s="352"/>
      <c r="L530" s="284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1"/>
        <v/>
      </c>
      <c r="X530" s="38"/>
      <c r="Y530" s="63" t="str">
        <f t="shared" si="122"/>
        <v/>
      </c>
      <c r="Z530" s="40"/>
    </row>
    <row r="531" spans="1:26" s="25" customFormat="1" ht="18" customHeight="1" thickBot="1" x14ac:dyDescent="0.35">
      <c r="A531" s="298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300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1"/>
        <v/>
      </c>
      <c r="X531" s="38"/>
      <c r="Y531" s="63" t="str">
        <f t="shared" si="122"/>
        <v/>
      </c>
      <c r="Z531" s="40"/>
    </row>
    <row r="532" spans="1:26" s="56" customFormat="1" ht="18" customHeight="1" thickBot="1" x14ac:dyDescent="0.25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403" t="s">
        <v>38</v>
      </c>
      <c r="B533" s="404"/>
      <c r="C533" s="404"/>
      <c r="D533" s="404"/>
      <c r="E533" s="404"/>
      <c r="F533" s="404"/>
      <c r="G533" s="404"/>
      <c r="H533" s="404"/>
      <c r="I533" s="404"/>
      <c r="J533" s="404"/>
      <c r="K533" s="404"/>
      <c r="L533" s="405"/>
      <c r="M533" s="24"/>
      <c r="N533" s="28"/>
      <c r="O533" s="396" t="s">
        <v>40</v>
      </c>
      <c r="P533" s="397"/>
      <c r="Q533" s="397"/>
      <c r="R533" s="398"/>
      <c r="S533" s="29"/>
      <c r="T533" s="396" t="s">
        <v>41</v>
      </c>
      <c r="U533" s="397"/>
      <c r="V533" s="397"/>
      <c r="W533" s="397"/>
      <c r="X533" s="397"/>
      <c r="Y533" s="398"/>
      <c r="Z533" s="30"/>
    </row>
    <row r="534" spans="1:26" s="25" customFormat="1" ht="18" customHeight="1" x14ac:dyDescent="0.2">
      <c r="A534" s="272"/>
      <c r="B534" s="270"/>
      <c r="C534" s="399" t="s">
        <v>202</v>
      </c>
      <c r="D534" s="399"/>
      <c r="E534" s="399"/>
      <c r="F534" s="399"/>
      <c r="G534" s="273" t="str">
        <f>$J$1</f>
        <v>June</v>
      </c>
      <c r="H534" s="400">
        <f>$K$1</f>
        <v>2024</v>
      </c>
      <c r="I534" s="400"/>
      <c r="J534" s="270"/>
      <c r="K534" s="274"/>
      <c r="L534" s="275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2"/>
      <c r="B535" s="270"/>
      <c r="C535" s="270"/>
      <c r="D535" s="276"/>
      <c r="E535" s="276"/>
      <c r="F535" s="276"/>
      <c r="G535" s="276"/>
      <c r="H535" s="276"/>
      <c r="I535" s="270"/>
      <c r="J535" s="277" t="s">
        <v>1</v>
      </c>
      <c r="K535" s="278">
        <f>24500+2000+3000</f>
        <v>29500</v>
      </c>
      <c r="L535" s="279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2"/>
      <c r="B536" s="270" t="s">
        <v>0</v>
      </c>
      <c r="C536" s="269" t="s">
        <v>123</v>
      </c>
      <c r="D536" s="270"/>
      <c r="E536" s="270"/>
      <c r="F536" s="270"/>
      <c r="G536" s="270"/>
      <c r="H536" s="280"/>
      <c r="I536" s="276"/>
      <c r="J536" s="270"/>
      <c r="K536" s="270"/>
      <c r="L536" s="281"/>
      <c r="M536" s="24"/>
      <c r="N536" s="39"/>
      <c r="O536" s="36" t="s">
        <v>69</v>
      </c>
      <c r="P536" s="36">
        <v>29</v>
      </c>
      <c r="Q536" s="36">
        <v>0</v>
      </c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2"/>
      <c r="B537" s="282" t="s">
        <v>39</v>
      </c>
      <c r="C537" s="283"/>
      <c r="D537" s="270"/>
      <c r="E537" s="270"/>
      <c r="F537" s="406" t="s">
        <v>41</v>
      </c>
      <c r="G537" s="408"/>
      <c r="H537" s="270"/>
      <c r="I537" s="406" t="s">
        <v>42</v>
      </c>
      <c r="J537" s="407"/>
      <c r="K537" s="408"/>
      <c r="L537" s="284"/>
      <c r="N537" s="35"/>
      <c r="O537" s="36" t="s">
        <v>44</v>
      </c>
      <c r="P537" s="36">
        <v>31</v>
      </c>
      <c r="Q537" s="36">
        <v>0</v>
      </c>
      <c r="R537" s="36">
        <v>0</v>
      </c>
      <c r="S537" s="27"/>
      <c r="T537" s="36" t="s">
        <v>44</v>
      </c>
      <c r="U537" s="63">
        <f>IF($J$1="February","",Y536)</f>
        <v>0</v>
      </c>
      <c r="V537" s="38"/>
      <c r="W537" s="63">
        <f t="shared" ref="W537:W546" si="123">IF(U537="","",U537+V537)</f>
        <v>0</v>
      </c>
      <c r="X537" s="38"/>
      <c r="Y537" s="63">
        <f t="shared" ref="Y537:Y546" si="124">IF(W537="","",W537-X537)</f>
        <v>0</v>
      </c>
      <c r="Z537" s="40"/>
    </row>
    <row r="538" spans="1:26" s="25" customFormat="1" ht="18" customHeight="1" x14ac:dyDescent="0.2">
      <c r="A538" s="272"/>
      <c r="B538" s="270"/>
      <c r="C538" s="270"/>
      <c r="D538" s="270"/>
      <c r="E538" s="270"/>
      <c r="F538" s="270"/>
      <c r="G538" s="270"/>
      <c r="H538" s="285"/>
      <c r="I538" s="270"/>
      <c r="J538" s="270"/>
      <c r="K538" s="270"/>
      <c r="L538" s="286"/>
      <c r="N538" s="35"/>
      <c r="O538" s="36" t="s">
        <v>45</v>
      </c>
      <c r="P538" s="36">
        <v>30</v>
      </c>
      <c r="Q538" s="36">
        <v>0</v>
      </c>
      <c r="R538" s="36">
        <v>0</v>
      </c>
      <c r="S538" s="27"/>
      <c r="T538" s="36" t="s">
        <v>45</v>
      </c>
      <c r="U538" s="63">
        <f>IF($J$1="March","",Y537)</f>
        <v>0</v>
      </c>
      <c r="V538" s="38"/>
      <c r="W538" s="63">
        <f t="shared" si="123"/>
        <v>0</v>
      </c>
      <c r="X538" s="38"/>
      <c r="Y538" s="63">
        <f t="shared" si="124"/>
        <v>0</v>
      </c>
      <c r="Z538" s="40"/>
    </row>
    <row r="539" spans="1:26" s="25" customFormat="1" ht="18" customHeight="1" x14ac:dyDescent="0.2">
      <c r="A539" s="272"/>
      <c r="B539" s="401" t="s">
        <v>40</v>
      </c>
      <c r="C539" s="402"/>
      <c r="D539" s="270"/>
      <c r="E539" s="270"/>
      <c r="F539" s="287" t="s">
        <v>62</v>
      </c>
      <c r="G539" s="288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5"/>
      <c r="I539" s="289">
        <f>IF(C543&gt;=C542,$K$2,C541+C543)</f>
        <v>30</v>
      </c>
      <c r="J539" s="290" t="s">
        <v>59</v>
      </c>
      <c r="K539" s="291">
        <f>K535/$K$2*I539</f>
        <v>29500</v>
      </c>
      <c r="L539" s="292"/>
      <c r="N539" s="35"/>
      <c r="O539" s="36" t="s">
        <v>46</v>
      </c>
      <c r="P539" s="36">
        <v>31</v>
      </c>
      <c r="Q539" s="36">
        <v>0</v>
      </c>
      <c r="R539" s="36">
        <v>0</v>
      </c>
      <c r="S539" s="27"/>
      <c r="T539" s="36" t="s">
        <v>46</v>
      </c>
      <c r="U539" s="63">
        <f t="shared" ref="U539:U545" si="125">Y538</f>
        <v>0</v>
      </c>
      <c r="V539" s="38"/>
      <c r="W539" s="63">
        <f t="shared" si="123"/>
        <v>0</v>
      </c>
      <c r="X539" s="38"/>
      <c r="Y539" s="63">
        <f t="shared" si="124"/>
        <v>0</v>
      </c>
      <c r="Z539" s="40"/>
    </row>
    <row r="540" spans="1:26" s="25" customFormat="1" ht="18" customHeight="1" x14ac:dyDescent="0.2">
      <c r="A540" s="272"/>
      <c r="B540" s="293"/>
      <c r="C540" s="293"/>
      <c r="D540" s="270"/>
      <c r="E540" s="270"/>
      <c r="F540" s="287" t="s">
        <v>18</v>
      </c>
      <c r="G540" s="288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30000</v>
      </c>
      <c r="H540" s="285"/>
      <c r="I540" s="289">
        <v>51</v>
      </c>
      <c r="J540" s="290" t="s">
        <v>60</v>
      </c>
      <c r="K540" s="294">
        <f>K535/$K$2/8*I540</f>
        <v>6268.75</v>
      </c>
      <c r="L540" s="295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>
        <f t="shared" si="125"/>
        <v>0</v>
      </c>
      <c r="V540" s="38">
        <v>30000</v>
      </c>
      <c r="W540" s="63">
        <f t="shared" si="123"/>
        <v>30000</v>
      </c>
      <c r="X540" s="38">
        <v>3000</v>
      </c>
      <c r="Y540" s="63">
        <f t="shared" si="124"/>
        <v>27000</v>
      </c>
      <c r="Z540" s="40"/>
    </row>
    <row r="541" spans="1:26" s="25" customFormat="1" ht="18" customHeight="1" x14ac:dyDescent="0.2">
      <c r="A541" s="272"/>
      <c r="B541" s="287" t="s">
        <v>7</v>
      </c>
      <c r="C541" s="293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0</v>
      </c>
      <c r="D541" s="270"/>
      <c r="E541" s="270"/>
      <c r="F541" s="287" t="s">
        <v>63</v>
      </c>
      <c r="G541" s="288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30000</v>
      </c>
      <c r="H541" s="285"/>
      <c r="I541" s="389" t="s">
        <v>67</v>
      </c>
      <c r="J541" s="390"/>
      <c r="K541" s="294">
        <f>K539+K540</f>
        <v>35768.75</v>
      </c>
      <c r="L541" s="295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/>
      <c r="V541" s="38"/>
      <c r="W541" s="63" t="str">
        <f t="shared" si="123"/>
        <v/>
      </c>
      <c r="X541" s="38"/>
      <c r="Y541" s="63" t="str">
        <f t="shared" si="124"/>
        <v/>
      </c>
      <c r="Z541" s="40"/>
    </row>
    <row r="542" spans="1:26" s="25" customFormat="1" ht="18" customHeight="1" x14ac:dyDescent="0.2">
      <c r="A542" s="272"/>
      <c r="B542" s="287" t="s">
        <v>6</v>
      </c>
      <c r="C542" s="293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0"/>
      <c r="E542" s="270"/>
      <c r="F542" s="287" t="s">
        <v>19</v>
      </c>
      <c r="G542" s="288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285"/>
      <c r="I542" s="389" t="s">
        <v>68</v>
      </c>
      <c r="J542" s="390"/>
      <c r="K542" s="288">
        <f>G542</f>
        <v>3000</v>
      </c>
      <c r="L542" s="296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 t="str">
        <f t="shared" si="125"/>
        <v/>
      </c>
      <c r="V542" s="38"/>
      <c r="W542" s="63" t="str">
        <f t="shared" si="123"/>
        <v/>
      </c>
      <c r="X542" s="38"/>
      <c r="Y542" s="63" t="str">
        <f t="shared" si="124"/>
        <v/>
      </c>
      <c r="Z542" s="40"/>
    </row>
    <row r="543" spans="1:26" s="25" customFormat="1" ht="18" customHeight="1" x14ac:dyDescent="0.2">
      <c r="A543" s="272"/>
      <c r="B543" s="302" t="s">
        <v>66</v>
      </c>
      <c r="C543" s="293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0"/>
      <c r="E543" s="270"/>
      <c r="F543" s="302" t="s">
        <v>195</v>
      </c>
      <c r="G543" s="28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27000</v>
      </c>
      <c r="H543" s="270"/>
      <c r="I543" s="391" t="s">
        <v>61</v>
      </c>
      <c r="J543" s="391"/>
      <c r="K543" s="229">
        <f>K541-K542</f>
        <v>32768.75</v>
      </c>
      <c r="L543" s="297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 t="str">
        <f t="shared" si="125"/>
        <v/>
      </c>
      <c r="V543" s="38"/>
      <c r="W543" s="63" t="str">
        <f t="shared" si="123"/>
        <v/>
      </c>
      <c r="X543" s="38"/>
      <c r="Y543" s="63" t="str">
        <f t="shared" si="124"/>
        <v/>
      </c>
      <c r="Z543" s="40"/>
    </row>
    <row r="544" spans="1:26" s="25" customFormat="1" ht="18" customHeight="1" x14ac:dyDescent="0.2">
      <c r="A544" s="272"/>
      <c r="B544" s="270"/>
      <c r="C544" s="270"/>
      <c r="D544" s="270"/>
      <c r="E544" s="270"/>
      <c r="F544" s="270"/>
      <c r="G544" s="270"/>
      <c r="H544" s="270"/>
      <c r="I544" s="392"/>
      <c r="J544" s="392"/>
      <c r="K544" s="352"/>
      <c r="L544" s="284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 t="str">
        <f t="shared" si="125"/>
        <v/>
      </c>
      <c r="V544" s="38"/>
      <c r="W544" s="63" t="str">
        <f t="shared" si="123"/>
        <v/>
      </c>
      <c r="X544" s="38"/>
      <c r="Y544" s="63" t="str">
        <f t="shared" si="124"/>
        <v/>
      </c>
      <c r="Z544" s="40"/>
    </row>
    <row r="545" spans="1:27" s="25" customFormat="1" ht="18" customHeight="1" x14ac:dyDescent="0.3">
      <c r="A545" s="272"/>
      <c r="B545" s="268"/>
      <c r="C545" s="268"/>
      <c r="D545" s="268"/>
      <c r="E545" s="268"/>
      <c r="F545" s="268"/>
      <c r="G545" s="268"/>
      <c r="H545" s="268"/>
      <c r="I545" s="392"/>
      <c r="J545" s="392"/>
      <c r="K545" s="352"/>
      <c r="L545" s="284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 t="str">
        <f t="shared" si="125"/>
        <v/>
      </c>
      <c r="V545" s="38"/>
      <c r="W545" s="63" t="str">
        <f t="shared" si="123"/>
        <v/>
      </c>
      <c r="X545" s="38"/>
      <c r="Y545" s="63" t="str">
        <f t="shared" si="124"/>
        <v/>
      </c>
      <c r="Z545" s="40"/>
    </row>
    <row r="546" spans="1:27" s="25" customFormat="1" ht="18" customHeight="1" thickBot="1" x14ac:dyDescent="0.35">
      <c r="A546" s="298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300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 t="str">
        <f>Y545</f>
        <v/>
      </c>
      <c r="V546" s="38"/>
      <c r="W546" s="63" t="str">
        <f t="shared" si="123"/>
        <v/>
      </c>
      <c r="X546" s="38"/>
      <c r="Y546" s="63" t="str">
        <f t="shared" si="124"/>
        <v/>
      </c>
      <c r="Z546" s="40"/>
    </row>
    <row r="547" spans="1:27" s="56" customFormat="1" ht="18" customHeight="1" thickBot="1" x14ac:dyDescent="0.25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403" t="s">
        <v>38</v>
      </c>
      <c r="B548" s="404"/>
      <c r="C548" s="404"/>
      <c r="D548" s="404"/>
      <c r="E548" s="404"/>
      <c r="F548" s="404"/>
      <c r="G548" s="404"/>
      <c r="H548" s="404"/>
      <c r="I548" s="404"/>
      <c r="J548" s="404"/>
      <c r="K548" s="404"/>
      <c r="L548" s="405"/>
      <c r="M548" s="24"/>
      <c r="N548" s="28"/>
      <c r="O548" s="396" t="s">
        <v>40</v>
      </c>
      <c r="P548" s="397"/>
      <c r="Q548" s="397"/>
      <c r="R548" s="398"/>
      <c r="S548" s="29"/>
      <c r="T548" s="396" t="s">
        <v>41</v>
      </c>
      <c r="U548" s="397"/>
      <c r="V548" s="397"/>
      <c r="W548" s="397"/>
      <c r="X548" s="397"/>
      <c r="Y548" s="398"/>
      <c r="Z548" s="30"/>
      <c r="AA548" s="24"/>
    </row>
    <row r="549" spans="1:27" s="25" customFormat="1" ht="18" customHeight="1" x14ac:dyDescent="0.2">
      <c r="A549" s="272"/>
      <c r="B549" s="270"/>
      <c r="C549" s="399" t="s">
        <v>202</v>
      </c>
      <c r="D549" s="399"/>
      <c r="E549" s="399"/>
      <c r="F549" s="399"/>
      <c r="G549" s="273" t="str">
        <f>$J$1</f>
        <v>June</v>
      </c>
      <c r="H549" s="400">
        <f>$K$1</f>
        <v>2024</v>
      </c>
      <c r="I549" s="400"/>
      <c r="J549" s="270"/>
      <c r="K549" s="274"/>
      <c r="L549" s="275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2"/>
      <c r="B550" s="270"/>
      <c r="C550" s="270"/>
      <c r="D550" s="276"/>
      <c r="E550" s="276"/>
      <c r="F550" s="276"/>
      <c r="G550" s="276"/>
      <c r="H550" s="276"/>
      <c r="I550" s="270"/>
      <c r="J550" s="277" t="s">
        <v>1</v>
      </c>
      <c r="K550" s="278">
        <f>18000+3000+1000+3000</f>
        <v>25000</v>
      </c>
      <c r="L550" s="279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2"/>
      <c r="B551" s="270" t="s">
        <v>0</v>
      </c>
      <c r="C551" s="269" t="s">
        <v>164</v>
      </c>
      <c r="D551" s="270"/>
      <c r="E551" s="270"/>
      <c r="F551" s="270"/>
      <c r="G551" s="270"/>
      <c r="H551" s="280"/>
      <c r="I551" s="276"/>
      <c r="J551" s="270"/>
      <c r="K551" s="270"/>
      <c r="L551" s="281"/>
      <c r="M551" s="24"/>
      <c r="N551" s="39"/>
      <c r="O551" s="36" t="s">
        <v>69</v>
      </c>
      <c r="P551" s="36">
        <v>29</v>
      </c>
      <c r="Q551" s="36">
        <v>0</v>
      </c>
      <c r="R551" s="36">
        <v>0</v>
      </c>
      <c r="S551" s="27"/>
      <c r="T551" s="36" t="s">
        <v>69</v>
      </c>
      <c r="U551" s="63">
        <f>Y550</f>
        <v>27000</v>
      </c>
      <c r="V551" s="38"/>
      <c r="W551" s="63">
        <f>IF(U551="","",U551+V551)</f>
        <v>27000</v>
      </c>
      <c r="X551" s="38">
        <v>2000</v>
      </c>
      <c r="Y551" s="63">
        <f>IF(W551="","",W551-X551)</f>
        <v>25000</v>
      </c>
      <c r="Z551" s="40"/>
      <c r="AA551" s="24"/>
    </row>
    <row r="552" spans="1:27" s="25" customFormat="1" ht="18" customHeight="1" x14ac:dyDescent="0.2">
      <c r="A552" s="272"/>
      <c r="B552" s="282" t="s">
        <v>39</v>
      </c>
      <c r="C552" s="283"/>
      <c r="D552" s="270"/>
      <c r="E552" s="270"/>
      <c r="F552" s="406" t="s">
        <v>41</v>
      </c>
      <c r="G552" s="408"/>
      <c r="H552" s="270"/>
      <c r="I552" s="406" t="s">
        <v>42</v>
      </c>
      <c r="J552" s="407"/>
      <c r="K552" s="408"/>
      <c r="L552" s="284"/>
      <c r="N552" s="35"/>
      <c r="O552" s="36" t="s">
        <v>44</v>
      </c>
      <c r="P552" s="36">
        <v>31</v>
      </c>
      <c r="Q552" s="36">
        <v>0</v>
      </c>
      <c r="R552" s="36">
        <f t="shared" ref="R552" si="126">IF(Q552="","",R551-Q552)</f>
        <v>0</v>
      </c>
      <c r="S552" s="27"/>
      <c r="T552" s="36" t="s">
        <v>44</v>
      </c>
      <c r="U552" s="63">
        <f>Y551</f>
        <v>25000</v>
      </c>
      <c r="V552" s="38"/>
      <c r="W552" s="63">
        <f t="shared" ref="W552:W561" si="127">IF(U552="","",U552+V552)</f>
        <v>25000</v>
      </c>
      <c r="X552" s="38"/>
      <c r="Y552" s="63">
        <f t="shared" ref="Y552:Y561" si="128">IF(W552="","",W552-X552)</f>
        <v>25000</v>
      </c>
      <c r="Z552" s="40"/>
    </row>
    <row r="553" spans="1:27" s="25" customFormat="1" ht="18" customHeight="1" x14ac:dyDescent="0.2">
      <c r="A553" s="272"/>
      <c r="B553" s="270"/>
      <c r="C553" s="270"/>
      <c r="D553" s="270"/>
      <c r="E553" s="270"/>
      <c r="F553" s="270"/>
      <c r="G553" s="270"/>
      <c r="H553" s="285"/>
      <c r="I553" s="270"/>
      <c r="J553" s="270"/>
      <c r="K553" s="270"/>
      <c r="L553" s="286"/>
      <c r="N553" s="35"/>
      <c r="O553" s="36" t="s">
        <v>45</v>
      </c>
      <c r="P553" s="36">
        <v>30</v>
      </c>
      <c r="Q553" s="36">
        <v>0</v>
      </c>
      <c r="R553" s="36">
        <v>0</v>
      </c>
      <c r="S553" s="27"/>
      <c r="T553" s="36" t="s">
        <v>45</v>
      </c>
      <c r="U553" s="63">
        <f>IF($J$1="March","",Y552)</f>
        <v>25000</v>
      </c>
      <c r="V553" s="38">
        <v>3000</v>
      </c>
      <c r="W553" s="63">
        <f t="shared" si="127"/>
        <v>28000</v>
      </c>
      <c r="X553" s="38">
        <v>2000</v>
      </c>
      <c r="Y553" s="63">
        <f t="shared" si="128"/>
        <v>26000</v>
      </c>
      <c r="Z553" s="40"/>
    </row>
    <row r="554" spans="1:27" s="25" customFormat="1" ht="18" customHeight="1" x14ac:dyDescent="0.2">
      <c r="A554" s="272"/>
      <c r="B554" s="401" t="s">
        <v>40</v>
      </c>
      <c r="C554" s="402"/>
      <c r="D554" s="270"/>
      <c r="E554" s="270"/>
      <c r="F554" s="287" t="s">
        <v>62</v>
      </c>
      <c r="G554" s="288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24000</v>
      </c>
      <c r="H554" s="285"/>
      <c r="I554" s="289">
        <f>IF(C558&gt;=C557,$K$2,C556+C558)</f>
        <v>30</v>
      </c>
      <c r="J554" s="290" t="s">
        <v>59</v>
      </c>
      <c r="K554" s="291">
        <f>K550/$K$2*I554</f>
        <v>25000</v>
      </c>
      <c r="L554" s="292"/>
      <c r="N554" s="35"/>
      <c r="O554" s="36" t="s">
        <v>46</v>
      </c>
      <c r="P554" s="36">
        <v>31</v>
      </c>
      <c r="Q554" s="36">
        <v>0</v>
      </c>
      <c r="R554" s="36">
        <v>0</v>
      </c>
      <c r="S554" s="27"/>
      <c r="T554" s="36" t="s">
        <v>46</v>
      </c>
      <c r="U554" s="63">
        <f>Y553</f>
        <v>26000</v>
      </c>
      <c r="V554" s="38"/>
      <c r="W554" s="63">
        <f t="shared" si="127"/>
        <v>26000</v>
      </c>
      <c r="X554" s="38">
        <v>2000</v>
      </c>
      <c r="Y554" s="63">
        <f t="shared" si="128"/>
        <v>24000</v>
      </c>
      <c r="Z554" s="40"/>
    </row>
    <row r="555" spans="1:27" s="25" customFormat="1" ht="18" customHeight="1" x14ac:dyDescent="0.2">
      <c r="A555" s="272"/>
      <c r="B555" s="293"/>
      <c r="C555" s="293"/>
      <c r="D555" s="270"/>
      <c r="E555" s="270"/>
      <c r="F555" s="287" t="s">
        <v>18</v>
      </c>
      <c r="G555" s="288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285"/>
      <c r="I555" s="289">
        <v>32</v>
      </c>
      <c r="J555" s="290" t="s">
        <v>60</v>
      </c>
      <c r="K555" s="294">
        <f>K550/$K$2/8*I555</f>
        <v>3333.3333333333335</v>
      </c>
      <c r="L555" s="295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>
        <f>Y554</f>
        <v>24000</v>
      </c>
      <c r="V555" s="38"/>
      <c r="W555" s="63">
        <f t="shared" si="127"/>
        <v>24000</v>
      </c>
      <c r="X555" s="38">
        <v>2000</v>
      </c>
      <c r="Y555" s="63">
        <f t="shared" si="128"/>
        <v>22000</v>
      </c>
      <c r="Z555" s="40"/>
    </row>
    <row r="556" spans="1:27" s="25" customFormat="1" ht="18" customHeight="1" x14ac:dyDescent="0.2">
      <c r="A556" s="272"/>
      <c r="B556" s="287" t="s">
        <v>7</v>
      </c>
      <c r="C556" s="293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0</v>
      </c>
      <c r="D556" s="270"/>
      <c r="E556" s="270"/>
      <c r="F556" s="287" t="s">
        <v>63</v>
      </c>
      <c r="G556" s="288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24000</v>
      </c>
      <c r="H556" s="285"/>
      <c r="I556" s="389" t="s">
        <v>67</v>
      </c>
      <c r="J556" s="390"/>
      <c r="K556" s="294">
        <f>K554+K555</f>
        <v>28333.333333333332</v>
      </c>
      <c r="L556" s="295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/>
      <c r="V556" s="38"/>
      <c r="W556" s="63" t="str">
        <f t="shared" si="127"/>
        <v/>
      </c>
      <c r="X556" s="38"/>
      <c r="Y556" s="63" t="str">
        <f t="shared" si="128"/>
        <v/>
      </c>
      <c r="Z556" s="40"/>
    </row>
    <row r="557" spans="1:27" s="25" customFormat="1" ht="18" customHeight="1" x14ac:dyDescent="0.2">
      <c r="A557" s="272"/>
      <c r="B557" s="287" t="s">
        <v>6</v>
      </c>
      <c r="C557" s="293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0"/>
      <c r="E557" s="270"/>
      <c r="F557" s="287" t="s">
        <v>19</v>
      </c>
      <c r="G557" s="288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2000</v>
      </c>
      <c r="H557" s="285"/>
      <c r="I557" s="389" t="s">
        <v>68</v>
      </c>
      <c r="J557" s="390"/>
      <c r="K557" s="288">
        <f>G557</f>
        <v>2000</v>
      </c>
      <c r="L557" s="296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ref="U557:U560" si="129">Y556</f>
        <v/>
      </c>
      <c r="V557" s="38"/>
      <c r="W557" s="63" t="str">
        <f t="shared" si="127"/>
        <v/>
      </c>
      <c r="X557" s="38"/>
      <c r="Y557" s="63" t="str">
        <f t="shared" si="128"/>
        <v/>
      </c>
      <c r="Z557" s="40"/>
    </row>
    <row r="558" spans="1:27" s="25" customFormat="1" ht="18" customHeight="1" x14ac:dyDescent="0.2">
      <c r="A558" s="272"/>
      <c r="B558" s="302" t="s">
        <v>66</v>
      </c>
      <c r="C558" s="293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0"/>
      <c r="E558" s="270"/>
      <c r="F558" s="302" t="s">
        <v>195</v>
      </c>
      <c r="G558" s="28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22000</v>
      </c>
      <c r="H558" s="270"/>
      <c r="I558" s="391" t="s">
        <v>61</v>
      </c>
      <c r="J558" s="391"/>
      <c r="K558" s="229">
        <f>K556-K557</f>
        <v>26333.333333333332</v>
      </c>
      <c r="L558" s="297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29"/>
        <v/>
      </c>
      <c r="V558" s="38"/>
      <c r="W558" s="63" t="str">
        <f t="shared" si="127"/>
        <v/>
      </c>
      <c r="X558" s="38"/>
      <c r="Y558" s="63" t="str">
        <f t="shared" si="128"/>
        <v/>
      </c>
      <c r="Z558" s="40"/>
    </row>
    <row r="559" spans="1:27" s="25" customFormat="1" ht="18" customHeight="1" x14ac:dyDescent="0.2">
      <c r="A559" s="272"/>
      <c r="B559" s="270"/>
      <c r="C559" s="270"/>
      <c r="D559" s="270"/>
      <c r="E559" s="270"/>
      <c r="F559" s="270"/>
      <c r="G559" s="270"/>
      <c r="H559" s="270"/>
      <c r="I559" s="392"/>
      <c r="J559" s="392"/>
      <c r="K559" s="352"/>
      <c r="L559" s="284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29"/>
        <v/>
      </c>
      <c r="V559" s="38"/>
      <c r="W559" s="63" t="str">
        <f t="shared" si="127"/>
        <v/>
      </c>
      <c r="X559" s="38"/>
      <c r="Y559" s="63" t="str">
        <f t="shared" si="128"/>
        <v/>
      </c>
      <c r="Z559" s="40"/>
    </row>
    <row r="560" spans="1:27" s="25" customFormat="1" ht="18" customHeight="1" x14ac:dyDescent="0.3">
      <c r="A560" s="272"/>
      <c r="B560" s="268"/>
      <c r="C560" s="268"/>
      <c r="D560" s="268"/>
      <c r="E560" s="268"/>
      <c r="F560" s="268"/>
      <c r="G560" s="268"/>
      <c r="H560" s="268"/>
      <c r="I560" s="392"/>
      <c r="J560" s="392"/>
      <c r="K560" s="352"/>
      <c r="L560" s="284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29"/>
        <v/>
      </c>
      <c r="V560" s="38"/>
      <c r="W560" s="63" t="str">
        <f t="shared" si="127"/>
        <v/>
      </c>
      <c r="X560" s="38"/>
      <c r="Y560" s="63" t="str">
        <f t="shared" si="128"/>
        <v/>
      </c>
      <c r="Z560" s="40"/>
    </row>
    <row r="561" spans="1:27" s="25" customFormat="1" ht="18" customHeight="1" thickBot="1" x14ac:dyDescent="0.35">
      <c r="A561" s="298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300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27"/>
        <v/>
      </c>
      <c r="X561" s="38"/>
      <c r="Y561" s="63" t="str">
        <f t="shared" si="128"/>
        <v/>
      </c>
      <c r="Z561" s="40"/>
    </row>
    <row r="562" spans="1:27" s="56" customFormat="1" ht="18" customHeight="1" thickBot="1" x14ac:dyDescent="0.25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403" t="s">
        <v>38</v>
      </c>
      <c r="B563" s="404"/>
      <c r="C563" s="404"/>
      <c r="D563" s="404"/>
      <c r="E563" s="404"/>
      <c r="F563" s="404"/>
      <c r="G563" s="404"/>
      <c r="H563" s="404"/>
      <c r="I563" s="404"/>
      <c r="J563" s="404"/>
      <c r="K563" s="404"/>
      <c r="L563" s="405"/>
      <c r="M563" s="24"/>
      <c r="N563" s="28"/>
      <c r="O563" s="396" t="s">
        <v>40</v>
      </c>
      <c r="P563" s="397"/>
      <c r="Q563" s="397"/>
      <c r="R563" s="398"/>
      <c r="S563" s="29"/>
      <c r="T563" s="396" t="s">
        <v>41</v>
      </c>
      <c r="U563" s="397"/>
      <c r="V563" s="397"/>
      <c r="W563" s="397"/>
      <c r="X563" s="397"/>
      <c r="Y563" s="398"/>
      <c r="Z563" s="30"/>
      <c r="AA563" s="24"/>
    </row>
    <row r="564" spans="1:27" s="25" customFormat="1" ht="18" customHeight="1" x14ac:dyDescent="0.2">
      <c r="A564" s="272"/>
      <c r="B564" s="270"/>
      <c r="C564" s="399" t="s">
        <v>202</v>
      </c>
      <c r="D564" s="399"/>
      <c r="E564" s="399"/>
      <c r="F564" s="399"/>
      <c r="G564" s="273" t="str">
        <f>$J$1</f>
        <v>June</v>
      </c>
      <c r="H564" s="400">
        <f>$K$1</f>
        <v>2024</v>
      </c>
      <c r="I564" s="400"/>
      <c r="J564" s="270"/>
      <c r="K564" s="274"/>
      <c r="L564" s="275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2"/>
      <c r="B565" s="270"/>
      <c r="C565" s="270"/>
      <c r="D565" s="276"/>
      <c r="E565" s="276"/>
      <c r="F565" s="276"/>
      <c r="G565" s="276"/>
      <c r="H565" s="276"/>
      <c r="I565" s="270"/>
      <c r="J565" s="277" t="s">
        <v>1</v>
      </c>
      <c r="K565" s="278">
        <f>45000+7000</f>
        <v>52000</v>
      </c>
      <c r="L565" s="279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2"/>
      <c r="B566" s="270" t="s">
        <v>0</v>
      </c>
      <c r="C566" s="269" t="s">
        <v>199</v>
      </c>
      <c r="D566" s="270"/>
      <c r="E566" s="270"/>
      <c r="F566" s="270"/>
      <c r="G566" s="270"/>
      <c r="H566" s="280"/>
      <c r="I566" s="276"/>
      <c r="J566" s="270"/>
      <c r="K566" s="270"/>
      <c r="L566" s="281"/>
      <c r="M566" s="24"/>
      <c r="N566" s="39"/>
      <c r="O566" s="36" t="s">
        <v>69</v>
      </c>
      <c r="P566" s="36">
        <v>28</v>
      </c>
      <c r="Q566" s="36">
        <v>1</v>
      </c>
      <c r="R566" s="36">
        <v>0</v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2"/>
      <c r="B567" s="282" t="s">
        <v>39</v>
      </c>
      <c r="C567" s="309">
        <v>45140</v>
      </c>
      <c r="D567" s="270"/>
      <c r="E567" s="270"/>
      <c r="F567" s="406" t="s">
        <v>41</v>
      </c>
      <c r="G567" s="408"/>
      <c r="H567" s="270"/>
      <c r="I567" s="406" t="s">
        <v>42</v>
      </c>
      <c r="J567" s="407"/>
      <c r="K567" s="408"/>
      <c r="L567" s="284"/>
      <c r="N567" s="35"/>
      <c r="O567" s="36" t="s">
        <v>44</v>
      </c>
      <c r="P567" s="36">
        <v>26</v>
      </c>
      <c r="Q567" s="36">
        <v>5</v>
      </c>
      <c r="R567" s="36">
        <v>0</v>
      </c>
      <c r="S567" s="27"/>
      <c r="T567" s="36" t="s">
        <v>44</v>
      </c>
      <c r="U567" s="63"/>
      <c r="V567" s="38"/>
      <c r="W567" s="63" t="str">
        <f t="shared" ref="W567:W576" si="130">IF(U567="","",U567+V567)</f>
        <v/>
      </c>
      <c r="X567" s="38"/>
      <c r="Y567" s="63" t="str">
        <f t="shared" ref="Y567:Y576" si="131">IF(W567="","",W567-X567)</f>
        <v/>
      </c>
      <c r="Z567" s="40"/>
    </row>
    <row r="568" spans="1:27" s="25" customFormat="1" ht="18" customHeight="1" x14ac:dyDescent="0.2">
      <c r="A568" s="272"/>
      <c r="B568" s="270"/>
      <c r="C568" s="270"/>
      <c r="D568" s="270"/>
      <c r="E568" s="270"/>
      <c r="F568" s="270"/>
      <c r="G568" s="270"/>
      <c r="H568" s="285"/>
      <c r="I568" s="270"/>
      <c r="J568" s="270"/>
      <c r="K568" s="270"/>
      <c r="L568" s="286"/>
      <c r="N568" s="35"/>
      <c r="O568" s="36" t="s">
        <v>45</v>
      </c>
      <c r="P568" s="36">
        <v>29</v>
      </c>
      <c r="Q568" s="36">
        <v>1</v>
      </c>
      <c r="R568" s="36">
        <v>0</v>
      </c>
      <c r="S568" s="27"/>
      <c r="T568" s="36" t="s">
        <v>45</v>
      </c>
      <c r="U568" s="63"/>
      <c r="V568" s="38"/>
      <c r="W568" s="63" t="str">
        <f t="shared" si="130"/>
        <v/>
      </c>
      <c r="X568" s="38"/>
      <c r="Y568" s="63" t="str">
        <f t="shared" si="131"/>
        <v/>
      </c>
      <c r="Z568" s="40"/>
    </row>
    <row r="569" spans="1:27" s="25" customFormat="1" ht="18" customHeight="1" x14ac:dyDescent="0.2">
      <c r="A569" s="272"/>
      <c r="B569" s="401" t="s">
        <v>40</v>
      </c>
      <c r="C569" s="402"/>
      <c r="D569" s="270"/>
      <c r="E569" s="270"/>
      <c r="F569" s="287" t="s">
        <v>62</v>
      </c>
      <c r="G569" s="288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5"/>
      <c r="I569" s="289">
        <f>IF(C573&gt;=C572,$K$2,C571+C573)</f>
        <v>30</v>
      </c>
      <c r="J569" s="290" t="s">
        <v>59</v>
      </c>
      <c r="K569" s="291">
        <f>K565/$K$2*I569</f>
        <v>52000</v>
      </c>
      <c r="L569" s="292"/>
      <c r="N569" s="35"/>
      <c r="O569" s="36" t="s">
        <v>46</v>
      </c>
      <c r="P569" s="36">
        <v>30</v>
      </c>
      <c r="Q569" s="36">
        <v>1</v>
      </c>
      <c r="R569" s="36">
        <v>0</v>
      </c>
      <c r="S569" s="27"/>
      <c r="T569" s="36" t="s">
        <v>46</v>
      </c>
      <c r="U569" s="63"/>
      <c r="V569" s="38"/>
      <c r="W569" s="63" t="str">
        <f t="shared" si="130"/>
        <v/>
      </c>
      <c r="X569" s="38"/>
      <c r="Y569" s="63" t="str">
        <f t="shared" si="131"/>
        <v/>
      </c>
      <c r="Z569" s="40"/>
    </row>
    <row r="570" spans="1:27" s="25" customFormat="1" ht="18" customHeight="1" x14ac:dyDescent="0.2">
      <c r="A570" s="272"/>
      <c r="B570" s="293"/>
      <c r="C570" s="293"/>
      <c r="D570" s="270"/>
      <c r="E570" s="270"/>
      <c r="F570" s="287" t="s">
        <v>18</v>
      </c>
      <c r="G570" s="288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5"/>
      <c r="I570" s="289"/>
      <c r="J570" s="290" t="s">
        <v>60</v>
      </c>
      <c r="K570" s="294">
        <f>K565/$K$2/8*I570</f>
        <v>0</v>
      </c>
      <c r="L570" s="295"/>
      <c r="N570" s="35"/>
      <c r="O570" s="36" t="s">
        <v>47</v>
      </c>
      <c r="P570" s="36"/>
      <c r="Q570" s="36"/>
      <c r="R570" s="36" t="str">
        <f t="shared" ref="R570:R571" si="132">IF(Q570="","",R569-Q570)</f>
        <v/>
      </c>
      <c r="S570" s="27"/>
      <c r="T570" s="36" t="s">
        <v>47</v>
      </c>
      <c r="U570" s="63"/>
      <c r="V570" s="38"/>
      <c r="W570" s="63" t="str">
        <f t="shared" si="130"/>
        <v/>
      </c>
      <c r="X570" s="38"/>
      <c r="Y570" s="63" t="str">
        <f t="shared" si="131"/>
        <v/>
      </c>
      <c r="Z570" s="40"/>
    </row>
    <row r="571" spans="1:27" s="25" customFormat="1" ht="18" customHeight="1" x14ac:dyDescent="0.2">
      <c r="A571" s="272"/>
      <c r="B571" s="287" t="s">
        <v>7</v>
      </c>
      <c r="C571" s="293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0</v>
      </c>
      <c r="D571" s="270"/>
      <c r="E571" s="270"/>
      <c r="F571" s="287" t="s">
        <v>63</v>
      </c>
      <c r="G571" s="288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285"/>
      <c r="I571" s="389" t="s">
        <v>67</v>
      </c>
      <c r="J571" s="390"/>
      <c r="K571" s="294">
        <f>K569+K570</f>
        <v>52000</v>
      </c>
      <c r="L571" s="295"/>
      <c r="N571" s="35"/>
      <c r="O571" s="36" t="s">
        <v>48</v>
      </c>
      <c r="P571" s="36"/>
      <c r="Q571" s="36"/>
      <c r="R571" s="36" t="str">
        <f t="shared" si="132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1"/>
        <v>0</v>
      </c>
      <c r="Z571" s="40"/>
    </row>
    <row r="572" spans="1:27" s="25" customFormat="1" ht="18" customHeight="1" x14ac:dyDescent="0.2">
      <c r="A572" s="272"/>
      <c r="B572" s="287" t="s">
        <v>6</v>
      </c>
      <c r="C572" s="293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270"/>
      <c r="E572" s="270"/>
      <c r="F572" s="287" t="s">
        <v>19</v>
      </c>
      <c r="G572" s="288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5"/>
      <c r="I572" s="389" t="s">
        <v>68</v>
      </c>
      <c r="J572" s="390"/>
      <c r="K572" s="288">
        <f>G572</f>
        <v>0</v>
      </c>
      <c r="L572" s="296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0"/>
        <v>0</v>
      </c>
      <c r="X572" s="38"/>
      <c r="Y572" s="63">
        <f t="shared" si="131"/>
        <v>0</v>
      </c>
      <c r="Z572" s="40"/>
    </row>
    <row r="573" spans="1:27" s="25" customFormat="1" ht="18" customHeight="1" x14ac:dyDescent="0.2">
      <c r="A573" s="272"/>
      <c r="B573" s="302" t="s">
        <v>66</v>
      </c>
      <c r="C573" s="293" t="str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/>
      </c>
      <c r="D573" s="270"/>
      <c r="E573" s="270"/>
      <c r="F573" s="302" t="s">
        <v>195</v>
      </c>
      <c r="G573" s="288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270"/>
      <c r="I573" s="391" t="s">
        <v>61</v>
      </c>
      <c r="J573" s="391"/>
      <c r="K573" s="229">
        <f>K571-K572</f>
        <v>52000</v>
      </c>
      <c r="L573" s="297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0"/>
        <v/>
      </c>
      <c r="X573" s="38"/>
      <c r="Y573" s="63" t="str">
        <f t="shared" si="131"/>
        <v/>
      </c>
      <c r="Z573" s="40"/>
    </row>
    <row r="574" spans="1:27" s="25" customFormat="1" ht="18" customHeight="1" x14ac:dyDescent="0.2">
      <c r="A574" s="272"/>
      <c r="B574" s="270"/>
      <c r="C574" s="270"/>
      <c r="D574" s="270"/>
      <c r="E574" s="270"/>
      <c r="F574" s="270"/>
      <c r="G574" s="270"/>
      <c r="H574" s="270"/>
      <c r="I574" s="392"/>
      <c r="J574" s="392"/>
      <c r="K574" s="352"/>
      <c r="L574" s="284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0"/>
        <v/>
      </c>
      <c r="X574" s="38"/>
      <c r="Y574" s="63" t="str">
        <f t="shared" si="131"/>
        <v/>
      </c>
      <c r="Z574" s="40"/>
    </row>
    <row r="575" spans="1:27" s="25" customFormat="1" ht="18" customHeight="1" x14ac:dyDescent="0.3">
      <c r="A575" s="272"/>
      <c r="B575" s="268"/>
      <c r="C575" s="268"/>
      <c r="D575" s="268"/>
      <c r="E575" s="268"/>
      <c r="F575" s="268"/>
      <c r="G575" s="268"/>
      <c r="H575" s="268"/>
      <c r="I575" s="392"/>
      <c r="J575" s="392"/>
      <c r="K575" s="352"/>
      <c r="L575" s="284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0"/>
        <v/>
      </c>
      <c r="X575" s="38"/>
      <c r="Y575" s="63" t="str">
        <f t="shared" si="131"/>
        <v/>
      </c>
      <c r="Z575" s="40"/>
    </row>
    <row r="576" spans="1:27" s="25" customFormat="1" ht="18" customHeight="1" thickBot="1" x14ac:dyDescent="0.35">
      <c r="A576" s="298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300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0"/>
        <v/>
      </c>
      <c r="X576" s="38"/>
      <c r="Y576" s="63" t="str">
        <f t="shared" si="131"/>
        <v/>
      </c>
      <c r="Z576" s="40"/>
    </row>
    <row r="577" spans="1:27" s="56" customFormat="1" ht="18" customHeight="1" thickBot="1" x14ac:dyDescent="0.25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403" t="s">
        <v>38</v>
      </c>
      <c r="B578" s="404"/>
      <c r="C578" s="404"/>
      <c r="D578" s="404"/>
      <c r="E578" s="404"/>
      <c r="F578" s="404"/>
      <c r="G578" s="404"/>
      <c r="H578" s="404"/>
      <c r="I578" s="404"/>
      <c r="J578" s="404"/>
      <c r="K578" s="404"/>
      <c r="L578" s="405"/>
      <c r="M578" s="24"/>
      <c r="N578" s="28"/>
      <c r="O578" s="396" t="s">
        <v>40</v>
      </c>
      <c r="P578" s="397"/>
      <c r="Q578" s="397"/>
      <c r="R578" s="398"/>
      <c r="S578" s="29"/>
      <c r="T578" s="396" t="s">
        <v>41</v>
      </c>
      <c r="U578" s="397"/>
      <c r="V578" s="397"/>
      <c r="W578" s="397"/>
      <c r="X578" s="397"/>
      <c r="Y578" s="398"/>
      <c r="Z578" s="30"/>
      <c r="AA578" s="24"/>
    </row>
    <row r="579" spans="1:27" s="25" customFormat="1" ht="18" customHeight="1" x14ac:dyDescent="0.2">
      <c r="A579" s="272"/>
      <c r="B579" s="270"/>
      <c r="C579" s="399" t="s">
        <v>202</v>
      </c>
      <c r="D579" s="399"/>
      <c r="E579" s="399"/>
      <c r="F579" s="399"/>
      <c r="G579" s="273" t="str">
        <f>$J$1</f>
        <v>June</v>
      </c>
      <c r="H579" s="400">
        <f>$K$1</f>
        <v>2024</v>
      </c>
      <c r="I579" s="400"/>
      <c r="J579" s="270"/>
      <c r="K579" s="274"/>
      <c r="L579" s="275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2"/>
      <c r="B580" s="270"/>
      <c r="C580" s="270"/>
      <c r="D580" s="276"/>
      <c r="E580" s="276"/>
      <c r="F580" s="276"/>
      <c r="G580" s="276"/>
      <c r="H580" s="276"/>
      <c r="I580" s="270"/>
      <c r="J580" s="277" t="s">
        <v>1</v>
      </c>
      <c r="K580" s="278">
        <f>30000+5000+5000</f>
        <v>40000</v>
      </c>
      <c r="L580" s="279"/>
      <c r="N580" s="35"/>
      <c r="O580" s="36" t="s">
        <v>43</v>
      </c>
      <c r="P580" s="36">
        <v>31</v>
      </c>
      <c r="Q580" s="36">
        <v>0</v>
      </c>
      <c r="R580" s="36">
        <f>19-Q580+15</f>
        <v>34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2"/>
      <c r="B581" s="270" t="s">
        <v>0</v>
      </c>
      <c r="C581" s="269" t="s">
        <v>75</v>
      </c>
      <c r="D581" s="270"/>
      <c r="E581" s="270"/>
      <c r="F581" s="270"/>
      <c r="G581" s="270"/>
      <c r="H581" s="280"/>
      <c r="I581" s="276"/>
      <c r="J581" s="270"/>
      <c r="K581" s="270"/>
      <c r="L581" s="281"/>
      <c r="M581" s="24"/>
      <c r="N581" s="39"/>
      <c r="O581" s="36" t="s">
        <v>69</v>
      </c>
      <c r="P581" s="36">
        <v>29</v>
      </c>
      <c r="Q581" s="36">
        <v>0</v>
      </c>
      <c r="R581" s="36">
        <f t="shared" ref="R581:R591" si="133">IF(Q581="","",R580-Q581)</f>
        <v>34</v>
      </c>
      <c r="S581" s="27"/>
      <c r="T581" s="36" t="s">
        <v>69</v>
      </c>
      <c r="U581" s="63">
        <f>Y580</f>
        <v>0</v>
      </c>
      <c r="V581" s="38"/>
      <c r="W581" s="63">
        <f>IF(U581="","",U581+V581)</f>
        <v>0</v>
      </c>
      <c r="X581" s="38"/>
      <c r="Y581" s="63">
        <f>IF(W581="","",W581-X581)</f>
        <v>0</v>
      </c>
      <c r="Z581" s="40"/>
      <c r="AA581" s="24"/>
    </row>
    <row r="582" spans="1:27" s="25" customFormat="1" ht="18" customHeight="1" x14ac:dyDescent="0.2">
      <c r="A582" s="272"/>
      <c r="B582" s="282" t="s">
        <v>39</v>
      </c>
      <c r="C582" s="283"/>
      <c r="D582" s="270"/>
      <c r="E582" s="270"/>
      <c r="F582" s="406" t="s">
        <v>41</v>
      </c>
      <c r="G582" s="408"/>
      <c r="H582" s="270"/>
      <c r="I582" s="406" t="s">
        <v>42</v>
      </c>
      <c r="J582" s="407"/>
      <c r="K582" s="408"/>
      <c r="L582" s="284"/>
      <c r="N582" s="35"/>
      <c r="O582" s="36" t="s">
        <v>44</v>
      </c>
      <c r="P582" s="36">
        <v>31</v>
      </c>
      <c r="Q582" s="36">
        <v>0</v>
      </c>
      <c r="R582" s="36">
        <f t="shared" si="133"/>
        <v>34</v>
      </c>
      <c r="S582" s="27"/>
      <c r="T582" s="36" t="s">
        <v>44</v>
      </c>
      <c r="U582" s="63">
        <f>Y581</f>
        <v>0</v>
      </c>
      <c r="V582" s="38">
        <v>50000</v>
      </c>
      <c r="W582" s="63">
        <f t="shared" ref="W582:W591" si="134">IF(U582="","",U582+V582)</f>
        <v>50000</v>
      </c>
      <c r="X582" s="38"/>
      <c r="Y582" s="63">
        <f t="shared" ref="Y582:Y591" si="135">IF(W582="","",W582-X582)</f>
        <v>50000</v>
      </c>
      <c r="Z582" s="40"/>
    </row>
    <row r="583" spans="1:27" s="25" customFormat="1" ht="18" customHeight="1" x14ac:dyDescent="0.2">
      <c r="A583" s="272"/>
      <c r="B583" s="270"/>
      <c r="C583" s="270"/>
      <c r="D583" s="270"/>
      <c r="E583" s="270"/>
      <c r="F583" s="270"/>
      <c r="G583" s="270"/>
      <c r="H583" s="285"/>
      <c r="I583" s="270"/>
      <c r="J583" s="270"/>
      <c r="K583" s="270"/>
      <c r="L583" s="286"/>
      <c r="N583" s="35"/>
      <c r="O583" s="36" t="s">
        <v>45</v>
      </c>
      <c r="P583" s="36">
        <v>18</v>
      </c>
      <c r="Q583" s="36">
        <v>12</v>
      </c>
      <c r="R583" s="36">
        <f t="shared" si="133"/>
        <v>22</v>
      </c>
      <c r="S583" s="27"/>
      <c r="T583" s="36" t="s">
        <v>45</v>
      </c>
      <c r="U583" s="63">
        <f>Y582</f>
        <v>50000</v>
      </c>
      <c r="V583" s="38"/>
      <c r="W583" s="63">
        <f t="shared" si="134"/>
        <v>50000</v>
      </c>
      <c r="X583" s="38">
        <v>5000</v>
      </c>
      <c r="Y583" s="63">
        <f t="shared" si="135"/>
        <v>45000</v>
      </c>
      <c r="Z583" s="40"/>
    </row>
    <row r="584" spans="1:27" s="25" customFormat="1" ht="18" customHeight="1" x14ac:dyDescent="0.2">
      <c r="A584" s="272"/>
      <c r="B584" s="401" t="s">
        <v>40</v>
      </c>
      <c r="C584" s="402"/>
      <c r="D584" s="270"/>
      <c r="E584" s="270"/>
      <c r="F584" s="287" t="s">
        <v>62</v>
      </c>
      <c r="G584" s="288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40000</v>
      </c>
      <c r="H584" s="285"/>
      <c r="I584" s="289">
        <f>IF(C588&gt;=C587,$K$2,C586+C588)</f>
        <v>30</v>
      </c>
      <c r="J584" s="290" t="s">
        <v>59</v>
      </c>
      <c r="K584" s="291">
        <f>K580/$K$2*I584</f>
        <v>40000</v>
      </c>
      <c r="L584" s="292"/>
      <c r="N584" s="35"/>
      <c r="O584" s="36" t="s">
        <v>46</v>
      </c>
      <c r="P584" s="36">
        <v>31</v>
      </c>
      <c r="Q584" s="36">
        <v>0</v>
      </c>
      <c r="R584" s="36">
        <f t="shared" si="133"/>
        <v>22</v>
      </c>
      <c r="S584" s="27"/>
      <c r="T584" s="36" t="s">
        <v>46</v>
      </c>
      <c r="U584" s="63">
        <f>Y583</f>
        <v>45000</v>
      </c>
      <c r="V584" s="38"/>
      <c r="W584" s="63">
        <f t="shared" si="134"/>
        <v>45000</v>
      </c>
      <c r="X584" s="38">
        <v>5000</v>
      </c>
      <c r="Y584" s="63">
        <f t="shared" si="135"/>
        <v>40000</v>
      </c>
      <c r="Z584" s="40"/>
    </row>
    <row r="585" spans="1:27" s="25" customFormat="1" ht="18" customHeight="1" x14ac:dyDescent="0.2">
      <c r="A585" s="272"/>
      <c r="B585" s="293"/>
      <c r="C585" s="293"/>
      <c r="D585" s="270"/>
      <c r="E585" s="270"/>
      <c r="F585" s="287" t="s">
        <v>18</v>
      </c>
      <c r="G585" s="288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285"/>
      <c r="I585" s="289">
        <v>103</v>
      </c>
      <c r="J585" s="290" t="s">
        <v>60</v>
      </c>
      <c r="K585" s="294">
        <f>K580/$K$2/8*I585</f>
        <v>17166.666666666664</v>
      </c>
      <c r="L585" s="295"/>
      <c r="N585" s="35"/>
      <c r="O585" s="36" t="s">
        <v>47</v>
      </c>
      <c r="P585" s="36"/>
      <c r="Q585" s="36"/>
      <c r="R585" s="36" t="str">
        <f t="shared" si="133"/>
        <v/>
      </c>
      <c r="S585" s="27"/>
      <c r="T585" s="36" t="s">
        <v>47</v>
      </c>
      <c r="U585" s="63">
        <f>Y584</f>
        <v>40000</v>
      </c>
      <c r="V585" s="38"/>
      <c r="W585" s="63">
        <f t="shared" si="134"/>
        <v>40000</v>
      </c>
      <c r="X585" s="38">
        <v>5000</v>
      </c>
      <c r="Y585" s="63">
        <f t="shared" si="135"/>
        <v>35000</v>
      </c>
      <c r="Z585" s="40"/>
    </row>
    <row r="586" spans="1:27" s="25" customFormat="1" ht="18" customHeight="1" x14ac:dyDescent="0.2">
      <c r="A586" s="272"/>
      <c r="B586" s="287" t="s">
        <v>7</v>
      </c>
      <c r="C586" s="293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0</v>
      </c>
      <c r="D586" s="270"/>
      <c r="E586" s="270"/>
      <c r="F586" s="287" t="s">
        <v>63</v>
      </c>
      <c r="G586" s="288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40000</v>
      </c>
      <c r="H586" s="285"/>
      <c r="I586" s="389" t="s">
        <v>67</v>
      </c>
      <c r="J586" s="390"/>
      <c r="K586" s="294">
        <f>K584+K585</f>
        <v>57166.666666666664</v>
      </c>
      <c r="L586" s="295"/>
      <c r="N586" s="35"/>
      <c r="O586" s="36" t="s">
        <v>48</v>
      </c>
      <c r="P586" s="36"/>
      <c r="Q586" s="36"/>
      <c r="R586" s="36" t="str">
        <f t="shared" si="133"/>
        <v/>
      </c>
      <c r="S586" s="27"/>
      <c r="T586" s="36" t="s">
        <v>48</v>
      </c>
      <c r="U586" s="63"/>
      <c r="V586" s="38"/>
      <c r="W586" s="63" t="str">
        <f t="shared" si="134"/>
        <v/>
      </c>
      <c r="X586" s="38"/>
      <c r="Y586" s="63" t="str">
        <f t="shared" si="135"/>
        <v/>
      </c>
      <c r="Z586" s="40"/>
    </row>
    <row r="587" spans="1:27" s="25" customFormat="1" ht="18" customHeight="1" x14ac:dyDescent="0.2">
      <c r="A587" s="272"/>
      <c r="B587" s="287" t="s">
        <v>6</v>
      </c>
      <c r="C587" s="293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270"/>
      <c r="E587" s="270"/>
      <c r="F587" s="287" t="s">
        <v>19</v>
      </c>
      <c r="G587" s="288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5000</v>
      </c>
      <c r="H587" s="285"/>
      <c r="I587" s="389" t="s">
        <v>68</v>
      </c>
      <c r="J587" s="390"/>
      <c r="K587" s="288">
        <f>G587</f>
        <v>5000</v>
      </c>
      <c r="L587" s="296"/>
      <c r="N587" s="35"/>
      <c r="O587" s="36" t="s">
        <v>49</v>
      </c>
      <c r="P587" s="36"/>
      <c r="Q587" s="36"/>
      <c r="R587" s="36" t="str">
        <f t="shared" si="133"/>
        <v/>
      </c>
      <c r="S587" s="27"/>
      <c r="T587" s="36" t="s">
        <v>49</v>
      </c>
      <c r="U587" s="63"/>
      <c r="V587" s="38"/>
      <c r="W587" s="63" t="str">
        <f t="shared" si="134"/>
        <v/>
      </c>
      <c r="X587" s="38"/>
      <c r="Y587" s="63" t="str">
        <f t="shared" si="135"/>
        <v/>
      </c>
      <c r="Z587" s="40"/>
    </row>
    <row r="588" spans="1:27" s="25" customFormat="1" ht="18" customHeight="1" x14ac:dyDescent="0.2">
      <c r="A588" s="272"/>
      <c r="B588" s="302" t="s">
        <v>66</v>
      </c>
      <c r="C588" s="293" t="str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/>
      </c>
      <c r="D588" s="270"/>
      <c r="E588" s="270"/>
      <c r="F588" s="302" t="s">
        <v>195</v>
      </c>
      <c r="G588" s="28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35000</v>
      </c>
      <c r="H588" s="270"/>
      <c r="I588" s="391" t="s">
        <v>61</v>
      </c>
      <c r="J588" s="391"/>
      <c r="K588" s="229">
        <f>K586-K587</f>
        <v>52166.666666666664</v>
      </c>
      <c r="L588" s="297"/>
      <c r="N588" s="35"/>
      <c r="O588" s="36" t="s">
        <v>54</v>
      </c>
      <c r="P588" s="36"/>
      <c r="Q588" s="36"/>
      <c r="R588" s="36" t="str">
        <f t="shared" si="133"/>
        <v/>
      </c>
      <c r="S588" s="27"/>
      <c r="T588" s="36" t="s">
        <v>54</v>
      </c>
      <c r="U588" s="63"/>
      <c r="V588" s="38"/>
      <c r="W588" s="63" t="str">
        <f t="shared" si="134"/>
        <v/>
      </c>
      <c r="X588" s="38"/>
      <c r="Y588" s="63" t="str">
        <f t="shared" si="135"/>
        <v/>
      </c>
      <c r="Z588" s="40"/>
    </row>
    <row r="589" spans="1:27" s="25" customFormat="1" ht="18" customHeight="1" x14ac:dyDescent="0.2">
      <c r="A589" s="272"/>
      <c r="B589" s="270"/>
      <c r="C589" s="270"/>
      <c r="D589" s="270"/>
      <c r="E589" s="270"/>
      <c r="F589" s="270"/>
      <c r="G589" s="270"/>
      <c r="H589" s="270"/>
      <c r="I589" s="392"/>
      <c r="J589" s="392"/>
      <c r="K589" s="352"/>
      <c r="L589" s="284"/>
      <c r="N589" s="35"/>
      <c r="O589" s="36" t="s">
        <v>50</v>
      </c>
      <c r="P589" s="36"/>
      <c r="Q589" s="36"/>
      <c r="R589" s="36" t="str">
        <f t="shared" si="133"/>
        <v/>
      </c>
      <c r="S589" s="27"/>
      <c r="T589" s="36" t="s">
        <v>50</v>
      </c>
      <c r="U589" s="63"/>
      <c r="V589" s="38"/>
      <c r="W589" s="63" t="str">
        <f t="shared" si="134"/>
        <v/>
      </c>
      <c r="X589" s="38"/>
      <c r="Y589" s="63" t="str">
        <f t="shared" si="135"/>
        <v/>
      </c>
      <c r="Z589" s="40"/>
    </row>
    <row r="590" spans="1:27" s="25" customFormat="1" ht="18" customHeight="1" x14ac:dyDescent="0.3">
      <c r="A590" s="272"/>
      <c r="B590" s="268"/>
      <c r="C590" s="268"/>
      <c r="D590" s="268"/>
      <c r="E590" s="268"/>
      <c r="F590" s="268"/>
      <c r="G590" s="268"/>
      <c r="H590" s="268"/>
      <c r="I590" s="426"/>
      <c r="J590" s="426"/>
      <c r="K590" s="352"/>
      <c r="L590" s="284"/>
      <c r="N590" s="35"/>
      <c r="O590" s="36" t="s">
        <v>55</v>
      </c>
      <c r="P590" s="36"/>
      <c r="Q590" s="36"/>
      <c r="R590" s="36" t="str">
        <f t="shared" si="133"/>
        <v/>
      </c>
      <c r="S590" s="27"/>
      <c r="T590" s="36" t="s">
        <v>55</v>
      </c>
      <c r="U590" s="63"/>
      <c r="V590" s="38"/>
      <c r="W590" s="63" t="str">
        <f t="shared" si="134"/>
        <v/>
      </c>
      <c r="X590" s="38"/>
      <c r="Y590" s="63" t="str">
        <f t="shared" si="135"/>
        <v/>
      </c>
      <c r="Z590" s="40"/>
    </row>
    <row r="591" spans="1:27" s="25" customFormat="1" ht="18" customHeight="1" thickBot="1" x14ac:dyDescent="0.35">
      <c r="A591" s="298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300"/>
      <c r="N591" s="35"/>
      <c r="O591" s="36" t="s">
        <v>56</v>
      </c>
      <c r="P591" s="36"/>
      <c r="Q591" s="36"/>
      <c r="R591" s="36" t="str">
        <f t="shared" si="133"/>
        <v/>
      </c>
      <c r="S591" s="27"/>
      <c r="T591" s="36" t="s">
        <v>56</v>
      </c>
      <c r="U591" s="63"/>
      <c r="V591" s="38"/>
      <c r="W591" s="63" t="str">
        <f t="shared" si="134"/>
        <v/>
      </c>
      <c r="X591" s="38"/>
      <c r="Y591" s="63" t="str">
        <f t="shared" si="135"/>
        <v/>
      </c>
      <c r="Z591" s="40"/>
    </row>
    <row r="592" spans="1:27" s="56" customFormat="1" ht="18" customHeight="1" thickBot="1" x14ac:dyDescent="0.25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09" t="s">
        <v>38</v>
      </c>
      <c r="B593" s="410"/>
      <c r="C593" s="410"/>
      <c r="D593" s="410"/>
      <c r="E593" s="410"/>
      <c r="F593" s="410"/>
      <c r="G593" s="410"/>
      <c r="H593" s="410"/>
      <c r="I593" s="410"/>
      <c r="J593" s="410"/>
      <c r="K593" s="410"/>
      <c r="L593" s="411"/>
      <c r="M593" s="24"/>
      <c r="N593" s="28"/>
      <c r="O593" s="396" t="s">
        <v>40</v>
      </c>
      <c r="P593" s="397"/>
      <c r="Q593" s="397"/>
      <c r="R593" s="398"/>
      <c r="S593" s="29"/>
      <c r="T593" s="396" t="s">
        <v>41</v>
      </c>
      <c r="U593" s="397"/>
      <c r="V593" s="397"/>
      <c r="W593" s="397"/>
      <c r="X593" s="397"/>
      <c r="Y593" s="398"/>
      <c r="Z593" s="30"/>
      <c r="AA593" s="24"/>
    </row>
    <row r="594" spans="1:27" s="25" customFormat="1" ht="18" customHeight="1" x14ac:dyDescent="0.2">
      <c r="A594" s="272"/>
      <c r="B594" s="270"/>
      <c r="C594" s="399" t="s">
        <v>202</v>
      </c>
      <c r="D594" s="399"/>
      <c r="E594" s="399"/>
      <c r="F594" s="399"/>
      <c r="G594" s="273" t="str">
        <f>$J$1</f>
        <v>June</v>
      </c>
      <c r="H594" s="400">
        <f>$K$1</f>
        <v>2024</v>
      </c>
      <c r="I594" s="400"/>
      <c r="J594" s="270"/>
      <c r="K594" s="274"/>
      <c r="L594" s="275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2"/>
      <c r="B595" s="270"/>
      <c r="C595" s="270"/>
      <c r="D595" s="276"/>
      <c r="E595" s="276"/>
      <c r="F595" s="276"/>
      <c r="G595" s="276"/>
      <c r="H595" s="276"/>
      <c r="I595" s="270"/>
      <c r="J595" s="277" t="s">
        <v>1</v>
      </c>
      <c r="K595" s="278">
        <f>40000+10000+5000</f>
        <v>55000</v>
      </c>
      <c r="L595" s="279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2"/>
      <c r="B596" s="270" t="s">
        <v>0</v>
      </c>
      <c r="C596" s="269" t="s">
        <v>212</v>
      </c>
      <c r="D596" s="270"/>
      <c r="E596" s="270"/>
      <c r="F596" s="270"/>
      <c r="G596" s="270"/>
      <c r="H596" s="280"/>
      <c r="I596" s="276"/>
      <c r="J596" s="270"/>
      <c r="K596" s="270"/>
      <c r="L596" s="281"/>
      <c r="M596" s="24"/>
      <c r="N596" s="39"/>
      <c r="O596" s="36" t="s">
        <v>69</v>
      </c>
      <c r="P596" s="36">
        <v>28</v>
      </c>
      <c r="Q596" s="36">
        <v>2</v>
      </c>
      <c r="R596" s="36">
        <v>0</v>
      </c>
      <c r="S596" s="27"/>
      <c r="T596" s="36" t="s">
        <v>69</v>
      </c>
      <c r="U596" s="63">
        <f>IF($J$1="January","",Y595)</f>
        <v>0</v>
      </c>
      <c r="V596" s="38">
        <v>4000</v>
      </c>
      <c r="W596" s="63">
        <f>IF(U596="","",U596+V596)</f>
        <v>4000</v>
      </c>
      <c r="X596" s="38">
        <v>2000</v>
      </c>
      <c r="Y596" s="63">
        <f>IF(W596="","",W596-X596)</f>
        <v>2000</v>
      </c>
      <c r="Z596" s="40"/>
      <c r="AA596" s="24"/>
    </row>
    <row r="597" spans="1:27" s="25" customFormat="1" ht="18" customHeight="1" x14ac:dyDescent="0.2">
      <c r="A597" s="272"/>
      <c r="B597" s="282" t="s">
        <v>39</v>
      </c>
      <c r="C597" s="308"/>
      <c r="D597" s="270"/>
      <c r="E597" s="270"/>
      <c r="F597" s="391" t="s">
        <v>41</v>
      </c>
      <c r="G597" s="391"/>
      <c r="H597" s="270"/>
      <c r="I597" s="391" t="s">
        <v>42</v>
      </c>
      <c r="J597" s="391"/>
      <c r="K597" s="391"/>
      <c r="L597" s="284"/>
      <c r="N597" s="35"/>
      <c r="O597" s="36" t="s">
        <v>44</v>
      </c>
      <c r="P597" s="36">
        <v>28</v>
      </c>
      <c r="Q597" s="36">
        <v>3</v>
      </c>
      <c r="R597" s="36">
        <v>0</v>
      </c>
      <c r="S597" s="27"/>
      <c r="T597" s="36" t="s">
        <v>44</v>
      </c>
      <c r="U597" s="63">
        <f>IF($J$1="February","",Y596)</f>
        <v>2000</v>
      </c>
      <c r="V597" s="38">
        <v>15000</v>
      </c>
      <c r="W597" s="63">
        <f t="shared" ref="W597:W606" si="136">IF(U597="","",U597+V597)</f>
        <v>17000</v>
      </c>
      <c r="X597" s="38">
        <v>5000</v>
      </c>
      <c r="Y597" s="63">
        <f t="shared" ref="Y597:Y606" si="137">IF(W597="","",W597-X597)</f>
        <v>12000</v>
      </c>
      <c r="Z597" s="40"/>
    </row>
    <row r="598" spans="1:27" s="25" customFormat="1" ht="18" customHeight="1" x14ac:dyDescent="0.2">
      <c r="A598" s="272"/>
      <c r="B598" s="270"/>
      <c r="C598" s="270"/>
      <c r="D598" s="270"/>
      <c r="E598" s="270"/>
      <c r="F598" s="270"/>
      <c r="G598" s="270"/>
      <c r="H598" s="285"/>
      <c r="I598" s="270"/>
      <c r="J598" s="270"/>
      <c r="K598" s="270"/>
      <c r="L598" s="286"/>
      <c r="N598" s="35"/>
      <c r="O598" s="36" t="s">
        <v>45</v>
      </c>
      <c r="P598" s="36">
        <v>30</v>
      </c>
      <c r="Q598" s="36">
        <v>0</v>
      </c>
      <c r="R598" s="36">
        <v>0</v>
      </c>
      <c r="S598" s="27"/>
      <c r="T598" s="36" t="s">
        <v>45</v>
      </c>
      <c r="U598" s="63">
        <f>IF($J$1="March","",Y597)</f>
        <v>12000</v>
      </c>
      <c r="V598" s="38"/>
      <c r="W598" s="63">
        <f t="shared" si="136"/>
        <v>12000</v>
      </c>
      <c r="X598" s="38">
        <v>5000</v>
      </c>
      <c r="Y598" s="63">
        <f t="shared" si="137"/>
        <v>7000</v>
      </c>
      <c r="Z598" s="40"/>
    </row>
    <row r="599" spans="1:27" s="25" customFormat="1" ht="18" customHeight="1" x14ac:dyDescent="0.2">
      <c r="A599" s="272"/>
      <c r="B599" s="401" t="s">
        <v>40</v>
      </c>
      <c r="C599" s="402"/>
      <c r="D599" s="270"/>
      <c r="E599" s="270"/>
      <c r="F599" s="287" t="s">
        <v>62</v>
      </c>
      <c r="G599" s="28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2000</v>
      </c>
      <c r="H599" s="285"/>
      <c r="I599" s="289">
        <f>IF(C603&gt;0,$K$2,C601)</f>
        <v>27</v>
      </c>
      <c r="J599" s="290" t="s">
        <v>59</v>
      </c>
      <c r="K599" s="291">
        <f>K595/$K$2*I599</f>
        <v>49500</v>
      </c>
      <c r="L599" s="292"/>
      <c r="N599" s="35"/>
      <c r="O599" s="36" t="s">
        <v>46</v>
      </c>
      <c r="P599" s="36">
        <v>25</v>
      </c>
      <c r="Q599" s="36">
        <v>6</v>
      </c>
      <c r="R599" s="36">
        <v>0</v>
      </c>
      <c r="S599" s="27"/>
      <c r="T599" s="36" t="s">
        <v>46</v>
      </c>
      <c r="U599" s="63">
        <f>IF($J$1="April","",Y598)</f>
        <v>7000</v>
      </c>
      <c r="V599" s="38"/>
      <c r="W599" s="63">
        <f t="shared" si="136"/>
        <v>7000</v>
      </c>
      <c r="X599" s="38">
        <v>5000</v>
      </c>
      <c r="Y599" s="63">
        <f t="shared" si="137"/>
        <v>2000</v>
      </c>
      <c r="Z599" s="40"/>
    </row>
    <row r="600" spans="1:27" s="25" customFormat="1" ht="18" customHeight="1" x14ac:dyDescent="0.2">
      <c r="A600" s="272"/>
      <c r="B600" s="293"/>
      <c r="C600" s="293"/>
      <c r="D600" s="270"/>
      <c r="E600" s="270"/>
      <c r="F600" s="287" t="s">
        <v>18</v>
      </c>
      <c r="G600" s="28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30000</v>
      </c>
      <c r="H600" s="285"/>
      <c r="I600" s="306">
        <v>99</v>
      </c>
      <c r="J600" s="290" t="s">
        <v>60</v>
      </c>
      <c r="K600" s="294">
        <f>K595/$K$2/8*I600</f>
        <v>22687.5</v>
      </c>
      <c r="L600" s="295"/>
      <c r="N600" s="35"/>
      <c r="O600" s="36" t="s">
        <v>47</v>
      </c>
      <c r="P600" s="36">
        <v>27</v>
      </c>
      <c r="Q600" s="36">
        <v>3</v>
      </c>
      <c r="R600" s="36">
        <v>0</v>
      </c>
      <c r="S600" s="27"/>
      <c r="T600" s="36" t="s">
        <v>47</v>
      </c>
      <c r="U600" s="63">
        <f>IF($J$1="May","",Y599)</f>
        <v>2000</v>
      </c>
      <c r="V600" s="38">
        <v>30000</v>
      </c>
      <c r="W600" s="63">
        <f t="shared" si="136"/>
        <v>32000</v>
      </c>
      <c r="X600" s="38">
        <v>5000</v>
      </c>
      <c r="Y600" s="63">
        <f t="shared" si="137"/>
        <v>27000</v>
      </c>
      <c r="Z600" s="40"/>
    </row>
    <row r="601" spans="1:27" s="25" customFormat="1" ht="18" customHeight="1" x14ac:dyDescent="0.2">
      <c r="A601" s="272"/>
      <c r="B601" s="287" t="s">
        <v>7</v>
      </c>
      <c r="C601" s="293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27</v>
      </c>
      <c r="D601" s="270"/>
      <c r="E601" s="270"/>
      <c r="F601" s="287" t="s">
        <v>63</v>
      </c>
      <c r="G601" s="28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32000</v>
      </c>
      <c r="H601" s="285"/>
      <c r="I601" s="389" t="s">
        <v>67</v>
      </c>
      <c r="J601" s="390"/>
      <c r="K601" s="294">
        <f>K599+K600</f>
        <v>72187.5</v>
      </c>
      <c r="L601" s="295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6"/>
        <v/>
      </c>
      <c r="X601" s="38"/>
      <c r="Y601" s="63" t="str">
        <f t="shared" si="137"/>
        <v/>
      </c>
      <c r="Z601" s="40"/>
    </row>
    <row r="602" spans="1:27" s="25" customFormat="1" ht="18" customHeight="1" x14ac:dyDescent="0.2">
      <c r="A602" s="272"/>
      <c r="B602" s="287" t="s">
        <v>6</v>
      </c>
      <c r="C602" s="293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3</v>
      </c>
      <c r="D602" s="270"/>
      <c r="E602" s="270"/>
      <c r="F602" s="287" t="s">
        <v>19</v>
      </c>
      <c r="G602" s="28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5000</v>
      </c>
      <c r="H602" s="285"/>
      <c r="I602" s="389" t="s">
        <v>68</v>
      </c>
      <c r="J602" s="390"/>
      <c r="K602" s="288">
        <f>G602</f>
        <v>5000</v>
      </c>
      <c r="L602" s="296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6"/>
        <v/>
      </c>
      <c r="X602" s="38"/>
      <c r="Y602" s="63" t="str">
        <f t="shared" si="137"/>
        <v/>
      </c>
      <c r="Z602" s="40"/>
    </row>
    <row r="603" spans="1:27" s="25" customFormat="1" ht="18" customHeight="1" x14ac:dyDescent="0.2">
      <c r="A603" s="272"/>
      <c r="B603" s="304" t="s">
        <v>66</v>
      </c>
      <c r="C603" s="293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0"/>
      <c r="E603" s="270"/>
      <c r="F603" s="287" t="s">
        <v>65</v>
      </c>
      <c r="G603" s="28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27000</v>
      </c>
      <c r="H603" s="270"/>
      <c r="I603" s="391" t="s">
        <v>61</v>
      </c>
      <c r="J603" s="391"/>
      <c r="K603" s="229">
        <f>K601-K602</f>
        <v>67187.5</v>
      </c>
      <c r="L603" s="297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6"/>
        <v/>
      </c>
      <c r="X603" s="38"/>
      <c r="Y603" s="63" t="str">
        <f t="shared" si="137"/>
        <v/>
      </c>
      <c r="Z603" s="40"/>
    </row>
    <row r="604" spans="1:27" s="25" customFormat="1" ht="18" customHeight="1" x14ac:dyDescent="0.2">
      <c r="A604" s="272"/>
      <c r="B604" s="270"/>
      <c r="C604" s="270"/>
      <c r="D604" s="270"/>
      <c r="E604" s="270"/>
      <c r="F604" s="270"/>
      <c r="G604" s="270"/>
      <c r="H604" s="270"/>
      <c r="I604" s="392"/>
      <c r="J604" s="392"/>
      <c r="K604" s="352"/>
      <c r="L604" s="284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6"/>
        <v/>
      </c>
      <c r="X604" s="38"/>
      <c r="Y604" s="63" t="str">
        <f t="shared" si="137"/>
        <v/>
      </c>
      <c r="Z604" s="40"/>
    </row>
    <row r="605" spans="1:27" s="25" customFormat="1" ht="18" customHeight="1" x14ac:dyDescent="0.3">
      <c r="A605" s="272"/>
      <c r="B605" s="268"/>
      <c r="C605" s="268"/>
      <c r="D605" s="268"/>
      <c r="E605" s="268"/>
      <c r="F605" s="268"/>
      <c r="G605" s="268"/>
      <c r="H605" s="268"/>
      <c r="I605" s="392"/>
      <c r="J605" s="392"/>
      <c r="K605" s="352"/>
      <c r="L605" s="284"/>
      <c r="N605" s="35"/>
      <c r="O605" s="36" t="s">
        <v>55</v>
      </c>
      <c r="P605" s="339"/>
      <c r="Q605" s="339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6"/>
        <v/>
      </c>
      <c r="X605" s="38"/>
      <c r="Y605" s="63" t="str">
        <f t="shared" si="137"/>
        <v/>
      </c>
      <c r="Z605" s="40"/>
    </row>
    <row r="606" spans="1:27" s="25" customFormat="1" ht="18" customHeight="1" x14ac:dyDescent="0.3">
      <c r="A606" s="272"/>
      <c r="B606" s="268"/>
      <c r="C606" s="268"/>
      <c r="D606" s="268"/>
      <c r="E606" s="268"/>
      <c r="F606" s="268"/>
      <c r="G606" s="268"/>
      <c r="H606" s="268"/>
      <c r="I606" s="268"/>
      <c r="J606" s="268"/>
      <c r="K606" s="268"/>
      <c r="L606" s="284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6"/>
        <v/>
      </c>
      <c r="X606" s="38"/>
      <c r="Y606" s="63" t="str">
        <f t="shared" si="137"/>
        <v/>
      </c>
      <c r="Z606" s="40"/>
    </row>
    <row r="607" spans="1:27" s="25" customFormat="1" ht="18" customHeight="1" thickBot="1" x14ac:dyDescent="0.25">
      <c r="A607" s="298"/>
      <c r="B607" s="305"/>
      <c r="C607" s="305"/>
      <c r="D607" s="305"/>
      <c r="E607" s="305"/>
      <c r="F607" s="305"/>
      <c r="G607" s="305"/>
      <c r="H607" s="305"/>
      <c r="I607" s="305"/>
      <c r="J607" s="305"/>
      <c r="K607" s="305"/>
      <c r="L607" s="300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8"/>
      <c r="B608" s="305"/>
      <c r="C608" s="305"/>
      <c r="D608" s="305"/>
      <c r="E608" s="305"/>
      <c r="F608" s="305"/>
      <c r="G608" s="305"/>
      <c r="H608" s="305"/>
      <c r="I608" s="305"/>
      <c r="J608" s="305"/>
      <c r="K608" s="305"/>
      <c r="L608" s="300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7"/>
    </row>
    <row r="609" spans="1:27" s="25" customFormat="1" ht="18" customHeight="1" thickBot="1" x14ac:dyDescent="0.25">
      <c r="A609" s="403" t="s">
        <v>38</v>
      </c>
      <c r="B609" s="404"/>
      <c r="C609" s="404"/>
      <c r="D609" s="404"/>
      <c r="E609" s="404"/>
      <c r="F609" s="404"/>
      <c r="G609" s="404"/>
      <c r="H609" s="404"/>
      <c r="I609" s="404"/>
      <c r="J609" s="404"/>
      <c r="K609" s="404"/>
      <c r="L609" s="405"/>
      <c r="M609" s="24"/>
      <c r="N609" s="28"/>
      <c r="O609" s="396" t="s">
        <v>40</v>
      </c>
      <c r="P609" s="397"/>
      <c r="Q609" s="397"/>
      <c r="R609" s="398"/>
      <c r="S609" s="29"/>
      <c r="T609" s="396" t="s">
        <v>41</v>
      </c>
      <c r="U609" s="397"/>
      <c r="V609" s="397"/>
      <c r="W609" s="397"/>
      <c r="X609" s="397"/>
      <c r="Y609" s="398"/>
      <c r="Z609" s="30"/>
      <c r="AA609" s="24"/>
    </row>
    <row r="610" spans="1:27" s="25" customFormat="1" ht="18" customHeight="1" x14ac:dyDescent="0.2">
      <c r="A610" s="272"/>
      <c r="B610" s="270"/>
      <c r="C610" s="399" t="s">
        <v>202</v>
      </c>
      <c r="D610" s="399"/>
      <c r="E610" s="399"/>
      <c r="F610" s="399"/>
      <c r="G610" s="273" t="str">
        <f>$J$1</f>
        <v>June</v>
      </c>
      <c r="H610" s="400">
        <f>$K$1</f>
        <v>2024</v>
      </c>
      <c r="I610" s="400"/>
      <c r="J610" s="270"/>
      <c r="K610" s="274"/>
      <c r="L610" s="275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2"/>
      <c r="B611" s="270"/>
      <c r="C611" s="270"/>
      <c r="D611" s="276"/>
      <c r="E611" s="276"/>
      <c r="F611" s="276"/>
      <c r="G611" s="276"/>
      <c r="H611" s="276"/>
      <c r="I611" s="270"/>
      <c r="J611" s="277" t="s">
        <v>1</v>
      </c>
      <c r="K611" s="278">
        <v>32000</v>
      </c>
      <c r="L611" s="279"/>
      <c r="N611" s="35"/>
      <c r="O611" s="36" t="s">
        <v>43</v>
      </c>
      <c r="P611" s="36"/>
      <c r="Q611" s="36"/>
      <c r="R611" s="36"/>
      <c r="S611" s="37"/>
      <c r="T611" s="36" t="s">
        <v>43</v>
      </c>
      <c r="U611" s="38"/>
      <c r="V611" s="38"/>
      <c r="W611" s="38">
        <f>V611+U611</f>
        <v>0</v>
      </c>
      <c r="X611" s="38"/>
      <c r="Y611" s="38">
        <f>W611-X611</f>
        <v>0</v>
      </c>
      <c r="Z611" s="34"/>
    </row>
    <row r="612" spans="1:27" s="25" customFormat="1" ht="18" customHeight="1" x14ac:dyDescent="0.2">
      <c r="A612" s="272"/>
      <c r="B612" s="270" t="s">
        <v>0</v>
      </c>
      <c r="C612" s="269" t="s">
        <v>223</v>
      </c>
      <c r="D612" s="270"/>
      <c r="E612" s="270"/>
      <c r="F612" s="270"/>
      <c r="G612" s="270"/>
      <c r="H612" s="280"/>
      <c r="I612" s="276"/>
      <c r="J612" s="270"/>
      <c r="K612" s="270"/>
      <c r="L612" s="281"/>
      <c r="M612" s="24"/>
      <c r="N612" s="39"/>
      <c r="O612" s="36" t="s">
        <v>69</v>
      </c>
      <c r="P612" s="36">
        <v>26</v>
      </c>
      <c r="Q612" s="36">
        <v>2</v>
      </c>
      <c r="R612" s="36">
        <v>0</v>
      </c>
      <c r="S612" s="27"/>
      <c r="T612" s="36" t="s">
        <v>69</v>
      </c>
      <c r="U612" s="63">
        <f>Y611</f>
        <v>0</v>
      </c>
      <c r="V612" s="38"/>
      <c r="W612" s="63">
        <f>IF(U612="","",U612+V612)</f>
        <v>0</v>
      </c>
      <c r="X612" s="38"/>
      <c r="Y612" s="63">
        <f>IF(W612="","",W612-X612)</f>
        <v>0</v>
      </c>
      <c r="Z612" s="40"/>
      <c r="AA612" s="24"/>
    </row>
    <row r="613" spans="1:27" s="25" customFormat="1" ht="18" customHeight="1" x14ac:dyDescent="0.2">
      <c r="A613" s="272"/>
      <c r="B613" s="282" t="s">
        <v>39</v>
      </c>
      <c r="C613" s="309">
        <v>45324</v>
      </c>
      <c r="D613" s="270"/>
      <c r="E613" s="270"/>
      <c r="F613" s="406" t="s">
        <v>41</v>
      </c>
      <c r="G613" s="408"/>
      <c r="H613" s="270"/>
      <c r="I613" s="406" t="s">
        <v>42</v>
      </c>
      <c r="J613" s="407"/>
      <c r="K613" s="408"/>
      <c r="L613" s="284"/>
      <c r="N613" s="35"/>
      <c r="O613" s="36" t="s">
        <v>44</v>
      </c>
      <c r="P613" s="36">
        <v>30</v>
      </c>
      <c r="Q613" s="36">
        <v>1</v>
      </c>
      <c r="R613" s="36">
        <v>0</v>
      </c>
      <c r="S613" s="27"/>
      <c r="T613" s="36" t="s">
        <v>44</v>
      </c>
      <c r="U613" s="63"/>
      <c r="V613" s="38"/>
      <c r="W613" s="63" t="str">
        <f t="shared" ref="W613:W622" si="138">IF(U613="","",U613+V613)</f>
        <v/>
      </c>
      <c r="X613" s="38"/>
      <c r="Y613" s="63" t="str">
        <f t="shared" ref="Y613:Y622" si="139">IF(W613="","",W613-X613)</f>
        <v/>
      </c>
      <c r="Z613" s="40"/>
    </row>
    <row r="614" spans="1:27" s="25" customFormat="1" ht="18" customHeight="1" x14ac:dyDescent="0.2">
      <c r="A614" s="272"/>
      <c r="B614" s="270"/>
      <c r="C614" s="270"/>
      <c r="D614" s="270"/>
      <c r="E614" s="270"/>
      <c r="F614" s="270"/>
      <c r="G614" s="270"/>
      <c r="H614" s="285"/>
      <c r="I614" s="270"/>
      <c r="J614" s="270"/>
      <c r="K614" s="270"/>
      <c r="L614" s="286"/>
      <c r="N614" s="35"/>
      <c r="O614" s="36" t="s">
        <v>45</v>
      </c>
      <c r="P614" s="36">
        <v>27</v>
      </c>
      <c r="Q614" s="36">
        <v>3</v>
      </c>
      <c r="R614" s="36">
        <v>0</v>
      </c>
      <c r="S614" s="27"/>
      <c r="T614" s="36" t="s">
        <v>45</v>
      </c>
      <c r="U614" s="63" t="str">
        <f t="shared" ref="U614:U617" si="140">Y613</f>
        <v/>
      </c>
      <c r="V614" s="38"/>
      <c r="W614" s="63" t="str">
        <f t="shared" si="138"/>
        <v/>
      </c>
      <c r="X614" s="38"/>
      <c r="Y614" s="63" t="str">
        <f t="shared" si="139"/>
        <v/>
      </c>
      <c r="Z614" s="40"/>
    </row>
    <row r="615" spans="1:27" s="25" customFormat="1" ht="18" customHeight="1" x14ac:dyDescent="0.2">
      <c r="A615" s="272"/>
      <c r="B615" s="401" t="s">
        <v>40</v>
      </c>
      <c r="C615" s="402"/>
      <c r="D615" s="270"/>
      <c r="E615" s="270"/>
      <c r="F615" s="287" t="s">
        <v>62</v>
      </c>
      <c r="G615" s="288" t="str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/>
      </c>
      <c r="H615" s="285"/>
      <c r="I615" s="289">
        <f>IF(C619&gt;=C618,$K$2,C617+C619)</f>
        <v>28</v>
      </c>
      <c r="J615" s="290" t="s">
        <v>59</v>
      </c>
      <c r="K615" s="291">
        <f>K611/$K$2*I615</f>
        <v>29866.666666666668</v>
      </c>
      <c r="L615" s="292"/>
      <c r="N615" s="35"/>
      <c r="O615" s="36" t="s">
        <v>46</v>
      </c>
      <c r="P615" s="36">
        <v>29</v>
      </c>
      <c r="Q615" s="36">
        <v>2</v>
      </c>
      <c r="R615" s="36">
        <v>0</v>
      </c>
      <c r="S615" s="27"/>
      <c r="T615" s="36" t="s">
        <v>46</v>
      </c>
      <c r="U615" s="63" t="str">
        <f t="shared" si="140"/>
        <v/>
      </c>
      <c r="V615" s="38"/>
      <c r="W615" s="63" t="str">
        <f t="shared" si="138"/>
        <v/>
      </c>
      <c r="X615" s="38"/>
      <c r="Y615" s="63" t="str">
        <f t="shared" si="139"/>
        <v/>
      </c>
      <c r="Z615" s="40"/>
    </row>
    <row r="616" spans="1:27" s="25" customFormat="1" ht="18" customHeight="1" x14ac:dyDescent="0.2">
      <c r="A616" s="272"/>
      <c r="B616" s="293"/>
      <c r="C616" s="293"/>
      <c r="D616" s="270"/>
      <c r="E616" s="270"/>
      <c r="F616" s="287" t="s">
        <v>18</v>
      </c>
      <c r="G616" s="288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5"/>
      <c r="I616" s="289">
        <v>63</v>
      </c>
      <c r="J616" s="290" t="s">
        <v>60</v>
      </c>
      <c r="K616" s="294">
        <f>K611/$K$2/8*I616</f>
        <v>8400</v>
      </c>
      <c r="L616" s="295"/>
      <c r="N616" s="35"/>
      <c r="O616" s="36" t="s">
        <v>47</v>
      </c>
      <c r="P616" s="36">
        <v>28</v>
      </c>
      <c r="Q616" s="36">
        <v>2</v>
      </c>
      <c r="R616" s="36">
        <v>0</v>
      </c>
      <c r="S616" s="27"/>
      <c r="T616" s="36" t="s">
        <v>47</v>
      </c>
      <c r="U616" s="63" t="str">
        <f t="shared" si="140"/>
        <v/>
      </c>
      <c r="V616" s="38"/>
      <c r="W616" s="63" t="str">
        <f t="shared" si="138"/>
        <v/>
      </c>
      <c r="X616" s="38"/>
      <c r="Y616" s="63" t="str">
        <f t="shared" si="139"/>
        <v/>
      </c>
      <c r="Z616" s="40"/>
    </row>
    <row r="617" spans="1:27" s="25" customFormat="1" ht="18" customHeight="1" x14ac:dyDescent="0.2">
      <c r="A617" s="272"/>
      <c r="B617" s="287" t="s">
        <v>7</v>
      </c>
      <c r="C617" s="293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28</v>
      </c>
      <c r="D617" s="270"/>
      <c r="E617" s="270"/>
      <c r="F617" s="287" t="s">
        <v>63</v>
      </c>
      <c r="G617" s="288" t="str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/>
      </c>
      <c r="H617" s="285"/>
      <c r="I617" s="389" t="s">
        <v>67</v>
      </c>
      <c r="J617" s="390"/>
      <c r="K617" s="294">
        <f>K615+K616</f>
        <v>38266.666666666672</v>
      </c>
      <c r="L617" s="295"/>
      <c r="N617" s="35"/>
      <c r="O617" s="36" t="s">
        <v>48</v>
      </c>
      <c r="P617" s="339"/>
      <c r="Q617" s="339"/>
      <c r="R617" s="36">
        <v>0</v>
      </c>
      <c r="S617" s="27"/>
      <c r="T617" s="36" t="s">
        <v>48</v>
      </c>
      <c r="U617" s="63" t="str">
        <f t="shared" si="140"/>
        <v/>
      </c>
      <c r="V617" s="38"/>
      <c r="W617" s="63" t="str">
        <f t="shared" si="138"/>
        <v/>
      </c>
      <c r="X617" s="38"/>
      <c r="Y617" s="63" t="str">
        <f t="shared" si="139"/>
        <v/>
      </c>
      <c r="Z617" s="40"/>
    </row>
    <row r="618" spans="1:27" s="25" customFormat="1" ht="18" customHeight="1" x14ac:dyDescent="0.2">
      <c r="A618" s="272"/>
      <c r="B618" s="287" t="s">
        <v>6</v>
      </c>
      <c r="C618" s="293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2</v>
      </c>
      <c r="D618" s="270"/>
      <c r="E618" s="270"/>
      <c r="F618" s="287" t="s">
        <v>19</v>
      </c>
      <c r="G618" s="288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285"/>
      <c r="I618" s="389" t="s">
        <v>68</v>
      </c>
      <c r="J618" s="390"/>
      <c r="K618" s="288">
        <f>G618</f>
        <v>0</v>
      </c>
      <c r="L618" s="296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38"/>
        <v/>
      </c>
      <c r="X618" s="38"/>
      <c r="Y618" s="63" t="str">
        <f t="shared" si="139"/>
        <v/>
      </c>
      <c r="Z618" s="40"/>
    </row>
    <row r="619" spans="1:27" s="25" customFormat="1" ht="18" customHeight="1" x14ac:dyDescent="0.2">
      <c r="A619" s="272"/>
      <c r="B619" s="302" t="s">
        <v>66</v>
      </c>
      <c r="C619" s="293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270"/>
      <c r="E619" s="270"/>
      <c r="F619" s="302" t="s">
        <v>195</v>
      </c>
      <c r="G619" s="288" t="str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/>
      </c>
      <c r="H619" s="270"/>
      <c r="I619" s="391" t="s">
        <v>61</v>
      </c>
      <c r="J619" s="391"/>
      <c r="K619" s="229">
        <f>K617-K618</f>
        <v>38266.666666666672</v>
      </c>
      <c r="L619" s="297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38"/>
        <v/>
      </c>
      <c r="X619" s="38"/>
      <c r="Y619" s="63" t="str">
        <f t="shared" si="139"/>
        <v/>
      </c>
      <c r="Z619" s="40"/>
    </row>
    <row r="620" spans="1:27" s="25" customFormat="1" ht="18" customHeight="1" x14ac:dyDescent="0.2">
      <c r="A620" s="272"/>
      <c r="B620" s="270"/>
      <c r="C620" s="270"/>
      <c r="D620" s="270"/>
      <c r="E620" s="270"/>
      <c r="F620" s="270"/>
      <c r="G620" s="270"/>
      <c r="H620" s="270"/>
      <c r="I620" s="392"/>
      <c r="J620" s="392"/>
      <c r="K620" s="352"/>
      <c r="L620" s="284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38"/>
        <v/>
      </c>
      <c r="X620" s="38"/>
      <c r="Y620" s="63" t="str">
        <f t="shared" si="139"/>
        <v/>
      </c>
      <c r="Z620" s="40"/>
    </row>
    <row r="621" spans="1:27" s="25" customFormat="1" ht="18" customHeight="1" x14ac:dyDescent="0.3">
      <c r="A621" s="272"/>
      <c r="B621" s="268"/>
      <c r="C621" s="268"/>
      <c r="D621" s="268"/>
      <c r="E621" s="268"/>
      <c r="F621" s="268"/>
      <c r="G621" s="268"/>
      <c r="H621" s="268"/>
      <c r="I621" s="392"/>
      <c r="J621" s="392"/>
      <c r="K621" s="352"/>
      <c r="L621" s="284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38"/>
        <v/>
      </c>
      <c r="X621" s="38"/>
      <c r="Y621" s="63" t="str">
        <f t="shared" si="139"/>
        <v/>
      </c>
      <c r="Z621" s="40"/>
    </row>
    <row r="622" spans="1:27" s="25" customFormat="1" ht="18" customHeight="1" thickBot="1" x14ac:dyDescent="0.35">
      <c r="A622" s="298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300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38"/>
        <v/>
      </c>
      <c r="X622" s="38"/>
      <c r="Y622" s="63" t="str">
        <f t="shared" si="139"/>
        <v/>
      </c>
      <c r="Z622" s="40"/>
    </row>
    <row r="623" spans="1:27" s="56" customFormat="1" ht="18" customHeight="1" thickBot="1" x14ac:dyDescent="0.25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403" t="s">
        <v>38</v>
      </c>
      <c r="B624" s="404"/>
      <c r="C624" s="404"/>
      <c r="D624" s="404"/>
      <c r="E624" s="404"/>
      <c r="F624" s="404"/>
      <c r="G624" s="404"/>
      <c r="H624" s="404"/>
      <c r="I624" s="404"/>
      <c r="J624" s="404"/>
      <c r="K624" s="404"/>
      <c r="L624" s="405"/>
      <c r="M624" s="24"/>
      <c r="N624" s="28"/>
      <c r="O624" s="396" t="s">
        <v>40</v>
      </c>
      <c r="P624" s="397"/>
      <c r="Q624" s="397"/>
      <c r="R624" s="398"/>
      <c r="S624" s="29"/>
      <c r="T624" s="396" t="s">
        <v>41</v>
      </c>
      <c r="U624" s="397"/>
      <c r="V624" s="397"/>
      <c r="W624" s="397"/>
      <c r="X624" s="397"/>
      <c r="Y624" s="398"/>
      <c r="Z624" s="30"/>
      <c r="AA624" s="24"/>
    </row>
    <row r="625" spans="1:27" s="25" customFormat="1" ht="18" customHeight="1" x14ac:dyDescent="0.2">
      <c r="A625" s="272"/>
      <c r="B625" s="270"/>
      <c r="C625" s="399" t="s">
        <v>202</v>
      </c>
      <c r="D625" s="399"/>
      <c r="E625" s="399"/>
      <c r="F625" s="399"/>
      <c r="G625" s="273" t="str">
        <f>$J$1</f>
        <v>June</v>
      </c>
      <c r="H625" s="400">
        <f>$K$1</f>
        <v>2024</v>
      </c>
      <c r="I625" s="400"/>
      <c r="J625" s="270"/>
      <c r="K625" s="274"/>
      <c r="L625" s="275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2"/>
      <c r="B626" s="270"/>
      <c r="C626" s="270"/>
      <c r="D626" s="276"/>
      <c r="E626" s="276"/>
      <c r="F626" s="276"/>
      <c r="G626" s="276"/>
      <c r="H626" s="276"/>
      <c r="I626" s="270"/>
      <c r="J626" s="277" t="s">
        <v>1</v>
      </c>
      <c r="K626" s="278">
        <f>30000+5000</f>
        <v>35000</v>
      </c>
      <c r="L626" s="279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2"/>
      <c r="B627" s="270" t="s">
        <v>0</v>
      </c>
      <c r="C627" s="269" t="s">
        <v>189</v>
      </c>
      <c r="D627" s="270"/>
      <c r="E627" s="270"/>
      <c r="F627" s="270"/>
      <c r="G627" s="270"/>
      <c r="H627" s="280"/>
      <c r="I627" s="276"/>
      <c r="J627" s="270"/>
      <c r="K627" s="270"/>
      <c r="L627" s="281"/>
      <c r="M627" s="24"/>
      <c r="N627" s="39"/>
      <c r="O627" s="36" t="s">
        <v>69</v>
      </c>
      <c r="P627" s="36">
        <v>29</v>
      </c>
      <c r="Q627" s="36">
        <v>0</v>
      </c>
      <c r="R627" s="36">
        <v>0</v>
      </c>
      <c r="S627" s="27"/>
      <c r="T627" s="36" t="s">
        <v>69</v>
      </c>
      <c r="U627" s="63">
        <f>Y626</f>
        <v>0</v>
      </c>
      <c r="V627" s="38">
        <v>500</v>
      </c>
      <c r="W627" s="63">
        <f>IF(U627="","",U627+V627)</f>
        <v>500</v>
      </c>
      <c r="X627" s="38">
        <v>500</v>
      </c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2"/>
      <c r="B628" s="282" t="s">
        <v>39</v>
      </c>
      <c r="C628" s="283"/>
      <c r="D628" s="270"/>
      <c r="E628" s="270"/>
      <c r="F628" s="406" t="s">
        <v>41</v>
      </c>
      <c r="G628" s="408"/>
      <c r="H628" s="270"/>
      <c r="I628" s="406" t="s">
        <v>42</v>
      </c>
      <c r="J628" s="407"/>
      <c r="K628" s="408"/>
      <c r="L628" s="284"/>
      <c r="N628" s="35"/>
      <c r="O628" s="36" t="s">
        <v>44</v>
      </c>
      <c r="P628" s="36">
        <v>31</v>
      </c>
      <c r="Q628" s="36">
        <v>0</v>
      </c>
      <c r="R628" s="36">
        <v>0</v>
      </c>
      <c r="S628" s="27"/>
      <c r="T628" s="36" t="s">
        <v>44</v>
      </c>
      <c r="U628" s="63">
        <f>IF($J$1="February","",Y627)</f>
        <v>0</v>
      </c>
      <c r="V628" s="38"/>
      <c r="W628" s="63">
        <f t="shared" ref="W628:W630" si="141">IF(U628="","",U628+V628)</f>
        <v>0</v>
      </c>
      <c r="X628" s="38"/>
      <c r="Y628" s="63">
        <f t="shared" ref="Y628:Y630" si="142">IF(W628="","",W628-X628)</f>
        <v>0</v>
      </c>
      <c r="Z628" s="40"/>
    </row>
    <row r="629" spans="1:27" s="25" customFormat="1" ht="18" customHeight="1" x14ac:dyDescent="0.2">
      <c r="A629" s="272"/>
      <c r="B629" s="270"/>
      <c r="C629" s="270"/>
      <c r="D629" s="270"/>
      <c r="E629" s="270"/>
      <c r="F629" s="270"/>
      <c r="G629" s="270"/>
      <c r="H629" s="285"/>
      <c r="I629" s="270"/>
      <c r="J629" s="270"/>
      <c r="K629" s="270"/>
      <c r="L629" s="286"/>
      <c r="N629" s="35"/>
      <c r="O629" s="36" t="s">
        <v>45</v>
      </c>
      <c r="P629" s="339">
        <v>22</v>
      </c>
      <c r="Q629" s="339">
        <v>8</v>
      </c>
      <c r="R629" s="36">
        <v>0</v>
      </c>
      <c r="S629" s="27"/>
      <c r="T629" s="36" t="s">
        <v>45</v>
      </c>
      <c r="U629" s="63">
        <f>IF($J$1="March","",Y628)</f>
        <v>0</v>
      </c>
      <c r="V629" s="38"/>
      <c r="W629" s="63">
        <f t="shared" si="141"/>
        <v>0</v>
      </c>
      <c r="X629" s="38"/>
      <c r="Y629" s="63">
        <f t="shared" si="142"/>
        <v>0</v>
      </c>
      <c r="Z629" s="40"/>
    </row>
    <row r="630" spans="1:27" s="25" customFormat="1" ht="18" customHeight="1" x14ac:dyDescent="0.2">
      <c r="A630" s="272"/>
      <c r="B630" s="401" t="s">
        <v>40</v>
      </c>
      <c r="C630" s="402"/>
      <c r="D630" s="270"/>
      <c r="E630" s="270"/>
      <c r="F630" s="287" t="s">
        <v>62</v>
      </c>
      <c r="G630" s="288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30" s="285"/>
      <c r="I630" s="289">
        <f>IF(C634&gt;=C633,$K$2,C632+C634)</f>
        <v>30</v>
      </c>
      <c r="J630" s="290" t="s">
        <v>59</v>
      </c>
      <c r="K630" s="291">
        <f>K626/$K$2*I630</f>
        <v>35000</v>
      </c>
      <c r="L630" s="292"/>
      <c r="N630" s="35"/>
      <c r="O630" s="36" t="s">
        <v>46</v>
      </c>
      <c r="P630" s="36">
        <v>23</v>
      </c>
      <c r="Q630" s="36">
        <v>8</v>
      </c>
      <c r="R630" s="36">
        <v>0</v>
      </c>
      <c r="S630" s="27"/>
      <c r="T630" s="36" t="s">
        <v>46</v>
      </c>
      <c r="U630" s="63">
        <f>IF($J$1="April","",Y629)</f>
        <v>0</v>
      </c>
      <c r="V630" s="38">
        <v>1000</v>
      </c>
      <c r="W630" s="63">
        <f t="shared" si="141"/>
        <v>1000</v>
      </c>
      <c r="X630" s="38">
        <v>1000</v>
      </c>
      <c r="Y630" s="63">
        <f t="shared" si="142"/>
        <v>0</v>
      </c>
      <c r="Z630" s="40"/>
    </row>
    <row r="631" spans="1:27" s="25" customFormat="1" ht="18" customHeight="1" x14ac:dyDescent="0.2">
      <c r="A631" s="272"/>
      <c r="B631" s="293"/>
      <c r="C631" s="293"/>
      <c r="D631" s="270"/>
      <c r="E631" s="270"/>
      <c r="F631" s="287" t="s">
        <v>18</v>
      </c>
      <c r="G631" s="288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0</v>
      </c>
      <c r="H631" s="285"/>
      <c r="I631" s="289">
        <v>80</v>
      </c>
      <c r="J631" s="290" t="s">
        <v>60</v>
      </c>
      <c r="K631" s="294">
        <f>K626/$K$2/8*I631</f>
        <v>11666.666666666668</v>
      </c>
      <c r="L631" s="295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/>
      <c r="V631" s="38"/>
      <c r="W631" s="63" t="str">
        <f t="shared" ref="W631:W637" si="143">IF(U631="","",U631+V631)</f>
        <v/>
      </c>
      <c r="X631" s="115"/>
      <c r="Y631" s="63" t="str">
        <f t="shared" ref="Y631:Y637" si="144">IF(W631="","",W631-X631)</f>
        <v/>
      </c>
      <c r="Z631" s="40"/>
    </row>
    <row r="632" spans="1:27" s="25" customFormat="1" ht="18" customHeight="1" x14ac:dyDescent="0.2">
      <c r="A632" s="272"/>
      <c r="B632" s="287" t="s">
        <v>7</v>
      </c>
      <c r="C632" s="293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0</v>
      </c>
      <c r="D632" s="270"/>
      <c r="E632" s="270"/>
      <c r="F632" s="287" t="s">
        <v>63</v>
      </c>
      <c r="G632" s="288" t="str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/>
      </c>
      <c r="H632" s="285"/>
      <c r="I632" s="389" t="s">
        <v>67</v>
      </c>
      <c r="J632" s="390"/>
      <c r="K632" s="294">
        <f>K630+K631</f>
        <v>46666.666666666672</v>
      </c>
      <c r="L632" s="295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 t="str">
        <f t="shared" ref="U632:U636" si="145">Y631</f>
        <v/>
      </c>
      <c r="V632" s="38"/>
      <c r="W632" s="63" t="str">
        <f t="shared" si="143"/>
        <v/>
      </c>
      <c r="X632" s="115"/>
      <c r="Y632" s="63" t="str">
        <f t="shared" si="144"/>
        <v/>
      </c>
      <c r="Z632" s="40"/>
    </row>
    <row r="633" spans="1:27" s="25" customFormat="1" ht="18" customHeight="1" x14ac:dyDescent="0.2">
      <c r="A633" s="272"/>
      <c r="B633" s="287" t="s">
        <v>6</v>
      </c>
      <c r="C633" s="293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0</v>
      </c>
      <c r="D633" s="270"/>
      <c r="E633" s="270"/>
      <c r="F633" s="287" t="s">
        <v>19</v>
      </c>
      <c r="G633" s="288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0</v>
      </c>
      <c r="H633" s="285"/>
      <c r="I633" s="389" t="s">
        <v>68</v>
      </c>
      <c r="J633" s="390"/>
      <c r="K633" s="288">
        <f>G633</f>
        <v>0</v>
      </c>
      <c r="L633" s="296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 t="str">
        <f t="shared" si="145"/>
        <v/>
      </c>
      <c r="V633" s="38"/>
      <c r="W633" s="63" t="str">
        <f t="shared" si="143"/>
        <v/>
      </c>
      <c r="X633" s="115"/>
      <c r="Y633" s="63" t="str">
        <f t="shared" si="144"/>
        <v/>
      </c>
      <c r="Z633" s="40"/>
    </row>
    <row r="634" spans="1:27" s="25" customFormat="1" ht="18" customHeight="1" x14ac:dyDescent="0.2">
      <c r="A634" s="272"/>
      <c r="B634" s="302" t="s">
        <v>66</v>
      </c>
      <c r="C634" s="293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0"/>
      <c r="E634" s="270"/>
      <c r="F634" s="302" t="s">
        <v>195</v>
      </c>
      <c r="G634" s="288" t="str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/>
      </c>
      <c r="H634" s="270"/>
      <c r="I634" s="391" t="s">
        <v>61</v>
      </c>
      <c r="J634" s="391"/>
      <c r="K634" s="229">
        <f>K632-K633</f>
        <v>46666.666666666672</v>
      </c>
      <c r="L634" s="297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 t="str">
        <f t="shared" si="145"/>
        <v/>
      </c>
      <c r="V634" s="38"/>
      <c r="W634" s="63" t="str">
        <f t="shared" si="143"/>
        <v/>
      </c>
      <c r="X634" s="38"/>
      <c r="Y634" s="63" t="str">
        <f t="shared" si="144"/>
        <v/>
      </c>
      <c r="Z634" s="40"/>
    </row>
    <row r="635" spans="1:27" s="25" customFormat="1" ht="18" customHeight="1" x14ac:dyDescent="0.2">
      <c r="A635" s="272"/>
      <c r="B635" s="270"/>
      <c r="C635" s="270"/>
      <c r="D635" s="270"/>
      <c r="E635" s="270"/>
      <c r="F635" s="270"/>
      <c r="G635" s="270"/>
      <c r="H635" s="270"/>
      <c r="I635" s="392">
        <v>29200</v>
      </c>
      <c r="J635" s="392"/>
      <c r="K635" s="352">
        <f>K634-I635</f>
        <v>17466.666666666672</v>
      </c>
      <c r="L635" s="284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 t="str">
        <f t="shared" si="145"/>
        <v/>
      </c>
      <c r="V635" s="38"/>
      <c r="W635" s="63" t="str">
        <f t="shared" si="143"/>
        <v/>
      </c>
      <c r="X635" s="38"/>
      <c r="Y635" s="63" t="str">
        <f t="shared" si="144"/>
        <v/>
      </c>
      <c r="Z635" s="40"/>
    </row>
    <row r="636" spans="1:27" s="25" customFormat="1" ht="18" customHeight="1" x14ac:dyDescent="0.3">
      <c r="A636" s="272"/>
      <c r="B636" s="268"/>
      <c r="C636" s="268"/>
      <c r="D636" s="268"/>
      <c r="E636" s="268"/>
      <c r="F636" s="268"/>
      <c r="G636" s="268"/>
      <c r="H636" s="268"/>
      <c r="I636" s="392"/>
      <c r="J636" s="392"/>
      <c r="K636" s="352"/>
      <c r="L636" s="284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 t="str">
        <f t="shared" si="145"/>
        <v/>
      </c>
      <c r="V636" s="38"/>
      <c r="W636" s="63" t="str">
        <f t="shared" si="143"/>
        <v/>
      </c>
      <c r="X636" s="38"/>
      <c r="Y636" s="63" t="str">
        <f t="shared" si="144"/>
        <v/>
      </c>
      <c r="Z636" s="40"/>
    </row>
    <row r="637" spans="1:27" s="25" customFormat="1" ht="18" customHeight="1" thickBot="1" x14ac:dyDescent="0.35">
      <c r="A637" s="298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300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3"/>
        <v>0</v>
      </c>
      <c r="X637" s="38"/>
      <c r="Y637" s="63">
        <f t="shared" si="144"/>
        <v>0</v>
      </c>
      <c r="Z637" s="40"/>
    </row>
    <row r="638" spans="1:27" s="56" customFormat="1" ht="18" customHeight="1" thickBot="1" x14ac:dyDescent="0.25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09" t="s">
        <v>38</v>
      </c>
      <c r="B639" s="410"/>
      <c r="C639" s="410"/>
      <c r="D639" s="410"/>
      <c r="E639" s="410"/>
      <c r="F639" s="410"/>
      <c r="G639" s="410"/>
      <c r="H639" s="410"/>
      <c r="I639" s="410"/>
      <c r="J639" s="410"/>
      <c r="K639" s="410"/>
      <c r="L639" s="411"/>
      <c r="M639" s="24"/>
      <c r="N639" s="28"/>
      <c r="O639" s="396" t="s">
        <v>40</v>
      </c>
      <c r="P639" s="397"/>
      <c r="Q639" s="397"/>
      <c r="R639" s="398"/>
      <c r="S639" s="29"/>
      <c r="T639" s="396" t="s">
        <v>41</v>
      </c>
      <c r="U639" s="397"/>
      <c r="V639" s="397"/>
      <c r="W639" s="397"/>
      <c r="X639" s="397"/>
      <c r="Y639" s="398"/>
      <c r="Z639" s="27"/>
    </row>
    <row r="640" spans="1:27" s="25" customFormat="1" ht="18" customHeight="1" x14ac:dyDescent="0.2">
      <c r="A640" s="272"/>
      <c r="B640" s="270"/>
      <c r="C640" s="399" t="s">
        <v>202</v>
      </c>
      <c r="D640" s="399"/>
      <c r="E640" s="399"/>
      <c r="F640" s="399"/>
      <c r="G640" s="273" t="str">
        <f>$J$1</f>
        <v>June</v>
      </c>
      <c r="H640" s="400">
        <f>$K$1</f>
        <v>2024</v>
      </c>
      <c r="I640" s="400"/>
      <c r="J640" s="270"/>
      <c r="K640" s="274"/>
      <c r="L640" s="275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2"/>
      <c r="B641" s="270"/>
      <c r="C641" s="270"/>
      <c r="D641" s="276"/>
      <c r="E641" s="276"/>
      <c r="F641" s="276"/>
      <c r="G641" s="276"/>
      <c r="H641" s="276"/>
      <c r="I641" s="270"/>
      <c r="J641" s="277" t="s">
        <v>1</v>
      </c>
      <c r="K641" s="278">
        <f>35000+10000</f>
        <v>45000</v>
      </c>
      <c r="L641" s="279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2"/>
      <c r="B642" s="270" t="s">
        <v>0</v>
      </c>
      <c r="C642" s="269" t="s">
        <v>196</v>
      </c>
      <c r="D642" s="270"/>
      <c r="E642" s="270"/>
      <c r="F642" s="270"/>
      <c r="G642" s="270"/>
      <c r="H642" s="280"/>
      <c r="I642" s="276"/>
      <c r="J642" s="270"/>
      <c r="K642" s="270"/>
      <c r="L642" s="281"/>
      <c r="M642" s="24"/>
      <c r="N642" s="39"/>
      <c r="O642" s="36" t="s">
        <v>69</v>
      </c>
      <c r="P642" s="36">
        <v>28</v>
      </c>
      <c r="Q642" s="36">
        <v>1</v>
      </c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2"/>
      <c r="B643" s="282" t="s">
        <v>39</v>
      </c>
      <c r="C643" s="309">
        <v>45156</v>
      </c>
      <c r="D643" s="270"/>
      <c r="E643" s="270"/>
      <c r="F643" s="391" t="s">
        <v>41</v>
      </c>
      <c r="G643" s="391"/>
      <c r="H643" s="270"/>
      <c r="I643" s="391" t="s">
        <v>42</v>
      </c>
      <c r="J643" s="391"/>
      <c r="K643" s="391"/>
      <c r="L643" s="284"/>
      <c r="N643" s="35"/>
      <c r="O643" s="36" t="s">
        <v>44</v>
      </c>
      <c r="P643" s="36">
        <v>31</v>
      </c>
      <c r="Q643" s="36">
        <v>0</v>
      </c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46">IF(U643="","",U643+V643)</f>
        <v>0</v>
      </c>
      <c r="X643" s="38"/>
      <c r="Y643" s="63">
        <f t="shared" ref="Y643:Y649" si="147">IF(W643="","",W643-X643)</f>
        <v>0</v>
      </c>
      <c r="Z643" s="27"/>
    </row>
    <row r="644" spans="1:26" s="25" customFormat="1" ht="18" customHeight="1" x14ac:dyDescent="0.2">
      <c r="A644" s="272"/>
      <c r="B644" s="270"/>
      <c r="C644" s="270"/>
      <c r="D644" s="270"/>
      <c r="E644" s="270"/>
      <c r="F644" s="270"/>
      <c r="G644" s="270"/>
      <c r="H644" s="285"/>
      <c r="I644" s="270"/>
      <c r="J644" s="270"/>
      <c r="K644" s="270"/>
      <c r="L644" s="286"/>
      <c r="N644" s="35"/>
      <c r="O644" s="36" t="s">
        <v>45</v>
      </c>
      <c r="P644" s="36">
        <v>30</v>
      </c>
      <c r="Q644" s="36">
        <v>0</v>
      </c>
      <c r="R644" s="36">
        <v>0</v>
      </c>
      <c r="S644" s="27"/>
      <c r="T644" s="36" t="s">
        <v>45</v>
      </c>
      <c r="U644" s="63">
        <f>IF($J$1="March","",Y643)</f>
        <v>0</v>
      </c>
      <c r="V644" s="38"/>
      <c r="W644" s="63">
        <f t="shared" si="146"/>
        <v>0</v>
      </c>
      <c r="X644" s="38"/>
      <c r="Y644" s="63">
        <f t="shared" si="147"/>
        <v>0</v>
      </c>
      <c r="Z644" s="27"/>
    </row>
    <row r="645" spans="1:26" s="25" customFormat="1" ht="18" customHeight="1" x14ac:dyDescent="0.2">
      <c r="A645" s="272"/>
      <c r="B645" s="401" t="s">
        <v>40</v>
      </c>
      <c r="C645" s="402"/>
      <c r="D645" s="270"/>
      <c r="E645" s="270"/>
      <c r="F645" s="287" t="s">
        <v>62</v>
      </c>
      <c r="G645" s="28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5"/>
      <c r="I645" s="289">
        <f>IF(C649&gt;0,$K$2,C647)</f>
        <v>30</v>
      </c>
      <c r="J645" s="290" t="s">
        <v>59</v>
      </c>
      <c r="K645" s="291">
        <f>K641/$K$2*I645</f>
        <v>45000</v>
      </c>
      <c r="L645" s="292"/>
      <c r="N645" s="35"/>
      <c r="O645" s="36" t="s">
        <v>46</v>
      </c>
      <c r="P645" s="36">
        <v>31</v>
      </c>
      <c r="Q645" s="36">
        <v>0</v>
      </c>
      <c r="R645" s="36">
        <v>0</v>
      </c>
      <c r="S645" s="27"/>
      <c r="T645" s="36" t="s">
        <v>46</v>
      </c>
      <c r="U645" s="63">
        <f>Y644</f>
        <v>0</v>
      </c>
      <c r="V645" s="38"/>
      <c r="W645" s="63">
        <f t="shared" si="146"/>
        <v>0</v>
      </c>
      <c r="X645" s="38"/>
      <c r="Y645" s="63">
        <f t="shared" si="147"/>
        <v>0</v>
      </c>
      <c r="Z645" s="27"/>
    </row>
    <row r="646" spans="1:26" s="25" customFormat="1" ht="18" customHeight="1" x14ac:dyDescent="0.2">
      <c r="A646" s="272"/>
      <c r="B646" s="293"/>
      <c r="C646" s="293"/>
      <c r="D646" s="270"/>
      <c r="E646" s="270"/>
      <c r="F646" s="287" t="s">
        <v>18</v>
      </c>
      <c r="G646" s="28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5"/>
      <c r="I646" s="289">
        <v>46</v>
      </c>
      <c r="J646" s="290" t="s">
        <v>60</v>
      </c>
      <c r="K646" s="294">
        <f>K641/$K$2/8*I646</f>
        <v>8625</v>
      </c>
      <c r="L646" s="295"/>
      <c r="N646" s="35"/>
      <c r="O646" s="36" t="s">
        <v>47</v>
      </c>
      <c r="P646" s="36">
        <v>30</v>
      </c>
      <c r="Q646" s="36">
        <v>0</v>
      </c>
      <c r="R646" s="36">
        <v>0</v>
      </c>
      <c r="S646" s="27"/>
      <c r="T646" s="36" t="s">
        <v>47</v>
      </c>
      <c r="U646" s="63">
        <f>Y645</f>
        <v>0</v>
      </c>
      <c r="V646" s="38"/>
      <c r="W646" s="63">
        <f t="shared" si="146"/>
        <v>0</v>
      </c>
      <c r="X646" s="115"/>
      <c r="Y646" s="63">
        <f t="shared" si="147"/>
        <v>0</v>
      </c>
      <c r="Z646" s="27"/>
    </row>
    <row r="647" spans="1:26" s="25" customFormat="1" ht="18" customHeight="1" x14ac:dyDescent="0.2">
      <c r="A647" s="272"/>
      <c r="B647" s="287" t="s">
        <v>7</v>
      </c>
      <c r="C647" s="293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30</v>
      </c>
      <c r="D647" s="270"/>
      <c r="E647" s="270"/>
      <c r="F647" s="287" t="s">
        <v>63</v>
      </c>
      <c r="G647" s="28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5"/>
      <c r="I647" s="389" t="s">
        <v>67</v>
      </c>
      <c r="J647" s="390"/>
      <c r="K647" s="294">
        <f>K645+K646</f>
        <v>53625</v>
      </c>
      <c r="L647" s="295"/>
      <c r="N647" s="35"/>
      <c r="O647" s="36" t="s">
        <v>48</v>
      </c>
      <c r="P647" s="339"/>
      <c r="Q647" s="339"/>
      <c r="R647" s="36">
        <v>0</v>
      </c>
      <c r="S647" s="27"/>
      <c r="T647" s="36" t="s">
        <v>48</v>
      </c>
      <c r="U647" s="63">
        <f>Y646</f>
        <v>0</v>
      </c>
      <c r="V647" s="38"/>
      <c r="W647" s="63">
        <f t="shared" si="146"/>
        <v>0</v>
      </c>
      <c r="X647" s="115"/>
      <c r="Y647" s="63">
        <f t="shared" si="147"/>
        <v>0</v>
      </c>
      <c r="Z647" s="27"/>
    </row>
    <row r="648" spans="1:26" s="25" customFormat="1" ht="18" customHeight="1" x14ac:dyDescent="0.2">
      <c r="A648" s="272"/>
      <c r="B648" s="287" t="s">
        <v>6</v>
      </c>
      <c r="C648" s="293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0"/>
      <c r="E648" s="270"/>
      <c r="F648" s="287" t="s">
        <v>19</v>
      </c>
      <c r="G648" s="28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5"/>
      <c r="I648" s="389" t="s">
        <v>68</v>
      </c>
      <c r="J648" s="390"/>
      <c r="K648" s="288">
        <f>G648</f>
        <v>0</v>
      </c>
      <c r="L648" s="296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>
        <f>Y647</f>
        <v>0</v>
      </c>
      <c r="V648" s="38"/>
      <c r="W648" s="63">
        <f t="shared" si="146"/>
        <v>0</v>
      </c>
      <c r="X648" s="115"/>
      <c r="Y648" s="63">
        <f t="shared" si="147"/>
        <v>0</v>
      </c>
      <c r="Z648" s="27"/>
    </row>
    <row r="649" spans="1:26" s="25" customFormat="1" ht="18" customHeight="1" x14ac:dyDescent="0.2">
      <c r="A649" s="272"/>
      <c r="B649" s="304" t="s">
        <v>66</v>
      </c>
      <c r="C649" s="293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0"/>
      <c r="E649" s="270"/>
      <c r="F649" s="287" t="s">
        <v>65</v>
      </c>
      <c r="G649" s="28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0"/>
      <c r="I649" s="391" t="s">
        <v>61</v>
      </c>
      <c r="J649" s="391"/>
      <c r="K649" s="229">
        <f>K647-K648</f>
        <v>53625</v>
      </c>
      <c r="L649" s="297"/>
      <c r="N649" s="35"/>
      <c r="O649" s="36" t="s">
        <v>54</v>
      </c>
      <c r="P649" s="36"/>
      <c r="Q649" s="36"/>
      <c r="R649" s="36" t="str">
        <f t="shared" ref="R649:R650" si="148">IF(Q649="","",R648-Q649)</f>
        <v/>
      </c>
      <c r="S649" s="27"/>
      <c r="T649" s="36" t="s">
        <v>54</v>
      </c>
      <c r="U649" s="63">
        <f>Y648</f>
        <v>0</v>
      </c>
      <c r="V649" s="38"/>
      <c r="W649" s="63">
        <f t="shared" si="146"/>
        <v>0</v>
      </c>
      <c r="X649" s="38"/>
      <c r="Y649" s="63">
        <f t="shared" si="147"/>
        <v>0</v>
      </c>
      <c r="Z649" s="27"/>
    </row>
    <row r="650" spans="1:26" s="25" customFormat="1" ht="18" customHeight="1" x14ac:dyDescent="0.2">
      <c r="A650" s="272"/>
      <c r="B650" s="270"/>
      <c r="C650" s="270"/>
      <c r="D650" s="270"/>
      <c r="E650" s="270"/>
      <c r="F650" s="270"/>
      <c r="G650" s="270"/>
      <c r="H650" s="270"/>
      <c r="I650" s="392"/>
      <c r="J650" s="392"/>
      <c r="K650" s="352"/>
      <c r="L650" s="284"/>
      <c r="N650" s="35"/>
      <c r="O650" s="36" t="s">
        <v>50</v>
      </c>
      <c r="P650" s="36"/>
      <c r="Q650" s="36"/>
      <c r="R650" s="36" t="str">
        <f t="shared" si="148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3">
      <c r="A651" s="272"/>
      <c r="B651" s="268"/>
      <c r="C651" s="268"/>
      <c r="D651" s="268"/>
      <c r="E651" s="268"/>
      <c r="F651" s="268"/>
      <c r="G651" s="268"/>
      <c r="H651" s="268"/>
      <c r="I651" s="392"/>
      <c r="J651" s="392"/>
      <c r="K651" s="352"/>
      <c r="L651" s="284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3">
      <c r="A652" s="272"/>
      <c r="B652" s="268"/>
      <c r="C652" s="268"/>
      <c r="D652" s="268"/>
      <c r="E652" s="268"/>
      <c r="F652" s="268"/>
      <c r="G652" s="268"/>
      <c r="H652" s="268"/>
      <c r="I652" s="268"/>
      <c r="J652" s="268"/>
      <c r="K652" s="268"/>
      <c r="L652" s="284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8"/>
      <c r="B653" s="305"/>
      <c r="C653" s="305"/>
      <c r="D653" s="305"/>
      <c r="E653" s="305"/>
      <c r="F653" s="305"/>
      <c r="G653" s="305"/>
      <c r="H653" s="305"/>
      <c r="I653" s="305"/>
      <c r="J653" s="305"/>
      <c r="K653" s="305"/>
      <c r="L653" s="300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09" t="s">
        <v>38</v>
      </c>
      <c r="B655" s="410"/>
      <c r="C655" s="410"/>
      <c r="D655" s="410"/>
      <c r="E655" s="410"/>
      <c r="F655" s="410"/>
      <c r="G655" s="410"/>
      <c r="H655" s="410"/>
      <c r="I655" s="410"/>
      <c r="J655" s="410"/>
      <c r="K655" s="410"/>
      <c r="L655" s="411"/>
      <c r="M655" s="24"/>
      <c r="N655" s="28"/>
      <c r="O655" s="396" t="s">
        <v>40</v>
      </c>
      <c r="P655" s="397"/>
      <c r="Q655" s="397"/>
      <c r="R655" s="398"/>
      <c r="S655" s="29"/>
      <c r="T655" s="396" t="s">
        <v>41</v>
      </c>
      <c r="U655" s="397"/>
      <c r="V655" s="397"/>
      <c r="W655" s="397"/>
      <c r="X655" s="397"/>
      <c r="Y655" s="398"/>
      <c r="Z655" s="30"/>
    </row>
    <row r="656" spans="1:26" s="25" customFormat="1" ht="18" customHeight="1" x14ac:dyDescent="0.2">
      <c r="A656" s="272"/>
      <c r="B656" s="270"/>
      <c r="C656" s="399" t="s">
        <v>202</v>
      </c>
      <c r="D656" s="399"/>
      <c r="E656" s="399"/>
      <c r="F656" s="399"/>
      <c r="G656" s="273" t="str">
        <f>$J$1</f>
        <v>June</v>
      </c>
      <c r="H656" s="400">
        <f>$K$1</f>
        <v>2024</v>
      </c>
      <c r="I656" s="400"/>
      <c r="J656" s="270"/>
      <c r="K656" s="274"/>
      <c r="L656" s="275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2"/>
      <c r="B657" s="270"/>
      <c r="C657" s="270"/>
      <c r="D657" s="276"/>
      <c r="E657" s="276"/>
      <c r="F657" s="276"/>
      <c r="G657" s="276"/>
      <c r="H657" s="276"/>
      <c r="I657" s="270"/>
      <c r="J657" s="277" t="s">
        <v>1</v>
      </c>
      <c r="K657" s="278">
        <f>45000+5000</f>
        <v>50000</v>
      </c>
      <c r="L657" s="279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2"/>
      <c r="B658" s="270" t="s">
        <v>0</v>
      </c>
      <c r="C658" s="269" t="s">
        <v>198</v>
      </c>
      <c r="D658" s="270"/>
      <c r="E658" s="270"/>
      <c r="F658" s="270"/>
      <c r="G658" s="270"/>
      <c r="H658" s="280"/>
      <c r="I658" s="276"/>
      <c r="J658" s="270"/>
      <c r="K658" s="270"/>
      <c r="L658" s="281"/>
      <c r="M658" s="24"/>
      <c r="N658" s="39"/>
      <c r="O658" s="36" t="s">
        <v>69</v>
      </c>
      <c r="P658" s="36">
        <v>28</v>
      </c>
      <c r="Q658" s="36">
        <v>1</v>
      </c>
      <c r="R658" s="36"/>
      <c r="S658" s="27"/>
      <c r="T658" s="36" t="s">
        <v>69</v>
      </c>
      <c r="U658" s="63">
        <f>Y657</f>
        <v>9500</v>
      </c>
      <c r="V658" s="38">
        <f>4000+3000</f>
        <v>7000</v>
      </c>
      <c r="W658" s="63">
        <f>IF(U658="","",U658+V658)</f>
        <v>16500</v>
      </c>
      <c r="X658" s="38">
        <v>10000</v>
      </c>
      <c r="Y658" s="63">
        <f>IF(W658="","",W658-X658)</f>
        <v>6500</v>
      </c>
      <c r="Z658" s="40"/>
    </row>
    <row r="659" spans="1:26" s="25" customFormat="1" ht="18" customHeight="1" x14ac:dyDescent="0.2">
      <c r="A659" s="272"/>
      <c r="B659" s="282" t="s">
        <v>39</v>
      </c>
      <c r="C659" s="303"/>
      <c r="D659" s="270"/>
      <c r="E659" s="270"/>
      <c r="F659" s="391" t="s">
        <v>41</v>
      </c>
      <c r="G659" s="391"/>
      <c r="H659" s="270"/>
      <c r="I659" s="391" t="s">
        <v>42</v>
      </c>
      <c r="J659" s="391"/>
      <c r="K659" s="391"/>
      <c r="L659" s="284"/>
      <c r="N659" s="35"/>
      <c r="O659" s="36" t="s">
        <v>44</v>
      </c>
      <c r="P659" s="36">
        <v>27</v>
      </c>
      <c r="Q659" s="36">
        <v>4</v>
      </c>
      <c r="R659" s="36"/>
      <c r="S659" s="27"/>
      <c r="T659" s="36" t="s">
        <v>44</v>
      </c>
      <c r="U659" s="63">
        <f>Y658</f>
        <v>6500</v>
      </c>
      <c r="V659" s="38">
        <f>5000+5000+5000+5000</f>
        <v>20000</v>
      </c>
      <c r="W659" s="63">
        <f t="shared" ref="W659:W664" si="149">IF(U659="","",U659+V659)</f>
        <v>26500</v>
      </c>
      <c r="X659" s="38">
        <v>20000</v>
      </c>
      <c r="Y659" s="63">
        <f t="shared" ref="Y659:Y664" si="150">IF(W659="","",W659-X659)</f>
        <v>6500</v>
      </c>
      <c r="Z659" s="40"/>
    </row>
    <row r="660" spans="1:26" s="25" customFormat="1" ht="18" customHeight="1" x14ac:dyDescent="0.2">
      <c r="A660" s="272"/>
      <c r="B660" s="270"/>
      <c r="C660" s="270"/>
      <c r="D660" s="270"/>
      <c r="E660" s="270"/>
      <c r="F660" s="270"/>
      <c r="G660" s="270"/>
      <c r="H660" s="285"/>
      <c r="I660" s="270"/>
      <c r="J660" s="270"/>
      <c r="K660" s="270"/>
      <c r="L660" s="286"/>
      <c r="N660" s="35"/>
      <c r="O660" s="36" t="s">
        <v>45</v>
      </c>
      <c r="P660" s="36">
        <v>29</v>
      </c>
      <c r="Q660" s="36">
        <v>1</v>
      </c>
      <c r="R660" s="36"/>
      <c r="S660" s="27"/>
      <c r="T660" s="36" t="s">
        <v>45</v>
      </c>
      <c r="U660" s="63">
        <f>IF($J$1="March","",Y659)</f>
        <v>6500</v>
      </c>
      <c r="V660" s="38">
        <f>5000+5000+3000</f>
        <v>13000</v>
      </c>
      <c r="W660" s="63">
        <f t="shared" si="149"/>
        <v>19500</v>
      </c>
      <c r="X660" s="38">
        <v>15000</v>
      </c>
      <c r="Y660" s="63">
        <f t="shared" si="150"/>
        <v>4500</v>
      </c>
      <c r="Z660" s="40"/>
    </row>
    <row r="661" spans="1:26" s="25" customFormat="1" ht="18" customHeight="1" x14ac:dyDescent="0.2">
      <c r="A661" s="272"/>
      <c r="B661" s="401" t="s">
        <v>40</v>
      </c>
      <c r="C661" s="402"/>
      <c r="D661" s="270"/>
      <c r="E661" s="270"/>
      <c r="F661" s="287" t="s">
        <v>62</v>
      </c>
      <c r="G661" s="28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5500</v>
      </c>
      <c r="H661" s="285"/>
      <c r="I661" s="289">
        <f>IF(C665&gt;=C664,$K$2,C663+C665)</f>
        <v>30</v>
      </c>
      <c r="J661" s="290" t="s">
        <v>59</v>
      </c>
      <c r="K661" s="291">
        <f>K657/$K$2*I661</f>
        <v>50000</v>
      </c>
      <c r="L661" s="292"/>
      <c r="N661" s="35"/>
      <c r="O661" s="36" t="s">
        <v>46</v>
      </c>
      <c r="P661" s="36">
        <v>24</v>
      </c>
      <c r="Q661" s="36">
        <v>7</v>
      </c>
      <c r="R661" s="36"/>
      <c r="S661" s="27"/>
      <c r="T661" s="36" t="s">
        <v>46</v>
      </c>
      <c r="U661" s="63">
        <f>Y660</f>
        <v>4500</v>
      </c>
      <c r="V661" s="38">
        <f>10000+1000</f>
        <v>11000</v>
      </c>
      <c r="W661" s="63">
        <f t="shared" si="149"/>
        <v>15500</v>
      </c>
      <c r="X661" s="38">
        <v>10000</v>
      </c>
      <c r="Y661" s="63">
        <f t="shared" si="150"/>
        <v>5500</v>
      </c>
      <c r="Z661" s="40"/>
    </row>
    <row r="662" spans="1:26" s="25" customFormat="1" ht="18" customHeight="1" x14ac:dyDescent="0.2">
      <c r="A662" s="272"/>
      <c r="B662" s="293"/>
      <c r="C662" s="293"/>
      <c r="D662" s="270"/>
      <c r="E662" s="270"/>
      <c r="F662" s="287" t="s">
        <v>18</v>
      </c>
      <c r="G662" s="28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10000</v>
      </c>
      <c r="H662" s="285"/>
      <c r="I662" s="306">
        <v>51</v>
      </c>
      <c r="J662" s="290" t="s">
        <v>60</v>
      </c>
      <c r="K662" s="294">
        <f>K657/$K$2/8*I662</f>
        <v>10625</v>
      </c>
      <c r="L662" s="295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>
        <f>IF($J$1="May","",Y661)</f>
        <v>5500</v>
      </c>
      <c r="V662" s="38">
        <v>10000</v>
      </c>
      <c r="W662" s="63">
        <f t="shared" si="149"/>
        <v>15500</v>
      </c>
      <c r="X662" s="38">
        <v>10000</v>
      </c>
      <c r="Y662" s="63">
        <f t="shared" si="150"/>
        <v>5500</v>
      </c>
      <c r="Z662" s="40"/>
    </row>
    <row r="663" spans="1:26" s="25" customFormat="1" ht="18" customHeight="1" x14ac:dyDescent="0.2">
      <c r="A663" s="272"/>
      <c r="B663" s="287" t="s">
        <v>7</v>
      </c>
      <c r="C663" s="293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0</v>
      </c>
      <c r="D663" s="270"/>
      <c r="E663" s="270"/>
      <c r="F663" s="287" t="s">
        <v>63</v>
      </c>
      <c r="G663" s="28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15500</v>
      </c>
      <c r="H663" s="285"/>
      <c r="I663" s="389" t="s">
        <v>67</v>
      </c>
      <c r="J663" s="390"/>
      <c r="K663" s="294">
        <f>K661+K662</f>
        <v>60625</v>
      </c>
      <c r="L663" s="295"/>
      <c r="N663" s="35"/>
      <c r="O663" s="36" t="s">
        <v>48</v>
      </c>
      <c r="P663" s="36"/>
      <c r="Q663" s="36"/>
      <c r="R663" s="36">
        <f t="shared" ref="R663:R668" si="151">R662-Q663</f>
        <v>0</v>
      </c>
      <c r="S663" s="27"/>
      <c r="T663" s="36" t="s">
        <v>48</v>
      </c>
      <c r="U663" s="63" t="str">
        <f>IF($J$1="June","",Y662)</f>
        <v/>
      </c>
      <c r="V663" s="38"/>
      <c r="W663" s="63" t="str">
        <f t="shared" si="149"/>
        <v/>
      </c>
      <c r="X663" s="115"/>
      <c r="Y663" s="63" t="str">
        <f t="shared" si="150"/>
        <v/>
      </c>
      <c r="Z663" s="40"/>
    </row>
    <row r="664" spans="1:26" s="25" customFormat="1" ht="18" customHeight="1" x14ac:dyDescent="0.2">
      <c r="A664" s="272"/>
      <c r="B664" s="287" t="s">
        <v>6</v>
      </c>
      <c r="C664" s="293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0</v>
      </c>
      <c r="D664" s="270"/>
      <c r="E664" s="270"/>
      <c r="F664" s="287" t="s">
        <v>19</v>
      </c>
      <c r="G664" s="28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10000</v>
      </c>
      <c r="H664" s="285"/>
      <c r="I664" s="389" t="s">
        <v>68</v>
      </c>
      <c r="J664" s="390"/>
      <c r="K664" s="288">
        <f>G664</f>
        <v>10000</v>
      </c>
      <c r="L664" s="296"/>
      <c r="N664" s="35"/>
      <c r="O664" s="36" t="s">
        <v>49</v>
      </c>
      <c r="P664" s="339"/>
      <c r="Q664" s="339"/>
      <c r="R664" s="36">
        <v>0</v>
      </c>
      <c r="S664" s="27"/>
      <c r="T664" s="36" t="s">
        <v>49</v>
      </c>
      <c r="U664" s="63" t="str">
        <f t="shared" ref="U664:U667" si="152">Y663</f>
        <v/>
      </c>
      <c r="V664" s="38"/>
      <c r="W664" s="63" t="str">
        <f t="shared" si="149"/>
        <v/>
      </c>
      <c r="X664" s="115"/>
      <c r="Y664" s="63" t="str">
        <f t="shared" si="150"/>
        <v/>
      </c>
      <c r="Z664" s="40"/>
    </row>
    <row r="665" spans="1:26" s="25" customFormat="1" ht="18" customHeight="1" x14ac:dyDescent="0.2">
      <c r="A665" s="272"/>
      <c r="B665" s="304" t="s">
        <v>66</v>
      </c>
      <c r="C665" s="293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0"/>
      <c r="E665" s="270"/>
      <c r="F665" s="287" t="s">
        <v>65</v>
      </c>
      <c r="G665" s="28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5500</v>
      </c>
      <c r="H665" s="270"/>
      <c r="I665" s="391" t="s">
        <v>61</v>
      </c>
      <c r="J665" s="391"/>
      <c r="K665" s="229">
        <f>K663-K664</f>
        <v>50625</v>
      </c>
      <c r="L665" s="297"/>
      <c r="N665" s="35"/>
      <c r="O665" s="36" t="s">
        <v>54</v>
      </c>
      <c r="P665" s="36"/>
      <c r="Q665" s="36"/>
      <c r="R665" s="36">
        <f t="shared" si="151"/>
        <v>0</v>
      </c>
      <c r="S665" s="27"/>
      <c r="T665" s="36" t="s">
        <v>54</v>
      </c>
      <c r="U665" s="63" t="str">
        <f t="shared" si="152"/>
        <v/>
      </c>
      <c r="V665" s="38"/>
      <c r="W665" s="63" t="str">
        <f t="shared" ref="W665:W668" si="153">IF(U665="","",U665+V665)</f>
        <v/>
      </c>
      <c r="X665" s="115"/>
      <c r="Y665" s="63" t="str">
        <f t="shared" ref="Y665:Y668" si="154">IF(W665="","",W665-X665)</f>
        <v/>
      </c>
      <c r="Z665" s="40"/>
    </row>
    <row r="666" spans="1:26" s="25" customFormat="1" ht="18" customHeight="1" x14ac:dyDescent="0.2">
      <c r="A666" s="272"/>
      <c r="B666" s="270"/>
      <c r="C666" s="270"/>
      <c r="D666" s="270"/>
      <c r="E666" s="270"/>
      <c r="F666" s="270"/>
      <c r="G666" s="270"/>
      <c r="H666" s="270"/>
      <c r="I666" s="392"/>
      <c r="J666" s="392"/>
      <c r="K666" s="352"/>
      <c r="L666" s="284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2"/>
        <v/>
      </c>
      <c r="V666" s="38"/>
      <c r="W666" s="63" t="str">
        <f t="shared" si="153"/>
        <v/>
      </c>
      <c r="X666" s="38"/>
      <c r="Y666" s="63" t="str">
        <f t="shared" si="154"/>
        <v/>
      </c>
      <c r="Z666" s="40"/>
    </row>
    <row r="667" spans="1:26" s="25" customFormat="1" ht="18" customHeight="1" x14ac:dyDescent="0.3">
      <c r="A667" s="272"/>
      <c r="B667" s="268"/>
      <c r="C667" s="268"/>
      <c r="D667" s="268"/>
      <c r="E667" s="268"/>
      <c r="F667" s="268"/>
      <c r="G667" s="268"/>
      <c r="H667" s="268"/>
      <c r="I667" s="392"/>
      <c r="J667" s="392"/>
      <c r="K667" s="352"/>
      <c r="L667" s="284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2"/>
        <v/>
      </c>
      <c r="V667" s="38"/>
      <c r="W667" s="63" t="str">
        <f t="shared" si="153"/>
        <v/>
      </c>
      <c r="X667" s="38"/>
      <c r="Y667" s="63" t="str">
        <f t="shared" si="154"/>
        <v/>
      </c>
      <c r="Z667" s="40"/>
    </row>
    <row r="668" spans="1:26" s="25" customFormat="1" ht="18" customHeight="1" x14ac:dyDescent="0.3">
      <c r="A668" s="272"/>
      <c r="B668" s="268"/>
      <c r="C668" s="268"/>
      <c r="D668" s="268"/>
      <c r="E668" s="268"/>
      <c r="F668" s="268"/>
      <c r="G668" s="268"/>
      <c r="H668" s="268"/>
      <c r="I668" s="268"/>
      <c r="J668" s="268"/>
      <c r="K668" s="268"/>
      <c r="L668" s="284"/>
      <c r="N668" s="35"/>
      <c r="O668" s="36" t="s">
        <v>56</v>
      </c>
      <c r="P668" s="36"/>
      <c r="Q668" s="36"/>
      <c r="R668" s="36">
        <f t="shared" si="151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3"/>
        <v/>
      </c>
      <c r="X668" s="38"/>
      <c r="Y668" s="63" t="str">
        <f t="shared" si="154"/>
        <v/>
      </c>
      <c r="Z668" s="40"/>
    </row>
    <row r="669" spans="1:26" s="25" customFormat="1" ht="18" customHeight="1" thickBot="1" x14ac:dyDescent="0.25">
      <c r="A669" s="298"/>
      <c r="B669" s="305"/>
      <c r="C669" s="305"/>
      <c r="D669" s="305"/>
      <c r="E669" s="305"/>
      <c r="F669" s="305"/>
      <c r="G669" s="305"/>
      <c r="H669" s="305"/>
      <c r="I669" s="305"/>
      <c r="J669" s="305"/>
      <c r="K669" s="305"/>
      <c r="L669" s="300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2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84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7"/>
    </row>
    <row r="671" spans="1:26" s="25" customFormat="1" ht="18" customHeight="1" x14ac:dyDescent="0.2">
      <c r="A671" s="409" t="s">
        <v>38</v>
      </c>
      <c r="B671" s="410"/>
      <c r="C671" s="410"/>
      <c r="D671" s="410"/>
      <c r="E671" s="410"/>
      <c r="F671" s="410"/>
      <c r="G671" s="410"/>
      <c r="H671" s="410"/>
      <c r="I671" s="410"/>
      <c r="J671" s="410"/>
      <c r="K671" s="410"/>
      <c r="L671" s="411"/>
      <c r="M671" s="24"/>
      <c r="N671" s="28"/>
      <c r="O671" s="396" t="s">
        <v>40</v>
      </c>
      <c r="P671" s="397"/>
      <c r="Q671" s="397"/>
      <c r="R671" s="398"/>
      <c r="S671" s="29"/>
      <c r="T671" s="396" t="s">
        <v>41</v>
      </c>
      <c r="U671" s="397"/>
      <c r="V671" s="397"/>
      <c r="W671" s="397"/>
      <c r="X671" s="397"/>
      <c r="Y671" s="398"/>
      <c r="Z671" s="30"/>
    </row>
    <row r="672" spans="1:26" s="25" customFormat="1" ht="18" customHeight="1" x14ac:dyDescent="0.2">
      <c r="A672" s="272"/>
      <c r="B672" s="270"/>
      <c r="C672" s="399" t="s">
        <v>202</v>
      </c>
      <c r="D672" s="399"/>
      <c r="E672" s="399"/>
      <c r="F672" s="399"/>
      <c r="G672" s="273" t="str">
        <f>$J$1</f>
        <v>June</v>
      </c>
      <c r="H672" s="400">
        <f>$K$1</f>
        <v>2024</v>
      </c>
      <c r="I672" s="400"/>
      <c r="J672" s="270"/>
      <c r="K672" s="274"/>
      <c r="L672" s="275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2"/>
      <c r="B673" s="270"/>
      <c r="C673" s="270"/>
      <c r="D673" s="276"/>
      <c r="E673" s="276"/>
      <c r="F673" s="276"/>
      <c r="G673" s="276"/>
      <c r="H673" s="276"/>
      <c r="I673" s="270"/>
      <c r="J673" s="277" t="s">
        <v>1</v>
      </c>
      <c r="K673" s="278">
        <f>22000+3000</f>
        <v>25000</v>
      </c>
      <c r="L673" s="279"/>
      <c r="N673" s="35"/>
      <c r="O673" s="36" t="s">
        <v>43</v>
      </c>
      <c r="P673" s="36">
        <v>24</v>
      </c>
      <c r="Q673" s="36">
        <v>7</v>
      </c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2"/>
      <c r="B674" s="270" t="s">
        <v>0</v>
      </c>
      <c r="C674" s="269" t="s">
        <v>200</v>
      </c>
      <c r="D674" s="270"/>
      <c r="E674" s="270"/>
      <c r="F674" s="270"/>
      <c r="G674" s="270"/>
      <c r="H674" s="280"/>
      <c r="I674" s="276"/>
      <c r="J674" s="270"/>
      <c r="K674" s="270"/>
      <c r="L674" s="281"/>
      <c r="M674" s="24"/>
      <c r="N674" s="39"/>
      <c r="O674" s="36" t="s">
        <v>69</v>
      </c>
      <c r="P674" s="36">
        <v>26</v>
      </c>
      <c r="Q674" s="36">
        <v>3</v>
      </c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2"/>
      <c r="B675" s="282" t="s">
        <v>39</v>
      </c>
      <c r="C675" s="269"/>
      <c r="D675" s="270"/>
      <c r="E675" s="270"/>
      <c r="F675" s="391" t="s">
        <v>41</v>
      </c>
      <c r="G675" s="391"/>
      <c r="H675" s="270"/>
      <c r="I675" s="391" t="s">
        <v>42</v>
      </c>
      <c r="J675" s="391"/>
      <c r="K675" s="391"/>
      <c r="L675" s="284"/>
      <c r="N675" s="35"/>
      <c r="O675" s="36" t="s">
        <v>44</v>
      </c>
      <c r="P675" s="36">
        <v>25</v>
      </c>
      <c r="Q675" s="36">
        <v>6</v>
      </c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2"/>
      <c r="B676" s="270"/>
      <c r="C676" s="270"/>
      <c r="D676" s="270"/>
      <c r="E676" s="270"/>
      <c r="F676" s="270"/>
      <c r="G676" s="270"/>
      <c r="H676" s="285"/>
      <c r="I676" s="270"/>
      <c r="J676" s="270"/>
      <c r="K676" s="270"/>
      <c r="L676" s="286"/>
      <c r="N676" s="35"/>
      <c r="O676" s="36" t="s">
        <v>45</v>
      </c>
      <c r="P676" s="36">
        <v>29</v>
      </c>
      <c r="Q676" s="36">
        <v>1</v>
      </c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2"/>
      <c r="B677" s="401" t="s">
        <v>40</v>
      </c>
      <c r="C677" s="402"/>
      <c r="D677" s="270"/>
      <c r="E677" s="270"/>
      <c r="F677" s="287" t="s">
        <v>62</v>
      </c>
      <c r="G677" s="28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5"/>
      <c r="I677" s="289">
        <f>IF(C681&gt;0,$K$2,C679)</f>
        <v>0</v>
      </c>
      <c r="J677" s="290" t="s">
        <v>59</v>
      </c>
      <c r="K677" s="291">
        <f>K673/$K$2*I677</f>
        <v>0</v>
      </c>
      <c r="L677" s="292"/>
      <c r="N677" s="35"/>
      <c r="O677" s="36" t="s">
        <v>46</v>
      </c>
      <c r="P677" s="36">
        <v>26</v>
      </c>
      <c r="Q677" s="36">
        <v>7</v>
      </c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2"/>
      <c r="B678" s="293"/>
      <c r="C678" s="293"/>
      <c r="D678" s="270"/>
      <c r="E678" s="270"/>
      <c r="F678" s="287" t="s">
        <v>18</v>
      </c>
      <c r="G678" s="28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5"/>
      <c r="I678" s="306">
        <v>111</v>
      </c>
      <c r="J678" s="290" t="s">
        <v>60</v>
      </c>
      <c r="K678" s="294">
        <f>K673/$K$2/8*I678</f>
        <v>11562.5</v>
      </c>
      <c r="L678" s="295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2"/>
      <c r="B679" s="287" t="s">
        <v>7</v>
      </c>
      <c r="C679" s="293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0</v>
      </c>
      <c r="D679" s="270"/>
      <c r="E679" s="270"/>
      <c r="F679" s="287" t="s">
        <v>63</v>
      </c>
      <c r="G679" s="28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5"/>
      <c r="I679" s="389" t="s">
        <v>67</v>
      </c>
      <c r="J679" s="390"/>
      <c r="K679" s="294">
        <f>K677+K678</f>
        <v>11562.5</v>
      </c>
      <c r="L679" s="295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2"/>
      <c r="B680" s="287" t="s">
        <v>6</v>
      </c>
      <c r="C680" s="293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0</v>
      </c>
      <c r="D680" s="270"/>
      <c r="E680" s="270"/>
      <c r="F680" s="287" t="s">
        <v>19</v>
      </c>
      <c r="G680" s="28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5"/>
      <c r="I680" s="389" t="s">
        <v>68</v>
      </c>
      <c r="J680" s="390"/>
      <c r="K680" s="288">
        <f>G680</f>
        <v>0</v>
      </c>
      <c r="L680" s="296"/>
      <c r="N680" s="35"/>
      <c r="O680" s="36" t="s">
        <v>49</v>
      </c>
      <c r="P680" s="339"/>
      <c r="Q680" s="339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2"/>
      <c r="B681" s="304" t="s">
        <v>66</v>
      </c>
      <c r="C681" s="293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0"/>
      <c r="E681" s="270"/>
      <c r="F681" s="287" t="s">
        <v>65</v>
      </c>
      <c r="G681" s="28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0"/>
      <c r="I681" s="391" t="s">
        <v>61</v>
      </c>
      <c r="J681" s="391"/>
      <c r="K681" s="229">
        <f>K679-K680</f>
        <v>11562.5</v>
      </c>
      <c r="L681" s="297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2"/>
      <c r="B682" s="270"/>
      <c r="C682" s="270"/>
      <c r="D682" s="270"/>
      <c r="E682" s="270"/>
      <c r="F682" s="270"/>
      <c r="G682" s="270"/>
      <c r="H682" s="270"/>
      <c r="I682" s="392"/>
      <c r="J682" s="392"/>
      <c r="K682" s="352"/>
      <c r="L682" s="284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3">
      <c r="A683" s="272"/>
      <c r="B683" s="268"/>
      <c r="C683" s="268"/>
      <c r="D683" s="268"/>
      <c r="E683" s="268"/>
      <c r="F683" s="268"/>
      <c r="G683" s="268"/>
      <c r="H683" s="268"/>
      <c r="I683" s="392"/>
      <c r="J683" s="392"/>
      <c r="K683" s="352"/>
      <c r="L683" s="284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5">IF(U683="","",U683+V683)</f>
        <v>0</v>
      </c>
      <c r="X683" s="38"/>
      <c r="Y683" s="63">
        <f t="shared" ref="Y683:Y684" si="156">IF(W683="","",W683-X683)</f>
        <v>0</v>
      </c>
      <c r="Z683" s="40"/>
    </row>
    <row r="684" spans="1:27" s="25" customFormat="1" ht="18" customHeight="1" x14ac:dyDescent="0.3">
      <c r="A684" s="272"/>
      <c r="B684" s="268"/>
      <c r="C684" s="268"/>
      <c r="D684" s="268"/>
      <c r="E684" s="268"/>
      <c r="F684" s="268"/>
      <c r="G684" s="268"/>
      <c r="H684" s="268"/>
      <c r="I684" s="268"/>
      <c r="J684" s="268"/>
      <c r="K684" s="268"/>
      <c r="L684" s="284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5"/>
        <v>0</v>
      </c>
      <c r="X684" s="38"/>
      <c r="Y684" s="63">
        <f t="shared" si="156"/>
        <v>0</v>
      </c>
      <c r="Z684" s="40"/>
    </row>
    <row r="685" spans="1:27" s="25" customFormat="1" ht="18" customHeight="1" thickBot="1" x14ac:dyDescent="0.25">
      <c r="A685" s="298"/>
      <c r="B685" s="305"/>
      <c r="C685" s="305"/>
      <c r="D685" s="305"/>
      <c r="E685" s="305"/>
      <c r="F685" s="305"/>
      <c r="G685" s="305"/>
      <c r="H685" s="305"/>
      <c r="I685" s="305"/>
      <c r="J685" s="305"/>
      <c r="K685" s="305"/>
      <c r="L685" s="300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2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84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7"/>
    </row>
    <row r="687" spans="1:27" s="25" customFormat="1" ht="18" customHeight="1" thickBot="1" x14ac:dyDescent="0.25">
      <c r="A687" s="403" t="s">
        <v>38</v>
      </c>
      <c r="B687" s="404"/>
      <c r="C687" s="404"/>
      <c r="D687" s="404"/>
      <c r="E687" s="404"/>
      <c r="F687" s="404"/>
      <c r="G687" s="404"/>
      <c r="H687" s="404"/>
      <c r="I687" s="404"/>
      <c r="J687" s="404"/>
      <c r="K687" s="404"/>
      <c r="L687" s="405"/>
      <c r="M687" s="24"/>
      <c r="N687" s="28"/>
      <c r="O687" s="396" t="s">
        <v>40</v>
      </c>
      <c r="P687" s="397"/>
      <c r="Q687" s="397"/>
      <c r="R687" s="398"/>
      <c r="S687" s="29"/>
      <c r="T687" s="396" t="s">
        <v>41</v>
      </c>
      <c r="U687" s="397"/>
      <c r="V687" s="397"/>
      <c r="W687" s="397"/>
      <c r="X687" s="397"/>
      <c r="Y687" s="398"/>
      <c r="Z687" s="30"/>
      <c r="AA687" s="24"/>
    </row>
    <row r="688" spans="1:27" s="25" customFormat="1" ht="18" customHeight="1" x14ac:dyDescent="0.2">
      <c r="A688" s="272"/>
      <c r="B688" s="270"/>
      <c r="C688" s="399" t="s">
        <v>202</v>
      </c>
      <c r="D688" s="399"/>
      <c r="E688" s="399"/>
      <c r="F688" s="399"/>
      <c r="G688" s="273" t="str">
        <f>$J$1</f>
        <v>June</v>
      </c>
      <c r="H688" s="400">
        <f>$K$1</f>
        <v>2024</v>
      </c>
      <c r="I688" s="400"/>
      <c r="J688" s="270"/>
      <c r="K688" s="274"/>
      <c r="L688" s="275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2"/>
      <c r="B689" s="270"/>
      <c r="C689" s="270"/>
      <c r="D689" s="276"/>
      <c r="E689" s="276"/>
      <c r="F689" s="276"/>
      <c r="G689" s="276"/>
      <c r="H689" s="276"/>
      <c r="I689" s="270"/>
      <c r="J689" s="277" t="s">
        <v>1</v>
      </c>
      <c r="K689" s="278">
        <v>170000</v>
      </c>
      <c r="L689" s="279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2"/>
      <c r="B690" s="270" t="s">
        <v>0</v>
      </c>
      <c r="C690" s="269" t="s">
        <v>211</v>
      </c>
      <c r="D690" s="270"/>
      <c r="E690" s="270"/>
      <c r="F690" s="270"/>
      <c r="G690" s="270"/>
      <c r="H690" s="280"/>
      <c r="I690" s="276"/>
      <c r="J690" s="270"/>
      <c r="K690" s="270"/>
      <c r="L690" s="281"/>
      <c r="M690" s="24"/>
      <c r="N690" s="39"/>
      <c r="O690" s="36" t="s">
        <v>69</v>
      </c>
      <c r="P690" s="36">
        <v>29</v>
      </c>
      <c r="Q690" s="36">
        <v>0</v>
      </c>
      <c r="R690" s="36">
        <f>IF(Q690="","",R689-Q690)</f>
        <v>0</v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2"/>
      <c r="B691" s="282" t="s">
        <v>39</v>
      </c>
      <c r="C691" s="418">
        <v>45208</v>
      </c>
      <c r="D691" s="418"/>
      <c r="E691" s="419"/>
      <c r="F691" s="406" t="s">
        <v>41</v>
      </c>
      <c r="G691" s="408"/>
      <c r="H691" s="270"/>
      <c r="I691" s="406" t="s">
        <v>42</v>
      </c>
      <c r="J691" s="407"/>
      <c r="K691" s="408"/>
      <c r="L691" s="284"/>
      <c r="N691" s="35"/>
      <c r="O691" s="36" t="s">
        <v>44</v>
      </c>
      <c r="P691" s="36">
        <v>30</v>
      </c>
      <c r="Q691" s="36">
        <v>1</v>
      </c>
      <c r="R691" s="36">
        <v>0</v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57">IF(U691="","",U691+V691)</f>
        <v>0</v>
      </c>
      <c r="X691" s="38"/>
      <c r="Y691" s="63">
        <f t="shared" ref="Y691:Y700" si="158">IF(W691="","",W691-X691)</f>
        <v>0</v>
      </c>
      <c r="Z691" s="40"/>
    </row>
    <row r="692" spans="1:27" s="25" customFormat="1" ht="18" customHeight="1" x14ac:dyDescent="0.2">
      <c r="A692" s="272"/>
      <c r="B692" s="270"/>
      <c r="C692" s="270"/>
      <c r="D692" s="270"/>
      <c r="E692" s="270"/>
      <c r="F692" s="270"/>
      <c r="G692" s="270"/>
      <c r="H692" s="285"/>
      <c r="I692" s="270"/>
      <c r="J692" s="270"/>
      <c r="K692" s="270"/>
      <c r="L692" s="286"/>
      <c r="N692" s="35"/>
      <c r="O692" s="36" t="s">
        <v>45</v>
      </c>
      <c r="P692" s="36">
        <v>30</v>
      </c>
      <c r="Q692" s="36">
        <v>0</v>
      </c>
      <c r="R692" s="36">
        <f t="shared" ref="R692:R694" si="159">IF(Q692="","",R691-Q692)</f>
        <v>0</v>
      </c>
      <c r="S692" s="27"/>
      <c r="T692" s="36" t="s">
        <v>45</v>
      </c>
      <c r="U692" s="63">
        <f>IF($J$1="April",Y691,Y691)</f>
        <v>0</v>
      </c>
      <c r="V692" s="38"/>
      <c r="W692" s="63">
        <f t="shared" si="157"/>
        <v>0</v>
      </c>
      <c r="X692" s="38"/>
      <c r="Y692" s="63">
        <f t="shared" si="158"/>
        <v>0</v>
      </c>
      <c r="Z692" s="40"/>
    </row>
    <row r="693" spans="1:27" s="25" customFormat="1" ht="18" customHeight="1" x14ac:dyDescent="0.2">
      <c r="A693" s="272"/>
      <c r="B693" s="401" t="s">
        <v>40</v>
      </c>
      <c r="C693" s="402"/>
      <c r="D693" s="270"/>
      <c r="E693" s="270"/>
      <c r="F693" s="287" t="s">
        <v>62</v>
      </c>
      <c r="G693" s="288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5"/>
      <c r="I693" s="289">
        <f>IF(C697&gt;0,$K$2,C695)</f>
        <v>30</v>
      </c>
      <c r="J693" s="290" t="s">
        <v>59</v>
      </c>
      <c r="K693" s="291">
        <f>K689/$K$2*I693</f>
        <v>170000</v>
      </c>
      <c r="L693" s="292"/>
      <c r="N693" s="35"/>
      <c r="O693" s="36" t="s">
        <v>46</v>
      </c>
      <c r="P693" s="36">
        <v>31</v>
      </c>
      <c r="Q693" s="36">
        <v>0</v>
      </c>
      <c r="R693" s="36">
        <f t="shared" si="159"/>
        <v>0</v>
      </c>
      <c r="S693" s="27"/>
      <c r="T693" s="36" t="s">
        <v>46</v>
      </c>
      <c r="U693" s="63">
        <f>IF($J$1="May",Y692,Y692)</f>
        <v>0</v>
      </c>
      <c r="V693" s="38"/>
      <c r="W693" s="63">
        <f t="shared" si="157"/>
        <v>0</v>
      </c>
      <c r="X693" s="38"/>
      <c r="Y693" s="63">
        <f t="shared" si="158"/>
        <v>0</v>
      </c>
      <c r="Z693" s="40"/>
    </row>
    <row r="694" spans="1:27" s="25" customFormat="1" ht="18" customHeight="1" x14ac:dyDescent="0.2">
      <c r="A694" s="272"/>
      <c r="B694" s="293"/>
      <c r="C694" s="293"/>
      <c r="D694" s="270"/>
      <c r="E694" s="270"/>
      <c r="F694" s="287" t="s">
        <v>18</v>
      </c>
      <c r="G694" s="288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5"/>
      <c r="I694" s="289"/>
      <c r="J694" s="290" t="s">
        <v>60</v>
      </c>
      <c r="K694" s="294">
        <f>K689/$K$2/8*I694</f>
        <v>0</v>
      </c>
      <c r="L694" s="295"/>
      <c r="N694" s="35"/>
      <c r="O694" s="36" t="s">
        <v>47</v>
      </c>
      <c r="P694" s="36">
        <v>30</v>
      </c>
      <c r="Q694" s="36">
        <v>0</v>
      </c>
      <c r="R694" s="36">
        <f t="shared" si="159"/>
        <v>0</v>
      </c>
      <c r="S694" s="27"/>
      <c r="T694" s="36" t="s">
        <v>47</v>
      </c>
      <c r="U694" s="63">
        <f>IF($J$1="May",Y693,Y693)</f>
        <v>0</v>
      </c>
      <c r="V694" s="38"/>
      <c r="W694" s="63">
        <f t="shared" si="157"/>
        <v>0</v>
      </c>
      <c r="X694" s="38"/>
      <c r="Y694" s="63">
        <f t="shared" si="158"/>
        <v>0</v>
      </c>
      <c r="Z694" s="40"/>
    </row>
    <row r="695" spans="1:27" s="25" customFormat="1" ht="18" customHeight="1" x14ac:dyDescent="0.2">
      <c r="A695" s="272"/>
      <c r="B695" s="287" t="s">
        <v>7</v>
      </c>
      <c r="C695" s="293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30</v>
      </c>
      <c r="D695" s="270"/>
      <c r="E695" s="270"/>
      <c r="F695" s="287" t="s">
        <v>63</v>
      </c>
      <c r="G695" s="288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5"/>
      <c r="I695" s="389" t="s">
        <v>67</v>
      </c>
      <c r="J695" s="390"/>
      <c r="K695" s="294">
        <f>K693+K694</f>
        <v>170000</v>
      </c>
      <c r="L695" s="295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57"/>
        <v>0</v>
      </c>
      <c r="X695" s="38"/>
      <c r="Y695" s="63">
        <f t="shared" si="158"/>
        <v>0</v>
      </c>
      <c r="Z695" s="40"/>
    </row>
    <row r="696" spans="1:27" s="25" customFormat="1" ht="18" customHeight="1" x14ac:dyDescent="0.2">
      <c r="A696" s="272"/>
      <c r="B696" s="287" t="s">
        <v>6</v>
      </c>
      <c r="C696" s="293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270"/>
      <c r="E696" s="270"/>
      <c r="F696" s="287" t="s">
        <v>19</v>
      </c>
      <c r="G696" s="288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5"/>
      <c r="I696" s="389" t="s">
        <v>68</v>
      </c>
      <c r="J696" s="390"/>
      <c r="K696" s="288">
        <f>G696</f>
        <v>0</v>
      </c>
      <c r="L696" s="296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57"/>
        <v>0</v>
      </c>
      <c r="X696" s="38"/>
      <c r="Y696" s="63">
        <f t="shared" si="158"/>
        <v>0</v>
      </c>
      <c r="Z696" s="40"/>
    </row>
    <row r="697" spans="1:27" s="25" customFormat="1" ht="18" customHeight="1" x14ac:dyDescent="0.2">
      <c r="A697" s="272"/>
      <c r="B697" s="302" t="s">
        <v>66</v>
      </c>
      <c r="C697" s="293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0</v>
      </c>
      <c r="D697" s="270"/>
      <c r="E697" s="270"/>
      <c r="F697" s="302" t="s">
        <v>195</v>
      </c>
      <c r="G697" s="288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0"/>
      <c r="I697" s="391" t="s">
        <v>61</v>
      </c>
      <c r="J697" s="391"/>
      <c r="K697" s="229">
        <f>K695-K696</f>
        <v>170000</v>
      </c>
      <c r="L697" s="297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57"/>
        <v/>
      </c>
      <c r="X697" s="38"/>
      <c r="Y697" s="63" t="str">
        <f t="shared" si="158"/>
        <v/>
      </c>
      <c r="Z697" s="40"/>
    </row>
    <row r="698" spans="1:27" s="25" customFormat="1" ht="18" customHeight="1" x14ac:dyDescent="0.2">
      <c r="A698" s="272"/>
      <c r="B698" s="270"/>
      <c r="C698" s="270"/>
      <c r="D698" s="270"/>
      <c r="E698" s="270"/>
      <c r="F698" s="270"/>
      <c r="G698" s="270"/>
      <c r="H698" s="270"/>
      <c r="I698" s="392"/>
      <c r="J698" s="392"/>
      <c r="K698" s="352"/>
      <c r="L698" s="284"/>
      <c r="N698" s="35"/>
      <c r="O698" s="36" t="s">
        <v>50</v>
      </c>
      <c r="P698" s="339"/>
      <c r="Q698" s="339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57"/>
        <v/>
      </c>
      <c r="X698" s="38"/>
      <c r="Y698" s="63" t="str">
        <f t="shared" si="158"/>
        <v/>
      </c>
      <c r="Z698" s="40"/>
    </row>
    <row r="699" spans="1:27" s="25" customFormat="1" ht="18" customHeight="1" x14ac:dyDescent="0.3">
      <c r="A699" s="272"/>
      <c r="B699" s="268"/>
      <c r="C699" s="268"/>
      <c r="D699" s="268"/>
      <c r="E699" s="268"/>
      <c r="F699" s="276"/>
      <c r="G699" s="268"/>
      <c r="H699" s="268"/>
      <c r="I699" s="392"/>
      <c r="J699" s="392"/>
      <c r="K699" s="352"/>
      <c r="L699" s="284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57"/>
        <v/>
      </c>
      <c r="X699" s="38"/>
      <c r="Y699" s="63" t="str">
        <f t="shared" si="158"/>
        <v/>
      </c>
      <c r="Z699" s="40"/>
    </row>
    <row r="700" spans="1:27" s="25" customFormat="1" ht="18" customHeight="1" thickBot="1" x14ac:dyDescent="0.35">
      <c r="A700" s="298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300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57"/>
        <v/>
      </c>
      <c r="X700" s="38"/>
      <c r="Y700" s="63" t="str">
        <f t="shared" si="158"/>
        <v/>
      </c>
      <c r="Z700" s="40"/>
    </row>
    <row r="701" spans="1:27" s="25" customFormat="1" ht="18" customHeight="1" thickBot="1" x14ac:dyDescent="0.25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403" t="s">
        <v>38</v>
      </c>
      <c r="B702" s="404"/>
      <c r="C702" s="404"/>
      <c r="D702" s="404"/>
      <c r="E702" s="404"/>
      <c r="F702" s="404"/>
      <c r="G702" s="404"/>
      <c r="H702" s="404"/>
      <c r="I702" s="404"/>
      <c r="J702" s="404"/>
      <c r="K702" s="404"/>
      <c r="L702" s="405"/>
      <c r="M702" s="24"/>
      <c r="N702" s="28"/>
      <c r="O702" s="396" t="s">
        <v>40</v>
      </c>
      <c r="P702" s="397"/>
      <c r="Q702" s="397"/>
      <c r="R702" s="398"/>
      <c r="S702" s="29"/>
      <c r="T702" s="396" t="s">
        <v>41</v>
      </c>
      <c r="U702" s="397"/>
      <c r="V702" s="397"/>
      <c r="W702" s="397"/>
      <c r="X702" s="397"/>
      <c r="Y702" s="398"/>
      <c r="Z702" s="27"/>
    </row>
    <row r="703" spans="1:27" s="25" customFormat="1" ht="18" customHeight="1" x14ac:dyDescent="0.2">
      <c r="A703" s="272"/>
      <c r="B703" s="270"/>
      <c r="C703" s="399" t="s">
        <v>202</v>
      </c>
      <c r="D703" s="399"/>
      <c r="E703" s="399"/>
      <c r="F703" s="399"/>
      <c r="G703" s="273" t="str">
        <f>$J$1</f>
        <v>June</v>
      </c>
      <c r="H703" s="400">
        <f>$K$1</f>
        <v>2024</v>
      </c>
      <c r="I703" s="400"/>
      <c r="J703" s="270"/>
      <c r="K703" s="274"/>
      <c r="L703" s="275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2"/>
      <c r="B704" s="270"/>
      <c r="C704" s="270"/>
      <c r="D704" s="276"/>
      <c r="E704" s="276"/>
      <c r="F704" s="276"/>
      <c r="G704" s="276"/>
      <c r="H704" s="276"/>
      <c r="I704" s="270"/>
      <c r="J704" s="277" t="s">
        <v>1</v>
      </c>
      <c r="K704" s="278">
        <v>60000</v>
      </c>
      <c r="L704" s="279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2"/>
      <c r="B705" s="270" t="s">
        <v>0</v>
      </c>
      <c r="C705" s="269" t="s">
        <v>216</v>
      </c>
      <c r="D705" s="270"/>
      <c r="E705" s="270"/>
      <c r="F705" s="270"/>
      <c r="G705" s="270"/>
      <c r="H705" s="280"/>
      <c r="I705" s="276"/>
      <c r="J705" s="270"/>
      <c r="K705" s="270"/>
      <c r="L705" s="281"/>
      <c r="M705" s="24"/>
      <c r="N705" s="39"/>
      <c r="O705" s="36" t="s">
        <v>69</v>
      </c>
      <c r="P705" s="36">
        <v>28</v>
      </c>
      <c r="Q705" s="36">
        <v>1</v>
      </c>
      <c r="R705" s="36"/>
      <c r="S705" s="27"/>
      <c r="T705" s="36" t="s">
        <v>69</v>
      </c>
      <c r="U705" s="63">
        <f>IF($J$1="January","",Y704)</f>
        <v>0</v>
      </c>
      <c r="V705" s="38"/>
      <c r="W705" s="63">
        <f>IF(U705="","",U705+V705)</f>
        <v>0</v>
      </c>
      <c r="X705" s="38"/>
      <c r="Y705" s="63">
        <f>IF(W705="","",W705-X705)</f>
        <v>0</v>
      </c>
      <c r="Z705" s="27"/>
    </row>
    <row r="706" spans="1:27" s="25" customFormat="1" ht="18" customHeight="1" x14ac:dyDescent="0.2">
      <c r="A706" s="272"/>
      <c r="B706" s="282" t="s">
        <v>39</v>
      </c>
      <c r="C706" s="309">
        <v>45267</v>
      </c>
      <c r="D706" s="270"/>
      <c r="E706" s="270"/>
      <c r="F706" s="406" t="s">
        <v>41</v>
      </c>
      <c r="G706" s="408"/>
      <c r="H706" s="270"/>
      <c r="I706" s="406" t="s">
        <v>42</v>
      </c>
      <c r="J706" s="407"/>
      <c r="K706" s="408"/>
      <c r="L706" s="284"/>
      <c r="N706" s="35"/>
      <c r="O706" s="36" t="s">
        <v>44</v>
      </c>
      <c r="P706" s="36">
        <v>30</v>
      </c>
      <c r="Q706" s="36">
        <v>1</v>
      </c>
      <c r="R706" s="36">
        <v>0</v>
      </c>
      <c r="S706" s="27"/>
      <c r="T706" s="36" t="s">
        <v>44</v>
      </c>
      <c r="U706" s="63">
        <f>IF($J$1="February","",Y705)</f>
        <v>0</v>
      </c>
      <c r="V706" s="38"/>
      <c r="W706" s="63">
        <f t="shared" ref="W706:W715" si="160">IF(U706="","",U706+V706)</f>
        <v>0</v>
      </c>
      <c r="X706" s="38"/>
      <c r="Y706" s="63">
        <f t="shared" ref="Y706:Y715" si="161">IF(W706="","",W706-X706)</f>
        <v>0</v>
      </c>
      <c r="Z706" s="27"/>
    </row>
    <row r="707" spans="1:27" s="25" customFormat="1" ht="18" customHeight="1" x14ac:dyDescent="0.2">
      <c r="A707" s="272"/>
      <c r="B707" s="270"/>
      <c r="C707" s="270"/>
      <c r="D707" s="270"/>
      <c r="E707" s="270"/>
      <c r="F707" s="270"/>
      <c r="G707" s="270"/>
      <c r="H707" s="285"/>
      <c r="I707" s="270"/>
      <c r="J707" s="270"/>
      <c r="K707" s="270"/>
      <c r="L707" s="286"/>
      <c r="N707" s="35"/>
      <c r="O707" s="36" t="s">
        <v>45</v>
      </c>
      <c r="P707" s="36">
        <v>28</v>
      </c>
      <c r="Q707" s="36">
        <v>2</v>
      </c>
      <c r="R707" s="36">
        <v>0</v>
      </c>
      <c r="S707" s="27"/>
      <c r="T707" s="36" t="s">
        <v>45</v>
      </c>
      <c r="U707" s="63">
        <f>IF($J$1="March","",Y706)</f>
        <v>0</v>
      </c>
      <c r="V707" s="38"/>
      <c r="W707" s="63">
        <f t="shared" si="160"/>
        <v>0</v>
      </c>
      <c r="X707" s="38"/>
      <c r="Y707" s="63">
        <f t="shared" si="161"/>
        <v>0</v>
      </c>
      <c r="Z707" s="27"/>
    </row>
    <row r="708" spans="1:27" s="25" customFormat="1" ht="18" customHeight="1" x14ac:dyDescent="0.2">
      <c r="A708" s="272"/>
      <c r="B708" s="401" t="s">
        <v>40</v>
      </c>
      <c r="C708" s="402"/>
      <c r="D708" s="270"/>
      <c r="E708" s="270"/>
      <c r="F708" s="287" t="s">
        <v>62</v>
      </c>
      <c r="G708" s="288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5"/>
      <c r="I708" s="356">
        <f>IF(C712&gt;0,$K$2,C710)</f>
        <v>29</v>
      </c>
      <c r="J708" s="290" t="s">
        <v>59</v>
      </c>
      <c r="K708" s="291">
        <f>K704/$K$2*I708</f>
        <v>58000</v>
      </c>
      <c r="L708" s="292"/>
      <c r="N708" s="35"/>
      <c r="O708" s="36" t="s">
        <v>46</v>
      </c>
      <c r="P708" s="36">
        <v>30</v>
      </c>
      <c r="Q708" s="36">
        <v>1</v>
      </c>
      <c r="R708" s="36">
        <v>0</v>
      </c>
      <c r="S708" s="27"/>
      <c r="T708" s="36" t="s">
        <v>46</v>
      </c>
      <c r="U708" s="63">
        <f>IF($J$1="April","",Y707)</f>
        <v>0</v>
      </c>
      <c r="V708" s="38"/>
      <c r="W708" s="63">
        <f t="shared" si="160"/>
        <v>0</v>
      </c>
      <c r="X708" s="38"/>
      <c r="Y708" s="63">
        <f t="shared" si="161"/>
        <v>0</v>
      </c>
      <c r="Z708" s="27"/>
    </row>
    <row r="709" spans="1:27" s="25" customFormat="1" ht="18" customHeight="1" x14ac:dyDescent="0.2">
      <c r="A709" s="272"/>
      <c r="B709" s="293"/>
      <c r="C709" s="293"/>
      <c r="D709" s="270"/>
      <c r="E709" s="270"/>
      <c r="F709" s="287" t="s">
        <v>18</v>
      </c>
      <c r="G709" s="288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5"/>
      <c r="I709" s="355">
        <v>8</v>
      </c>
      <c r="J709" s="290" t="s">
        <v>60</v>
      </c>
      <c r="K709" s="294">
        <f>K704/$K$2/8*I709</f>
        <v>2000</v>
      </c>
      <c r="L709" s="295"/>
      <c r="N709" s="35"/>
      <c r="O709" s="36" t="s">
        <v>47</v>
      </c>
      <c r="P709" s="36">
        <v>29</v>
      </c>
      <c r="Q709" s="36">
        <v>1</v>
      </c>
      <c r="R709" s="36">
        <v>0</v>
      </c>
      <c r="S709" s="27"/>
      <c r="T709" s="36" t="s">
        <v>47</v>
      </c>
      <c r="U709" s="63">
        <f>IF($J$1="May","",Y708)</f>
        <v>0</v>
      </c>
      <c r="V709" s="38"/>
      <c r="W709" s="63">
        <f t="shared" si="160"/>
        <v>0</v>
      </c>
      <c r="X709" s="38"/>
      <c r="Y709" s="63">
        <f t="shared" si="161"/>
        <v>0</v>
      </c>
      <c r="Z709" s="27"/>
    </row>
    <row r="710" spans="1:27" s="25" customFormat="1" ht="18" customHeight="1" x14ac:dyDescent="0.2">
      <c r="A710" s="272"/>
      <c r="B710" s="287" t="s">
        <v>7</v>
      </c>
      <c r="C710" s="293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29</v>
      </c>
      <c r="D710" s="270"/>
      <c r="E710" s="270"/>
      <c r="F710" s="287" t="s">
        <v>63</v>
      </c>
      <c r="G710" s="288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5"/>
      <c r="I710" s="389" t="s">
        <v>67</v>
      </c>
      <c r="J710" s="390"/>
      <c r="K710" s="294">
        <f>K708+K709</f>
        <v>60000</v>
      </c>
      <c r="L710" s="295"/>
      <c r="N710" s="35"/>
      <c r="O710" s="36" t="s">
        <v>48</v>
      </c>
      <c r="P710" s="36"/>
      <c r="Q710" s="36"/>
      <c r="R710" s="36">
        <v>0</v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0"/>
        <v/>
      </c>
      <c r="X710" s="38"/>
      <c r="Y710" s="63" t="str">
        <f t="shared" si="161"/>
        <v/>
      </c>
      <c r="Z710" s="27"/>
    </row>
    <row r="711" spans="1:27" s="25" customFormat="1" ht="18" customHeight="1" x14ac:dyDescent="0.2">
      <c r="A711" s="272"/>
      <c r="B711" s="287" t="s">
        <v>6</v>
      </c>
      <c r="C711" s="293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1</v>
      </c>
      <c r="D711" s="270"/>
      <c r="E711" s="270"/>
      <c r="F711" s="287" t="s">
        <v>19</v>
      </c>
      <c r="G711" s="288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5"/>
      <c r="I711" s="389" t="s">
        <v>68</v>
      </c>
      <c r="J711" s="390"/>
      <c r="K711" s="288">
        <f>G711</f>
        <v>0</v>
      </c>
      <c r="L711" s="296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0"/>
        <v/>
      </c>
      <c r="X711" s="38"/>
      <c r="Y711" s="63" t="str">
        <f t="shared" si="161"/>
        <v/>
      </c>
      <c r="Z711" s="27"/>
    </row>
    <row r="712" spans="1:27" s="25" customFormat="1" ht="18" customHeight="1" x14ac:dyDescent="0.2">
      <c r="A712" s="272"/>
      <c r="B712" s="302" t="s">
        <v>66</v>
      </c>
      <c r="C712" s="293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0"/>
      <c r="E712" s="270"/>
      <c r="F712" s="302" t="s">
        <v>195</v>
      </c>
      <c r="G712" s="288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0"/>
      <c r="I712" s="391" t="s">
        <v>61</v>
      </c>
      <c r="J712" s="391"/>
      <c r="K712" s="229">
        <f>K710-K711</f>
        <v>60000</v>
      </c>
      <c r="L712" s="297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0"/>
        <v>0</v>
      </c>
      <c r="X712" s="38"/>
      <c r="Y712" s="63">
        <f t="shared" si="161"/>
        <v>0</v>
      </c>
      <c r="Z712" s="40"/>
    </row>
    <row r="713" spans="1:27" s="25" customFormat="1" ht="18" customHeight="1" x14ac:dyDescent="0.2">
      <c r="A713" s="272"/>
      <c r="B713" s="270"/>
      <c r="C713" s="270"/>
      <c r="D713" s="270"/>
      <c r="E713" s="270"/>
      <c r="F713" s="270"/>
      <c r="G713" s="270"/>
      <c r="H713" s="270"/>
      <c r="I713" s="392"/>
      <c r="J713" s="392"/>
      <c r="K713" s="352"/>
      <c r="L713" s="284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0"/>
        <v/>
      </c>
      <c r="X713" s="38"/>
      <c r="Y713" s="63" t="str">
        <f t="shared" si="161"/>
        <v/>
      </c>
      <c r="Z713" s="40"/>
    </row>
    <row r="714" spans="1:27" s="25" customFormat="1" ht="18" customHeight="1" x14ac:dyDescent="0.3">
      <c r="A714" s="272"/>
      <c r="B714" s="268"/>
      <c r="C714" s="268"/>
      <c r="D714" s="268"/>
      <c r="E714" s="268"/>
      <c r="F714" s="349"/>
      <c r="G714" s="349"/>
      <c r="H714" s="349"/>
      <c r="I714" s="392"/>
      <c r="J714" s="392"/>
      <c r="K714" s="352"/>
      <c r="L714" s="284"/>
      <c r="N714" s="35"/>
      <c r="O714" s="36" t="s">
        <v>55</v>
      </c>
      <c r="P714" s="36"/>
      <c r="Q714" s="36"/>
      <c r="R714" s="36" t="str">
        <f t="shared" ref="R714" si="162">IF(Q714="","",R713-Q714)</f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0"/>
        <v/>
      </c>
      <c r="X714" s="38"/>
      <c r="Y714" s="63" t="str">
        <f t="shared" si="161"/>
        <v/>
      </c>
      <c r="Z714" s="27"/>
    </row>
    <row r="715" spans="1:27" s="25" customFormat="1" ht="18" customHeight="1" thickBot="1" x14ac:dyDescent="0.35">
      <c r="A715" s="298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300"/>
      <c r="N715" s="35"/>
      <c r="O715" s="36" t="s">
        <v>56</v>
      </c>
      <c r="P715" s="339"/>
      <c r="Q715" s="339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0"/>
        <v>0</v>
      </c>
      <c r="X715" s="38"/>
      <c r="Y715" s="63">
        <f t="shared" si="161"/>
        <v>0</v>
      </c>
      <c r="Z715" s="27"/>
    </row>
    <row r="716" spans="1:27" s="25" customFormat="1" ht="18" customHeight="1" thickBot="1" x14ac:dyDescent="0.35">
      <c r="A716" s="272"/>
      <c r="B716" s="268"/>
      <c r="C716" s="268"/>
      <c r="D716" s="268"/>
      <c r="E716" s="268"/>
      <c r="F716" s="268"/>
      <c r="G716" s="268"/>
      <c r="H716" s="268"/>
      <c r="I716" s="268"/>
      <c r="J716" s="268"/>
      <c r="K716" s="268"/>
      <c r="L716" s="284"/>
      <c r="N716" s="35"/>
      <c r="O716" s="334"/>
      <c r="P716" s="57"/>
      <c r="Q716" s="57"/>
      <c r="R716" s="335"/>
      <c r="S716" s="27"/>
      <c r="T716" s="334"/>
      <c r="U716" s="336"/>
      <c r="V716" s="337"/>
      <c r="W716" s="336"/>
      <c r="X716" s="337"/>
      <c r="Y716" s="338"/>
      <c r="Z716" s="27"/>
    </row>
    <row r="717" spans="1:27" s="25" customFormat="1" ht="18" customHeight="1" x14ac:dyDescent="0.2">
      <c r="A717" s="420" t="s">
        <v>38</v>
      </c>
      <c r="B717" s="421"/>
      <c r="C717" s="421"/>
      <c r="D717" s="421"/>
      <c r="E717" s="421"/>
      <c r="F717" s="421"/>
      <c r="G717" s="421"/>
      <c r="H717" s="421"/>
      <c r="I717" s="421"/>
      <c r="J717" s="421"/>
      <c r="K717" s="421"/>
      <c r="L717" s="422"/>
      <c r="M717" s="24"/>
      <c r="N717" s="28"/>
      <c r="O717" s="396" t="s">
        <v>40</v>
      </c>
      <c r="P717" s="397"/>
      <c r="Q717" s="397"/>
      <c r="R717" s="398"/>
      <c r="S717" s="29"/>
      <c r="T717" s="396" t="s">
        <v>41</v>
      </c>
      <c r="U717" s="397"/>
      <c r="V717" s="397"/>
      <c r="W717" s="397"/>
      <c r="X717" s="397"/>
      <c r="Y717" s="398"/>
      <c r="Z717" s="30"/>
      <c r="AA717" s="24"/>
    </row>
    <row r="718" spans="1:27" s="25" customFormat="1" ht="18" customHeight="1" x14ac:dyDescent="0.2">
      <c r="A718" s="272"/>
      <c r="B718" s="270"/>
      <c r="C718" s="399" t="s">
        <v>202</v>
      </c>
      <c r="D718" s="399"/>
      <c r="E718" s="399"/>
      <c r="F718" s="399"/>
      <c r="G718" s="273" t="str">
        <f>$J$1</f>
        <v>June</v>
      </c>
      <c r="H718" s="400">
        <f>$K$1</f>
        <v>2024</v>
      </c>
      <c r="I718" s="400"/>
      <c r="J718" s="270"/>
      <c r="K718" s="274"/>
      <c r="L718" s="275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2"/>
      <c r="B719" s="270"/>
      <c r="C719" s="270"/>
      <c r="D719" s="276"/>
      <c r="E719" s="276"/>
      <c r="F719" s="276"/>
      <c r="G719" s="276"/>
      <c r="H719" s="276"/>
      <c r="I719" s="270"/>
      <c r="J719" s="277" t="s">
        <v>1</v>
      </c>
      <c r="K719" s="278">
        <v>70000</v>
      </c>
      <c r="L719" s="279"/>
      <c r="N719" s="35"/>
      <c r="O719" s="36" t="s">
        <v>43</v>
      </c>
      <c r="P719" s="36">
        <v>30</v>
      </c>
      <c r="Q719" s="36">
        <v>1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2"/>
      <c r="B720" s="270" t="s">
        <v>0</v>
      </c>
      <c r="C720" s="269" t="s">
        <v>201</v>
      </c>
      <c r="D720" s="270"/>
      <c r="E720" s="270"/>
      <c r="F720" s="270"/>
      <c r="G720" s="270"/>
      <c r="H720" s="280"/>
      <c r="I720" s="276"/>
      <c r="J720" s="270"/>
      <c r="K720" s="270"/>
      <c r="L720" s="281"/>
      <c r="M720" s="24"/>
      <c r="N720" s="39"/>
      <c r="O720" s="36" t="s">
        <v>69</v>
      </c>
      <c r="P720" s="36"/>
      <c r="Q720" s="36"/>
      <c r="R720" s="36" t="str">
        <f t="shared" ref="R720:R727" si="163">IF(Q720="","",R719-Q720)</f>
        <v/>
      </c>
      <c r="S720" s="27"/>
      <c r="T720" s="36" t="s">
        <v>69</v>
      </c>
      <c r="U720" s="63">
        <f>Y719</f>
        <v>75000</v>
      </c>
      <c r="V720" s="38"/>
      <c r="W720" s="63">
        <f>IF(U720="","",U720+V720)</f>
        <v>75000</v>
      </c>
      <c r="X720" s="38"/>
      <c r="Y720" s="63">
        <f>IF(W720="","",W720-X720)</f>
        <v>75000</v>
      </c>
      <c r="Z720" s="40"/>
      <c r="AA720" s="24"/>
    </row>
    <row r="721" spans="1:27" s="25" customFormat="1" ht="18" customHeight="1" x14ac:dyDescent="0.2">
      <c r="A721" s="272"/>
      <c r="B721" s="282" t="s">
        <v>39</v>
      </c>
      <c r="C721" s="283"/>
      <c r="D721" s="270"/>
      <c r="E721" s="270"/>
      <c r="F721" s="391" t="s">
        <v>41</v>
      </c>
      <c r="G721" s="391"/>
      <c r="H721" s="270"/>
      <c r="I721" s="391" t="s">
        <v>42</v>
      </c>
      <c r="J721" s="391"/>
      <c r="K721" s="391"/>
      <c r="L721" s="284"/>
      <c r="N721" s="35"/>
      <c r="O721" s="36" t="s">
        <v>44</v>
      </c>
      <c r="P721" s="36">
        <v>31</v>
      </c>
      <c r="Q721" s="36">
        <v>0</v>
      </c>
      <c r="R721" s="36">
        <v>0</v>
      </c>
      <c r="S721" s="27"/>
      <c r="T721" s="36" t="s">
        <v>44</v>
      </c>
      <c r="U721" s="63">
        <f>Y720</f>
        <v>75000</v>
      </c>
      <c r="V721" s="38"/>
      <c r="W721" s="63">
        <f t="shared" ref="W721:W730" si="164">IF(U721="","",U721+V721)</f>
        <v>75000</v>
      </c>
      <c r="X721" s="38">
        <v>5000</v>
      </c>
      <c r="Y721" s="63">
        <f t="shared" ref="Y721:Y730" si="165">IF(W721="","",W721-X721)</f>
        <v>70000</v>
      </c>
      <c r="Z721" s="40"/>
    </row>
    <row r="722" spans="1:27" s="25" customFormat="1" ht="18" customHeight="1" x14ac:dyDescent="0.2">
      <c r="A722" s="272"/>
      <c r="B722" s="270"/>
      <c r="C722" s="270"/>
      <c r="D722" s="270"/>
      <c r="E722" s="270"/>
      <c r="F722" s="270"/>
      <c r="G722" s="270"/>
      <c r="H722" s="285"/>
      <c r="I722" s="270"/>
      <c r="J722" s="270"/>
      <c r="K722" s="270"/>
      <c r="L722" s="286"/>
      <c r="N722" s="35"/>
      <c r="O722" s="36" t="s">
        <v>45</v>
      </c>
      <c r="P722" s="36">
        <v>30</v>
      </c>
      <c r="Q722" s="36">
        <v>0</v>
      </c>
      <c r="R722" s="36">
        <v>0</v>
      </c>
      <c r="S722" s="27"/>
      <c r="T722" s="36" t="s">
        <v>45</v>
      </c>
      <c r="U722" s="63">
        <f>IF($J$1="March","",Y721)</f>
        <v>70000</v>
      </c>
      <c r="V722" s="38"/>
      <c r="W722" s="63">
        <f t="shared" si="164"/>
        <v>70000</v>
      </c>
      <c r="X722" s="38">
        <v>5000</v>
      </c>
      <c r="Y722" s="63">
        <f t="shared" si="165"/>
        <v>65000</v>
      </c>
      <c r="Z722" s="40"/>
    </row>
    <row r="723" spans="1:27" s="25" customFormat="1" ht="18" customHeight="1" x14ac:dyDescent="0.2">
      <c r="A723" s="272"/>
      <c r="B723" s="401" t="s">
        <v>40</v>
      </c>
      <c r="C723" s="402"/>
      <c r="D723" s="270"/>
      <c r="E723" s="270"/>
      <c r="F723" s="287" t="s">
        <v>62</v>
      </c>
      <c r="G723" s="288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0</v>
      </c>
      <c r="H723" s="285"/>
      <c r="I723" s="289">
        <f>IF(C727&gt;0,$K$2,C725)</f>
        <v>30</v>
      </c>
      <c r="J723" s="290" t="s">
        <v>59</v>
      </c>
      <c r="K723" s="291">
        <f>K719/$K$2*I723</f>
        <v>70000</v>
      </c>
      <c r="L723" s="292"/>
      <c r="N723" s="35"/>
      <c r="O723" s="36" t="s">
        <v>46</v>
      </c>
      <c r="P723" s="36">
        <v>31</v>
      </c>
      <c r="Q723" s="36">
        <v>0</v>
      </c>
      <c r="R723" s="36">
        <v>0</v>
      </c>
      <c r="S723" s="27"/>
      <c r="T723" s="36" t="s">
        <v>46</v>
      </c>
      <c r="U723" s="63">
        <f>Y722-65000</f>
        <v>0</v>
      </c>
      <c r="V723" s="38"/>
      <c r="W723" s="63">
        <f t="shared" si="164"/>
        <v>0</v>
      </c>
      <c r="X723" s="38"/>
      <c r="Y723" s="63">
        <f t="shared" si="165"/>
        <v>0</v>
      </c>
      <c r="Z723" s="40"/>
      <c r="AA723" s="25" t="s">
        <v>237</v>
      </c>
    </row>
    <row r="724" spans="1:27" s="25" customFormat="1" ht="18" customHeight="1" x14ac:dyDescent="0.2">
      <c r="A724" s="272"/>
      <c r="B724" s="293"/>
      <c r="C724" s="293"/>
      <c r="D724" s="270"/>
      <c r="E724" s="270"/>
      <c r="F724" s="287" t="s">
        <v>18</v>
      </c>
      <c r="G724" s="288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5"/>
      <c r="I724" s="306"/>
      <c r="J724" s="290" t="s">
        <v>60</v>
      </c>
      <c r="K724" s="294">
        <f>K719/$K$2/8*I724</f>
        <v>0</v>
      </c>
      <c r="L724" s="295"/>
      <c r="N724" s="35"/>
      <c r="O724" s="36" t="s">
        <v>47</v>
      </c>
      <c r="P724" s="36">
        <v>30</v>
      </c>
      <c r="Q724" s="36">
        <v>0</v>
      </c>
      <c r="R724" s="36">
        <f t="shared" si="163"/>
        <v>0</v>
      </c>
      <c r="S724" s="27"/>
      <c r="T724" s="36" t="s">
        <v>47</v>
      </c>
      <c r="U724" s="63"/>
      <c r="V724" s="38"/>
      <c r="W724" s="63" t="str">
        <f t="shared" si="164"/>
        <v/>
      </c>
      <c r="X724" s="38"/>
      <c r="Y724" s="63" t="str">
        <f t="shared" si="165"/>
        <v/>
      </c>
      <c r="Z724" s="40"/>
    </row>
    <row r="725" spans="1:27" s="25" customFormat="1" ht="18" customHeight="1" x14ac:dyDescent="0.2">
      <c r="A725" s="272"/>
      <c r="B725" s="287" t="s">
        <v>7</v>
      </c>
      <c r="C725" s="293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30</v>
      </c>
      <c r="D725" s="270"/>
      <c r="E725" s="270"/>
      <c r="F725" s="287" t="s">
        <v>63</v>
      </c>
      <c r="G725" s="288" t="str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/>
      </c>
      <c r="H725" s="285"/>
      <c r="I725" s="389" t="s">
        <v>67</v>
      </c>
      <c r="J725" s="390"/>
      <c r="K725" s="294">
        <f>K723+K724</f>
        <v>70000</v>
      </c>
      <c r="L725" s="295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4"/>
        <v/>
      </c>
      <c r="X725" s="38"/>
      <c r="Y725" s="63" t="str">
        <f t="shared" si="165"/>
        <v/>
      </c>
      <c r="Z725" s="40"/>
    </row>
    <row r="726" spans="1:27" s="25" customFormat="1" ht="18" customHeight="1" x14ac:dyDescent="0.2">
      <c r="A726" s="272"/>
      <c r="B726" s="287" t="s">
        <v>6</v>
      </c>
      <c r="C726" s="293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0"/>
      <c r="E726" s="270"/>
      <c r="F726" s="287" t="s">
        <v>19</v>
      </c>
      <c r="G726" s="288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285"/>
      <c r="I726" s="389" t="s">
        <v>68</v>
      </c>
      <c r="J726" s="390"/>
      <c r="K726" s="288">
        <f>G726</f>
        <v>0</v>
      </c>
      <c r="L726" s="296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4"/>
        <v/>
      </c>
      <c r="X726" s="38"/>
      <c r="Y726" s="63" t="str">
        <f t="shared" si="165"/>
        <v/>
      </c>
      <c r="Z726" s="40"/>
    </row>
    <row r="727" spans="1:27" s="25" customFormat="1" ht="18" customHeight="1" x14ac:dyDescent="0.2">
      <c r="A727" s="272"/>
      <c r="B727" s="304" t="s">
        <v>66</v>
      </c>
      <c r="C727" s="293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>0</v>
      </c>
      <c r="D727" s="270"/>
      <c r="E727" s="270"/>
      <c r="F727" s="287" t="s">
        <v>65</v>
      </c>
      <c r="G727" s="288" t="str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/>
      </c>
      <c r="H727" s="270"/>
      <c r="I727" s="391" t="s">
        <v>61</v>
      </c>
      <c r="J727" s="391"/>
      <c r="K727" s="229">
        <f>K725-K726</f>
        <v>70000</v>
      </c>
      <c r="L727" s="297"/>
      <c r="N727" s="35"/>
      <c r="O727" s="36" t="s">
        <v>54</v>
      </c>
      <c r="P727" s="339"/>
      <c r="Q727" s="339"/>
      <c r="R727" s="36" t="str">
        <f t="shared" si="163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4"/>
        <v/>
      </c>
      <c r="X727" s="38"/>
      <c r="Y727" s="63" t="str">
        <f t="shared" si="165"/>
        <v/>
      </c>
      <c r="Z727" s="40"/>
    </row>
    <row r="728" spans="1:27" s="25" customFormat="1" ht="18" customHeight="1" x14ac:dyDescent="0.2">
      <c r="A728" s="272"/>
      <c r="B728" s="270"/>
      <c r="C728" s="270"/>
      <c r="D728" s="270"/>
      <c r="E728" s="270"/>
      <c r="F728" s="270"/>
      <c r="G728" s="270"/>
      <c r="H728" s="270"/>
      <c r="I728" s="392"/>
      <c r="J728" s="392"/>
      <c r="K728" s="352"/>
      <c r="L728" s="284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4"/>
        <v/>
      </c>
      <c r="X728" s="38"/>
      <c r="Y728" s="63" t="str">
        <f t="shared" si="165"/>
        <v/>
      </c>
      <c r="Z728" s="40"/>
    </row>
    <row r="729" spans="1:27" s="25" customFormat="1" ht="18" customHeight="1" x14ac:dyDescent="0.3">
      <c r="A729" s="272"/>
      <c r="B729" s="268"/>
      <c r="C729" s="268"/>
      <c r="D729" s="268"/>
      <c r="E729" s="268"/>
      <c r="F729" s="268"/>
      <c r="G729" s="268"/>
      <c r="H729" s="268"/>
      <c r="I729" s="392"/>
      <c r="J729" s="392"/>
      <c r="K729" s="352"/>
      <c r="L729" s="284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4"/>
        <v/>
      </c>
      <c r="X729" s="38"/>
      <c r="Y729" s="63" t="str">
        <f t="shared" si="165"/>
        <v/>
      </c>
      <c r="Z729" s="40"/>
    </row>
    <row r="730" spans="1:27" s="25" customFormat="1" ht="18" customHeight="1" x14ac:dyDescent="0.3">
      <c r="A730" s="272"/>
      <c r="B730" s="268"/>
      <c r="C730" s="268"/>
      <c r="D730" s="268"/>
      <c r="E730" s="268"/>
      <c r="F730" s="268"/>
      <c r="G730" s="268"/>
      <c r="H730" s="268"/>
      <c r="I730" s="268"/>
      <c r="J730" s="268"/>
      <c r="K730" s="268"/>
      <c r="L730" s="284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4"/>
        <v/>
      </c>
      <c r="X730" s="38"/>
      <c r="Y730" s="63" t="str">
        <f t="shared" si="165"/>
        <v/>
      </c>
      <c r="Z730" s="40"/>
    </row>
    <row r="731" spans="1:27" s="25" customFormat="1" ht="18" customHeight="1" thickBot="1" x14ac:dyDescent="0.25">
      <c r="A731" s="298"/>
      <c r="B731" s="305"/>
      <c r="C731" s="305"/>
      <c r="D731" s="305"/>
      <c r="E731" s="305"/>
      <c r="F731" s="305"/>
      <c r="G731" s="305"/>
      <c r="H731" s="305"/>
      <c r="I731" s="305"/>
      <c r="J731" s="305"/>
      <c r="K731" s="305"/>
      <c r="L731" s="300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09" t="s">
        <v>38</v>
      </c>
      <c r="B733" s="410"/>
      <c r="C733" s="410"/>
      <c r="D733" s="410"/>
      <c r="E733" s="410"/>
      <c r="F733" s="410"/>
      <c r="G733" s="410"/>
      <c r="H733" s="410"/>
      <c r="I733" s="410"/>
      <c r="J733" s="410"/>
      <c r="K733" s="410"/>
      <c r="L733" s="411"/>
      <c r="M733" s="24"/>
      <c r="N733" s="28"/>
      <c r="O733" s="396" t="s">
        <v>40</v>
      </c>
      <c r="P733" s="397"/>
      <c r="Q733" s="397"/>
      <c r="R733" s="398"/>
      <c r="S733" s="29"/>
      <c r="T733" s="396" t="s">
        <v>41</v>
      </c>
      <c r="U733" s="397"/>
      <c r="V733" s="397"/>
      <c r="W733" s="397"/>
      <c r="X733" s="397"/>
      <c r="Y733" s="398"/>
      <c r="Z733" s="30"/>
      <c r="AA733" s="24"/>
    </row>
    <row r="734" spans="1:27" s="25" customFormat="1" ht="18" customHeight="1" x14ac:dyDescent="0.2">
      <c r="A734" s="272"/>
      <c r="B734" s="270"/>
      <c r="C734" s="399" t="s">
        <v>202</v>
      </c>
      <c r="D734" s="399"/>
      <c r="E734" s="399"/>
      <c r="F734" s="399"/>
      <c r="G734" s="273" t="str">
        <f>$J$1</f>
        <v>June</v>
      </c>
      <c r="H734" s="400">
        <f>$K$1</f>
        <v>2024</v>
      </c>
      <c r="I734" s="400"/>
      <c r="J734" s="270"/>
      <c r="K734" s="274"/>
      <c r="L734" s="275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2"/>
      <c r="B735" s="270"/>
      <c r="C735" s="270"/>
      <c r="D735" s="276"/>
      <c r="E735" s="276"/>
      <c r="F735" s="276"/>
      <c r="G735" s="276"/>
      <c r="H735" s="276"/>
      <c r="I735" s="270"/>
      <c r="J735" s="277" t="s">
        <v>1</v>
      </c>
      <c r="K735" s="278">
        <v>35000</v>
      </c>
      <c r="L735" s="279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2"/>
      <c r="B736" s="270" t="s">
        <v>0</v>
      </c>
      <c r="C736" s="269" t="s">
        <v>239</v>
      </c>
      <c r="D736" s="270"/>
      <c r="E736" s="270"/>
      <c r="F736" s="270"/>
      <c r="G736" s="270"/>
      <c r="H736" s="280"/>
      <c r="I736" s="276"/>
      <c r="J736" s="270"/>
      <c r="K736" s="270"/>
      <c r="L736" s="281"/>
      <c r="M736" s="24"/>
      <c r="N736" s="39"/>
      <c r="O736" s="36" t="s">
        <v>69</v>
      </c>
      <c r="P736" s="36"/>
      <c r="Q736" s="36"/>
      <c r="R736" s="36">
        <v>0</v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2"/>
      <c r="B737" s="282" t="s">
        <v>39</v>
      </c>
      <c r="C737" s="283"/>
      <c r="D737" s="270"/>
      <c r="E737" s="270"/>
      <c r="F737" s="391" t="s">
        <v>41</v>
      </c>
      <c r="G737" s="391"/>
      <c r="H737" s="270"/>
      <c r="I737" s="391" t="s">
        <v>42</v>
      </c>
      <c r="J737" s="391"/>
      <c r="K737" s="391"/>
      <c r="L737" s="284"/>
      <c r="N737" s="35"/>
      <c r="O737" s="36" t="s">
        <v>44</v>
      </c>
      <c r="P737" s="36"/>
      <c r="Q737" s="36"/>
      <c r="R737" s="36">
        <v>0</v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66">IF(U737="","",U737+V737)</f>
        <v>0</v>
      </c>
      <c r="X737" s="38"/>
      <c r="Y737" s="63">
        <f t="shared" ref="Y737:Y746" si="167">IF(W737="","",W737-X737)</f>
        <v>0</v>
      </c>
      <c r="Z737" s="40"/>
    </row>
    <row r="738" spans="1:27" s="25" customFormat="1" ht="18" customHeight="1" x14ac:dyDescent="0.2">
      <c r="A738" s="272"/>
      <c r="B738" s="270"/>
      <c r="C738" s="270"/>
      <c r="D738" s="270"/>
      <c r="E738" s="270"/>
      <c r="F738" s="270"/>
      <c r="G738" s="270"/>
      <c r="H738" s="285"/>
      <c r="I738" s="270"/>
      <c r="J738" s="270"/>
      <c r="K738" s="270"/>
      <c r="L738" s="286"/>
      <c r="N738" s="35"/>
      <c r="O738" s="36" t="s">
        <v>45</v>
      </c>
      <c r="P738" s="36"/>
      <c r="Q738" s="36"/>
      <c r="R738" s="36">
        <v>0</v>
      </c>
      <c r="S738" s="27"/>
      <c r="T738" s="36" t="s">
        <v>45</v>
      </c>
      <c r="U738" s="63">
        <f>IF($J$1="April",Y737,Y737)</f>
        <v>0</v>
      </c>
      <c r="V738" s="38"/>
      <c r="W738" s="63">
        <f t="shared" si="166"/>
        <v>0</v>
      </c>
      <c r="X738" s="38"/>
      <c r="Y738" s="63">
        <f t="shared" si="167"/>
        <v>0</v>
      </c>
      <c r="Z738" s="40"/>
    </row>
    <row r="739" spans="1:27" s="25" customFormat="1" ht="18" customHeight="1" x14ac:dyDescent="0.2">
      <c r="A739" s="272"/>
      <c r="B739" s="401" t="s">
        <v>40</v>
      </c>
      <c r="C739" s="402"/>
      <c r="D739" s="270"/>
      <c r="E739" s="270"/>
      <c r="F739" s="287" t="s">
        <v>62</v>
      </c>
      <c r="G739" s="288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5"/>
      <c r="I739" s="289">
        <f>IF(C743&gt;0,$K$2,C741)</f>
        <v>29</v>
      </c>
      <c r="J739" s="290" t="s">
        <v>59</v>
      </c>
      <c r="K739" s="291">
        <f>K735/$K$2*I739</f>
        <v>33833.333333333336</v>
      </c>
      <c r="L739" s="292"/>
      <c r="N739" s="35"/>
      <c r="O739" s="36" t="s">
        <v>46</v>
      </c>
      <c r="P739" s="36">
        <v>29</v>
      </c>
      <c r="Q739" s="36">
        <v>2</v>
      </c>
      <c r="R739" s="36">
        <v>0</v>
      </c>
      <c r="S739" s="27"/>
      <c r="T739" s="36" t="s">
        <v>46</v>
      </c>
      <c r="U739" s="63">
        <f>IF($J$1="May",Y738,Y738)</f>
        <v>0</v>
      </c>
      <c r="V739" s="38"/>
      <c r="W739" s="63">
        <f t="shared" si="166"/>
        <v>0</v>
      </c>
      <c r="X739" s="38"/>
      <c r="Y739" s="63">
        <f t="shared" si="167"/>
        <v>0</v>
      </c>
      <c r="Z739" s="40"/>
    </row>
    <row r="740" spans="1:27" s="25" customFormat="1" ht="18" customHeight="1" x14ac:dyDescent="0.2">
      <c r="A740" s="272"/>
      <c r="B740" s="293"/>
      <c r="C740" s="293"/>
      <c r="D740" s="270"/>
      <c r="E740" s="270"/>
      <c r="F740" s="287" t="s">
        <v>18</v>
      </c>
      <c r="G740" s="288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5"/>
      <c r="I740" s="306">
        <v>40</v>
      </c>
      <c r="J740" s="290" t="s">
        <v>60</v>
      </c>
      <c r="K740" s="294">
        <f>K735/$K$2/8*I740</f>
        <v>5833.3333333333339</v>
      </c>
      <c r="L740" s="295"/>
      <c r="N740" s="35"/>
      <c r="O740" s="36" t="s">
        <v>47</v>
      </c>
      <c r="P740" s="36">
        <v>29</v>
      </c>
      <c r="Q740" s="36">
        <v>1</v>
      </c>
      <c r="R740" s="36">
        <f t="shared" ref="R740:R746" si="168">IF(Q740="","",R739-Q740)</f>
        <v>-1</v>
      </c>
      <c r="S740" s="27"/>
      <c r="T740" s="36" t="s">
        <v>47</v>
      </c>
      <c r="U740" s="63">
        <f>IF($J$1="May",Y739,Y739)</f>
        <v>0</v>
      </c>
      <c r="V740" s="38"/>
      <c r="W740" s="63">
        <f t="shared" si="166"/>
        <v>0</v>
      </c>
      <c r="X740" s="38"/>
      <c r="Y740" s="63">
        <f t="shared" si="167"/>
        <v>0</v>
      </c>
      <c r="Z740" s="40"/>
    </row>
    <row r="741" spans="1:27" s="25" customFormat="1" ht="18" customHeight="1" x14ac:dyDescent="0.2">
      <c r="A741" s="272"/>
      <c r="B741" s="287" t="s">
        <v>7</v>
      </c>
      <c r="C741" s="293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29</v>
      </c>
      <c r="D741" s="270"/>
      <c r="E741" s="270"/>
      <c r="F741" s="287" t="s">
        <v>63</v>
      </c>
      <c r="G741" s="288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5"/>
      <c r="I741" s="389" t="s">
        <v>67</v>
      </c>
      <c r="J741" s="390"/>
      <c r="K741" s="294">
        <f>K739+K740</f>
        <v>39666.666666666672</v>
      </c>
      <c r="L741" s="295"/>
      <c r="N741" s="35"/>
      <c r="O741" s="36" t="s">
        <v>48</v>
      </c>
      <c r="P741" s="36"/>
      <c r="Q741" s="36"/>
      <c r="R741" s="36" t="str">
        <f t="shared" si="168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66"/>
        <v/>
      </c>
      <c r="X741" s="38"/>
      <c r="Y741" s="63" t="str">
        <f t="shared" si="167"/>
        <v/>
      </c>
      <c r="Z741" s="40"/>
    </row>
    <row r="742" spans="1:27" s="25" customFormat="1" ht="18" customHeight="1" x14ac:dyDescent="0.2">
      <c r="A742" s="272"/>
      <c r="B742" s="287" t="s">
        <v>6</v>
      </c>
      <c r="C742" s="293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1</v>
      </c>
      <c r="D742" s="270"/>
      <c r="E742" s="270"/>
      <c r="F742" s="287" t="s">
        <v>19</v>
      </c>
      <c r="G742" s="288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5"/>
      <c r="I742" s="389" t="s">
        <v>68</v>
      </c>
      <c r="J742" s="390"/>
      <c r="K742" s="288">
        <f>G742</f>
        <v>0</v>
      </c>
      <c r="L742" s="296"/>
      <c r="N742" s="35"/>
      <c r="O742" s="36" t="s">
        <v>49</v>
      </c>
      <c r="P742" s="36"/>
      <c r="Q742" s="36"/>
      <c r="R742" s="36" t="str">
        <f t="shared" si="168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66"/>
        <v/>
      </c>
      <c r="X742" s="38"/>
      <c r="Y742" s="63" t="str">
        <f t="shared" si="167"/>
        <v/>
      </c>
      <c r="Z742" s="40"/>
    </row>
    <row r="743" spans="1:27" s="25" customFormat="1" ht="18" customHeight="1" x14ac:dyDescent="0.2">
      <c r="A743" s="272"/>
      <c r="B743" s="304" t="s">
        <v>66</v>
      </c>
      <c r="C743" s="293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-1</v>
      </c>
      <c r="D743" s="270"/>
      <c r="E743" s="270"/>
      <c r="F743" s="287" t="s">
        <v>65</v>
      </c>
      <c r="G743" s="288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0"/>
      <c r="I743" s="391" t="s">
        <v>61</v>
      </c>
      <c r="J743" s="391"/>
      <c r="K743" s="229">
        <f>K741-K742</f>
        <v>39666.666666666672</v>
      </c>
      <c r="L743" s="297"/>
      <c r="N743" s="35"/>
      <c r="O743" s="36" t="s">
        <v>54</v>
      </c>
      <c r="P743" s="36"/>
      <c r="Q743" s="36"/>
      <c r="R743" s="36" t="str">
        <f t="shared" si="168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66"/>
        <v/>
      </c>
      <c r="X743" s="38"/>
      <c r="Y743" s="63" t="str">
        <f t="shared" si="167"/>
        <v/>
      </c>
      <c r="Z743" s="40"/>
    </row>
    <row r="744" spans="1:27" s="25" customFormat="1" ht="18" customHeight="1" x14ac:dyDescent="0.2">
      <c r="A744" s="272"/>
      <c r="B744" s="270"/>
      <c r="C744" s="270"/>
      <c r="D744" s="270"/>
      <c r="E744" s="270"/>
      <c r="F744" s="270"/>
      <c r="G744" s="270"/>
      <c r="H744" s="270"/>
      <c r="I744" s="392"/>
      <c r="J744" s="392"/>
      <c r="K744" s="352"/>
      <c r="L744" s="284"/>
      <c r="N744" s="35"/>
      <c r="O744" s="36" t="s">
        <v>50</v>
      </c>
      <c r="P744" s="36"/>
      <c r="Q744" s="36"/>
      <c r="R744" s="36" t="str">
        <f t="shared" si="168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66"/>
        <v/>
      </c>
      <c r="X744" s="38"/>
      <c r="Y744" s="63" t="str">
        <f t="shared" si="167"/>
        <v/>
      </c>
      <c r="Z744" s="40"/>
    </row>
    <row r="745" spans="1:27" s="25" customFormat="1" ht="18" customHeight="1" x14ac:dyDescent="0.3">
      <c r="A745" s="272"/>
      <c r="B745" s="268"/>
      <c r="C745" s="268"/>
      <c r="D745" s="268"/>
      <c r="E745" s="268"/>
      <c r="F745" s="268"/>
      <c r="G745" s="268"/>
      <c r="H745" s="268"/>
      <c r="I745" s="392"/>
      <c r="J745" s="392"/>
      <c r="K745" s="352"/>
      <c r="L745" s="284"/>
      <c r="N745" s="35"/>
      <c r="O745" s="36" t="s">
        <v>55</v>
      </c>
      <c r="P745" s="36"/>
      <c r="Q745" s="36"/>
      <c r="R745" s="36" t="str">
        <f t="shared" si="168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66"/>
        <v/>
      </c>
      <c r="X745" s="38"/>
      <c r="Y745" s="63" t="str">
        <f t="shared" si="167"/>
        <v/>
      </c>
      <c r="Z745" s="40"/>
    </row>
    <row r="746" spans="1:27" s="25" customFormat="1" ht="18" customHeight="1" x14ac:dyDescent="0.3">
      <c r="A746" s="272"/>
      <c r="B746" s="268"/>
      <c r="C746" s="268"/>
      <c r="D746" s="268"/>
      <c r="E746" s="268"/>
      <c r="F746" s="268"/>
      <c r="G746" s="268"/>
      <c r="H746" s="268"/>
      <c r="I746" s="268"/>
      <c r="J746" s="268"/>
      <c r="K746" s="268"/>
      <c r="L746" s="284"/>
      <c r="N746" s="35"/>
      <c r="O746" s="36" t="s">
        <v>56</v>
      </c>
      <c r="P746" s="36"/>
      <c r="Q746" s="36"/>
      <c r="R746" s="36" t="str">
        <f t="shared" si="168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66"/>
        <v/>
      </c>
      <c r="X746" s="38"/>
      <c r="Y746" s="63" t="str">
        <f t="shared" si="167"/>
        <v/>
      </c>
      <c r="Z746" s="40"/>
    </row>
    <row r="747" spans="1:27" s="25" customFormat="1" ht="18" customHeight="1" thickBot="1" x14ac:dyDescent="0.25">
      <c r="A747" s="298"/>
      <c r="B747" s="305"/>
      <c r="C747" s="305"/>
      <c r="D747" s="305"/>
      <c r="E747" s="305"/>
      <c r="F747" s="305"/>
      <c r="G747" s="305"/>
      <c r="H747" s="305"/>
      <c r="I747" s="305"/>
      <c r="J747" s="305"/>
      <c r="K747" s="305"/>
      <c r="L747" s="300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403" t="s">
        <v>38</v>
      </c>
      <c r="B749" s="404"/>
      <c r="C749" s="404"/>
      <c r="D749" s="404"/>
      <c r="E749" s="404"/>
      <c r="F749" s="404"/>
      <c r="G749" s="404"/>
      <c r="H749" s="404"/>
      <c r="I749" s="404"/>
      <c r="J749" s="404"/>
      <c r="K749" s="404"/>
      <c r="L749" s="405"/>
      <c r="M749" s="24"/>
      <c r="N749" s="28"/>
      <c r="O749" s="396" t="s">
        <v>40</v>
      </c>
      <c r="P749" s="397"/>
      <c r="Q749" s="397"/>
      <c r="R749" s="398"/>
      <c r="S749" s="29"/>
      <c r="T749" s="396" t="s">
        <v>41</v>
      </c>
      <c r="U749" s="397"/>
      <c r="V749" s="397"/>
      <c r="W749" s="397"/>
      <c r="X749" s="397"/>
      <c r="Y749" s="398"/>
      <c r="Z749" s="30"/>
      <c r="AA749" s="24"/>
    </row>
    <row r="750" spans="1:27" s="25" customFormat="1" ht="18" customHeight="1" x14ac:dyDescent="0.2">
      <c r="A750" s="272"/>
      <c r="B750" s="270"/>
      <c r="C750" s="399" t="s">
        <v>202</v>
      </c>
      <c r="D750" s="399"/>
      <c r="E750" s="399"/>
      <c r="F750" s="399"/>
      <c r="G750" s="273" t="str">
        <f>$J$1</f>
        <v>June</v>
      </c>
      <c r="H750" s="400">
        <f>$K$1</f>
        <v>2024</v>
      </c>
      <c r="I750" s="400"/>
      <c r="J750" s="270"/>
      <c r="K750" s="274"/>
      <c r="L750" s="275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2"/>
      <c r="B751" s="270"/>
      <c r="C751" s="270"/>
      <c r="D751" s="276"/>
      <c r="E751" s="276"/>
      <c r="F751" s="276"/>
      <c r="G751" s="276"/>
      <c r="H751" s="276"/>
      <c r="I751" s="270"/>
      <c r="J751" s="277" t="s">
        <v>1</v>
      </c>
      <c r="K751" s="278">
        <v>30000</v>
      </c>
      <c r="L751" s="279"/>
      <c r="N751" s="35"/>
      <c r="O751" s="36" t="s">
        <v>43</v>
      </c>
      <c r="P751" s="36"/>
      <c r="Q751" s="36"/>
      <c r="R751" s="36"/>
      <c r="S751" s="37"/>
      <c r="T751" s="36" t="s">
        <v>43</v>
      </c>
      <c r="U751" s="38"/>
      <c r="V751" s="38"/>
      <c r="W751" s="38">
        <f>V751+U751</f>
        <v>0</v>
      </c>
      <c r="X751" s="38"/>
      <c r="Y751" s="38">
        <f>W751-X751</f>
        <v>0</v>
      </c>
      <c r="Z751" s="34"/>
    </row>
    <row r="752" spans="1:27" s="25" customFormat="1" ht="18" customHeight="1" x14ac:dyDescent="0.2">
      <c r="A752" s="272"/>
      <c r="B752" s="270" t="s">
        <v>0</v>
      </c>
      <c r="C752" s="269" t="s">
        <v>227</v>
      </c>
      <c r="D752" s="270"/>
      <c r="E752" s="270"/>
      <c r="F752" s="270"/>
      <c r="G752" s="270"/>
      <c r="H752" s="280"/>
      <c r="I752" s="276"/>
      <c r="J752" s="270"/>
      <c r="K752" s="270"/>
      <c r="L752" s="281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>
        <f>Y751</f>
        <v>0</v>
      </c>
      <c r="V752" s="38"/>
      <c r="W752" s="63">
        <f>IF(U752="","",U752+V752)</f>
        <v>0</v>
      </c>
      <c r="X752" s="38"/>
      <c r="Y752" s="63">
        <f>IF(W752="","",W752-X752)</f>
        <v>0</v>
      </c>
      <c r="Z752" s="40"/>
      <c r="AA752" s="24"/>
    </row>
    <row r="753" spans="1:27" s="25" customFormat="1" ht="18" customHeight="1" x14ac:dyDescent="0.2">
      <c r="A753" s="272"/>
      <c r="B753" s="282" t="s">
        <v>39</v>
      </c>
      <c r="C753" s="283"/>
      <c r="D753" s="270"/>
      <c r="E753" s="270"/>
      <c r="F753" s="406" t="s">
        <v>41</v>
      </c>
      <c r="G753" s="408"/>
      <c r="H753" s="270"/>
      <c r="I753" s="406" t="s">
        <v>42</v>
      </c>
      <c r="J753" s="407"/>
      <c r="K753" s="408"/>
      <c r="L753" s="284"/>
      <c r="N753" s="35"/>
      <c r="O753" s="36" t="s">
        <v>44</v>
      </c>
      <c r="P753" s="36">
        <v>14</v>
      </c>
      <c r="Q753" s="36"/>
      <c r="R753" s="36">
        <v>0</v>
      </c>
      <c r="S753" s="27"/>
      <c r="T753" s="36" t="s">
        <v>44</v>
      </c>
      <c r="U753" s="63">
        <f>Y752</f>
        <v>0</v>
      </c>
      <c r="V753" s="38"/>
      <c r="W753" s="63">
        <f t="shared" ref="W753:W762" si="169">IF(U753="","",U753+V753)</f>
        <v>0</v>
      </c>
      <c r="X753" s="38"/>
      <c r="Y753" s="63">
        <f t="shared" ref="Y753:Y762" si="170">IF(W753="","",W753-X753)</f>
        <v>0</v>
      </c>
      <c r="Z753" s="40"/>
    </row>
    <row r="754" spans="1:27" s="25" customFormat="1" ht="18" customHeight="1" x14ac:dyDescent="0.2">
      <c r="A754" s="272"/>
      <c r="B754" s="270"/>
      <c r="C754" s="270"/>
      <c r="D754" s="270"/>
      <c r="E754" s="270"/>
      <c r="F754" s="270"/>
      <c r="G754" s="270"/>
      <c r="H754" s="285"/>
      <c r="I754" s="270"/>
      <c r="J754" s="270"/>
      <c r="K754" s="270"/>
      <c r="L754" s="286"/>
      <c r="N754" s="35"/>
      <c r="O754" s="36" t="s">
        <v>45</v>
      </c>
      <c r="P754" s="36">
        <v>30</v>
      </c>
      <c r="Q754" s="36">
        <v>0</v>
      </c>
      <c r="R754" s="36"/>
      <c r="S754" s="27"/>
      <c r="T754" s="36" t="s">
        <v>45</v>
      </c>
      <c r="U754" s="63">
        <f>IF($J$1="March","",Y753)</f>
        <v>0</v>
      </c>
      <c r="V754" s="38"/>
      <c r="W754" s="63">
        <f t="shared" si="169"/>
        <v>0</v>
      </c>
      <c r="X754" s="38"/>
      <c r="Y754" s="63">
        <f t="shared" si="170"/>
        <v>0</v>
      </c>
      <c r="Z754" s="40"/>
    </row>
    <row r="755" spans="1:27" s="25" customFormat="1" ht="18" customHeight="1" x14ac:dyDescent="0.2">
      <c r="A755" s="272"/>
      <c r="B755" s="401" t="s">
        <v>40</v>
      </c>
      <c r="C755" s="402"/>
      <c r="D755" s="270"/>
      <c r="E755" s="270"/>
      <c r="F755" s="287" t="s">
        <v>62</v>
      </c>
      <c r="G755" s="288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5"/>
      <c r="I755" s="289">
        <f>IF(C759&gt;0,$K$2,C757)</f>
        <v>30</v>
      </c>
      <c r="J755" s="290" t="s">
        <v>59</v>
      </c>
      <c r="K755" s="291">
        <f>K751/$K$2*I755</f>
        <v>30000</v>
      </c>
      <c r="L755" s="292"/>
      <c r="N755" s="35"/>
      <c r="O755" s="36" t="s">
        <v>46</v>
      </c>
      <c r="P755" s="36">
        <v>31</v>
      </c>
      <c r="Q755" s="36">
        <v>0</v>
      </c>
      <c r="R755" s="36"/>
      <c r="S755" s="27"/>
      <c r="T755" s="36" t="s">
        <v>46</v>
      </c>
      <c r="U755" s="63">
        <f>IF($J$1="May",Y754,Y754)</f>
        <v>0</v>
      </c>
      <c r="V755" s="38"/>
      <c r="W755" s="63">
        <f t="shared" si="169"/>
        <v>0</v>
      </c>
      <c r="X755" s="38"/>
      <c r="Y755" s="63">
        <f t="shared" si="170"/>
        <v>0</v>
      </c>
      <c r="Z755" s="40"/>
    </row>
    <row r="756" spans="1:27" s="25" customFormat="1" ht="18" customHeight="1" x14ac:dyDescent="0.2">
      <c r="A756" s="272"/>
      <c r="B756" s="293"/>
      <c r="C756" s="293"/>
      <c r="D756" s="270"/>
      <c r="E756" s="270"/>
      <c r="F756" s="287" t="s">
        <v>18</v>
      </c>
      <c r="G756" s="288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20000</v>
      </c>
      <c r="H756" s="285"/>
      <c r="I756" s="289">
        <v>67</v>
      </c>
      <c r="J756" s="290" t="s">
        <v>60</v>
      </c>
      <c r="K756" s="294">
        <f>K751/$K$2/8*I756</f>
        <v>8375</v>
      </c>
      <c r="L756" s="295"/>
      <c r="N756" s="35"/>
      <c r="O756" s="36" t="s">
        <v>47</v>
      </c>
      <c r="P756" s="36">
        <v>30</v>
      </c>
      <c r="Q756" s="36">
        <v>0</v>
      </c>
      <c r="R756" s="36"/>
      <c r="S756" s="27"/>
      <c r="T756" s="36" t="s">
        <v>47</v>
      </c>
      <c r="U756" s="63">
        <f>IF($J$1="May",Y755,Y755)</f>
        <v>0</v>
      </c>
      <c r="V756" s="38">
        <v>20000</v>
      </c>
      <c r="W756" s="63">
        <f t="shared" si="169"/>
        <v>20000</v>
      </c>
      <c r="X756" s="38">
        <v>3000</v>
      </c>
      <c r="Y756" s="63">
        <f t="shared" si="170"/>
        <v>17000</v>
      </c>
      <c r="Z756" s="40"/>
    </row>
    <row r="757" spans="1:27" s="25" customFormat="1" ht="18" customHeight="1" x14ac:dyDescent="0.2">
      <c r="A757" s="272"/>
      <c r="B757" s="287" t="s">
        <v>7</v>
      </c>
      <c r="C757" s="293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30</v>
      </c>
      <c r="D757" s="270"/>
      <c r="E757" s="270"/>
      <c r="F757" s="287" t="s">
        <v>63</v>
      </c>
      <c r="G757" s="288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>20000</v>
      </c>
      <c r="H757" s="285"/>
      <c r="I757" s="389" t="s">
        <v>67</v>
      </c>
      <c r="J757" s="390"/>
      <c r="K757" s="294">
        <f>K755+K756</f>
        <v>38375</v>
      </c>
      <c r="L757" s="295"/>
      <c r="N757" s="35"/>
      <c r="O757" s="36" t="s">
        <v>48</v>
      </c>
      <c r="P757" s="36"/>
      <c r="Q757" s="36"/>
      <c r="R757" s="36" t="str">
        <f t="shared" ref="R757:R762" si="171">IF(Q757="","",R756-Q757)</f>
        <v/>
      </c>
      <c r="S757" s="27"/>
      <c r="T757" s="36" t="s">
        <v>48</v>
      </c>
      <c r="U757" s="63"/>
      <c r="V757" s="38"/>
      <c r="W757" s="63" t="str">
        <f t="shared" si="169"/>
        <v/>
      </c>
      <c r="X757" s="38"/>
      <c r="Y757" s="63" t="str">
        <f t="shared" si="170"/>
        <v/>
      </c>
      <c r="Z757" s="40"/>
    </row>
    <row r="758" spans="1:27" s="25" customFormat="1" ht="18" customHeight="1" x14ac:dyDescent="0.2">
      <c r="A758" s="272"/>
      <c r="B758" s="287" t="s">
        <v>6</v>
      </c>
      <c r="C758" s="293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8" s="270"/>
      <c r="E758" s="270"/>
      <c r="F758" s="287" t="s">
        <v>19</v>
      </c>
      <c r="G758" s="288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3000</v>
      </c>
      <c r="H758" s="285"/>
      <c r="I758" s="389" t="s">
        <v>68</v>
      </c>
      <c r="J758" s="390"/>
      <c r="K758" s="288">
        <f>G758</f>
        <v>3000</v>
      </c>
      <c r="L758" s="296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69"/>
        <v/>
      </c>
      <c r="X758" s="38"/>
      <c r="Y758" s="63" t="str">
        <f t="shared" si="170"/>
        <v/>
      </c>
      <c r="Z758" s="40"/>
    </row>
    <row r="759" spans="1:27" s="25" customFormat="1" ht="18" customHeight="1" x14ac:dyDescent="0.2">
      <c r="A759" s="272"/>
      <c r="B759" s="302" t="s">
        <v>66</v>
      </c>
      <c r="C759" s="293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0"/>
      <c r="E759" s="270"/>
      <c r="F759" s="302" t="s">
        <v>195</v>
      </c>
      <c r="G759" s="288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>17000</v>
      </c>
      <c r="H759" s="270"/>
      <c r="I759" s="391" t="s">
        <v>61</v>
      </c>
      <c r="J759" s="391"/>
      <c r="K759" s="229">
        <f>K757-K758</f>
        <v>35375</v>
      </c>
      <c r="L759" s="297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69"/>
        <v/>
      </c>
      <c r="X759" s="38"/>
      <c r="Y759" s="63" t="str">
        <f t="shared" si="170"/>
        <v/>
      </c>
      <c r="Z759" s="40"/>
    </row>
    <row r="760" spans="1:27" s="25" customFormat="1" ht="18" customHeight="1" x14ac:dyDescent="0.2">
      <c r="A760" s="272"/>
      <c r="B760" s="270"/>
      <c r="C760" s="270"/>
      <c r="D760" s="270"/>
      <c r="E760" s="270"/>
      <c r="F760" s="270"/>
      <c r="I760" s="392"/>
      <c r="J760" s="392"/>
      <c r="K760" s="352"/>
      <c r="L760" s="284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69"/>
        <v/>
      </c>
      <c r="X760" s="38"/>
      <c r="Y760" s="63" t="str">
        <f t="shared" si="170"/>
        <v/>
      </c>
      <c r="Z760" s="40"/>
    </row>
    <row r="761" spans="1:27" s="25" customFormat="1" ht="18" customHeight="1" x14ac:dyDescent="0.3">
      <c r="A761" s="272"/>
      <c r="B761" s="268"/>
      <c r="C761" s="268"/>
      <c r="D761" s="268"/>
      <c r="E761" s="268"/>
      <c r="F761" s="268"/>
      <c r="G761" s="268"/>
      <c r="H761" s="268"/>
      <c r="I761" s="392"/>
      <c r="J761" s="392"/>
      <c r="K761" s="352"/>
      <c r="L761" s="284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69"/>
        <v/>
      </c>
      <c r="X761" s="38"/>
      <c r="Y761" s="63" t="str">
        <f t="shared" si="170"/>
        <v/>
      </c>
      <c r="Z761" s="40"/>
    </row>
    <row r="762" spans="1:27" s="25" customFormat="1" ht="18" customHeight="1" thickBot="1" x14ac:dyDescent="0.35">
      <c r="A762" s="298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300"/>
      <c r="N762" s="35"/>
      <c r="O762" s="36" t="s">
        <v>56</v>
      </c>
      <c r="P762" s="36"/>
      <c r="Q762" s="36"/>
      <c r="R762" s="36" t="str">
        <f t="shared" si="171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69"/>
        <v/>
      </c>
      <c r="X762" s="38"/>
      <c r="Y762" s="63" t="str">
        <f t="shared" si="170"/>
        <v/>
      </c>
      <c r="Z762" s="40"/>
    </row>
    <row r="763" spans="1:27" s="56" customFormat="1" ht="18" customHeight="1" thickBot="1" x14ac:dyDescent="0.25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15" t="s">
        <v>38</v>
      </c>
      <c r="B764" s="416"/>
      <c r="C764" s="416"/>
      <c r="D764" s="416"/>
      <c r="E764" s="416"/>
      <c r="F764" s="416"/>
      <c r="G764" s="416"/>
      <c r="H764" s="416"/>
      <c r="I764" s="416"/>
      <c r="J764" s="416"/>
      <c r="K764" s="416"/>
      <c r="L764" s="417"/>
      <c r="M764" s="24"/>
      <c r="N764" s="28"/>
      <c r="O764" s="396" t="s">
        <v>40</v>
      </c>
      <c r="P764" s="397"/>
      <c r="Q764" s="397"/>
      <c r="R764" s="398"/>
      <c r="S764" s="29"/>
      <c r="T764" s="396" t="s">
        <v>41</v>
      </c>
      <c r="U764" s="397"/>
      <c r="V764" s="397"/>
      <c r="W764" s="397"/>
      <c r="X764" s="397"/>
      <c r="Y764" s="398"/>
      <c r="Z764" s="30"/>
      <c r="AA764" s="24"/>
    </row>
    <row r="765" spans="1:27" s="25" customFormat="1" ht="18" customHeight="1" x14ac:dyDescent="0.2">
      <c r="A765" s="272"/>
      <c r="B765" s="270"/>
      <c r="C765" s="399" t="s">
        <v>202</v>
      </c>
      <c r="D765" s="399"/>
      <c r="E765" s="399"/>
      <c r="F765" s="399"/>
      <c r="G765" s="273" t="str">
        <f>$J$1</f>
        <v>June</v>
      </c>
      <c r="H765" s="400">
        <f>$K$1</f>
        <v>2024</v>
      </c>
      <c r="I765" s="400"/>
      <c r="J765" s="270"/>
      <c r="K765" s="274"/>
      <c r="L765" s="275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2"/>
      <c r="B766" s="270"/>
      <c r="C766" s="270"/>
      <c r="D766" s="276"/>
      <c r="E766" s="276"/>
      <c r="F766" s="276"/>
      <c r="G766" s="276"/>
      <c r="H766" s="276"/>
      <c r="I766" s="270"/>
      <c r="J766" s="277" t="s">
        <v>1</v>
      </c>
      <c r="K766" s="278">
        <v>32000</v>
      </c>
      <c r="L766" s="279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2"/>
      <c r="B767" s="270" t="s">
        <v>0</v>
      </c>
      <c r="C767" s="269" t="s">
        <v>170</v>
      </c>
      <c r="D767" s="270"/>
      <c r="E767" s="270"/>
      <c r="F767" s="270"/>
      <c r="G767" s="270"/>
      <c r="H767" s="280"/>
      <c r="I767" s="276"/>
      <c r="J767" s="270"/>
      <c r="K767" s="270"/>
      <c r="L767" s="281"/>
      <c r="M767" s="24"/>
      <c r="N767" s="39"/>
      <c r="O767" s="36" t="s">
        <v>69</v>
      </c>
      <c r="P767" s="36">
        <v>28</v>
      </c>
      <c r="Q767" s="36">
        <v>1</v>
      </c>
      <c r="R767" s="36">
        <v>0</v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2"/>
      <c r="B768" s="282" t="s">
        <v>39</v>
      </c>
      <c r="C768" s="283"/>
      <c r="D768" s="270"/>
      <c r="E768" s="270"/>
      <c r="F768" s="391" t="s">
        <v>41</v>
      </c>
      <c r="G768" s="391"/>
      <c r="H768" s="270"/>
      <c r="I768" s="391" t="s">
        <v>42</v>
      </c>
      <c r="J768" s="391"/>
      <c r="K768" s="391"/>
      <c r="L768" s="284"/>
      <c r="N768" s="35"/>
      <c r="O768" s="36" t="s">
        <v>44</v>
      </c>
      <c r="P768" s="36">
        <v>31</v>
      </c>
      <c r="Q768" s="36">
        <v>0</v>
      </c>
      <c r="R768" s="36">
        <f t="shared" ref="R768:R777" si="172">IF(Q768="","",R767-Q768)</f>
        <v>0</v>
      </c>
      <c r="S768" s="27"/>
      <c r="T768" s="36" t="s">
        <v>44</v>
      </c>
      <c r="U768" s="63"/>
      <c r="V768" s="38"/>
      <c r="W768" s="63" t="str">
        <f t="shared" ref="W768:W777" si="173">IF(U768="","",U768+V768)</f>
        <v/>
      </c>
      <c r="X768" s="38"/>
      <c r="Y768" s="63" t="str">
        <f t="shared" ref="Y768:Y777" si="174">IF(W768="","",W768-X768)</f>
        <v/>
      </c>
      <c r="Z768" s="40"/>
    </row>
    <row r="769" spans="1:27" s="25" customFormat="1" ht="18" customHeight="1" x14ac:dyDescent="0.2">
      <c r="A769" s="272"/>
      <c r="B769" s="270"/>
      <c r="C769" s="270"/>
      <c r="D769" s="270"/>
      <c r="E769" s="270"/>
      <c r="F769" s="270"/>
      <c r="G769" s="270"/>
      <c r="H769" s="285"/>
      <c r="I769" s="270"/>
      <c r="J769" s="270"/>
      <c r="K769" s="270"/>
      <c r="L769" s="286"/>
      <c r="N769" s="35"/>
      <c r="O769" s="36" t="s">
        <v>45</v>
      </c>
      <c r="P769" s="36">
        <v>30</v>
      </c>
      <c r="Q769" s="36">
        <v>0</v>
      </c>
      <c r="R769" s="36">
        <f t="shared" si="172"/>
        <v>0</v>
      </c>
      <c r="S769" s="27"/>
      <c r="T769" s="36" t="s">
        <v>45</v>
      </c>
      <c r="U769" s="63"/>
      <c r="V769" s="38"/>
      <c r="W769" s="63" t="str">
        <f t="shared" si="173"/>
        <v/>
      </c>
      <c r="X769" s="38"/>
      <c r="Y769" s="63" t="str">
        <f t="shared" si="174"/>
        <v/>
      </c>
      <c r="Z769" s="40"/>
    </row>
    <row r="770" spans="1:27" s="25" customFormat="1" ht="18" customHeight="1" x14ac:dyDescent="0.2">
      <c r="A770" s="272"/>
      <c r="B770" s="401" t="s">
        <v>40</v>
      </c>
      <c r="C770" s="402"/>
      <c r="D770" s="270"/>
      <c r="E770" s="270"/>
      <c r="F770" s="287" t="s">
        <v>62</v>
      </c>
      <c r="G770" s="288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5"/>
      <c r="I770" s="289">
        <f>IF(C774&gt;0,$K$2,C772)</f>
        <v>28</v>
      </c>
      <c r="J770" s="290" t="s">
        <v>59</v>
      </c>
      <c r="K770" s="291">
        <f>K766/$K$2*I770</f>
        <v>29866.666666666668</v>
      </c>
      <c r="L770" s="292"/>
      <c r="N770" s="35"/>
      <c r="O770" s="36" t="s">
        <v>46</v>
      </c>
      <c r="P770" s="36">
        <v>31</v>
      </c>
      <c r="Q770" s="36">
        <v>0</v>
      </c>
      <c r="R770" s="36">
        <f t="shared" si="172"/>
        <v>0</v>
      </c>
      <c r="S770" s="27"/>
      <c r="T770" s="36" t="s">
        <v>46</v>
      </c>
      <c r="U770" s="63"/>
      <c r="V770" s="38"/>
      <c r="W770" s="63" t="str">
        <f t="shared" si="173"/>
        <v/>
      </c>
      <c r="X770" s="38"/>
      <c r="Y770" s="63" t="str">
        <f t="shared" si="174"/>
        <v/>
      </c>
      <c r="Z770" s="40"/>
    </row>
    <row r="771" spans="1:27" s="25" customFormat="1" ht="18" customHeight="1" x14ac:dyDescent="0.2">
      <c r="A771" s="272"/>
      <c r="B771" s="293"/>
      <c r="C771" s="293"/>
      <c r="D771" s="270"/>
      <c r="E771" s="270"/>
      <c r="F771" s="287" t="s">
        <v>18</v>
      </c>
      <c r="G771" s="288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5"/>
      <c r="I771" s="289">
        <v>32</v>
      </c>
      <c r="J771" s="290" t="s">
        <v>60</v>
      </c>
      <c r="K771" s="294">
        <f>K766/$K$2/8*I771</f>
        <v>4266.666666666667</v>
      </c>
      <c r="L771" s="295"/>
      <c r="N771" s="35"/>
      <c r="O771" s="36" t="s">
        <v>47</v>
      </c>
      <c r="P771" s="36">
        <v>28</v>
      </c>
      <c r="Q771" s="36">
        <v>2</v>
      </c>
      <c r="R771" s="36">
        <f t="shared" si="172"/>
        <v>-2</v>
      </c>
      <c r="S771" s="27"/>
      <c r="T771" s="36" t="s">
        <v>47</v>
      </c>
      <c r="U771" s="63"/>
      <c r="V771" s="38"/>
      <c r="W771" s="63" t="str">
        <f t="shared" si="173"/>
        <v/>
      </c>
      <c r="X771" s="38"/>
      <c r="Y771" s="63" t="str">
        <f t="shared" si="174"/>
        <v/>
      </c>
      <c r="Z771" s="40"/>
    </row>
    <row r="772" spans="1:27" s="25" customFormat="1" ht="18" customHeight="1" x14ac:dyDescent="0.2">
      <c r="A772" s="272"/>
      <c r="B772" s="287" t="s">
        <v>7</v>
      </c>
      <c r="C772" s="293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28</v>
      </c>
      <c r="D772" s="270"/>
      <c r="E772" s="270"/>
      <c r="F772" s="287" t="s">
        <v>63</v>
      </c>
      <c r="G772" s="288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85"/>
      <c r="I772" s="389" t="s">
        <v>67</v>
      </c>
      <c r="J772" s="390"/>
      <c r="K772" s="294">
        <f>K770+K771</f>
        <v>34133.333333333336</v>
      </c>
      <c r="L772" s="295"/>
      <c r="N772" s="35"/>
      <c r="O772" s="36" t="s">
        <v>48</v>
      </c>
      <c r="P772" s="36"/>
      <c r="Q772" s="36"/>
      <c r="R772" s="36" t="str">
        <f t="shared" si="172"/>
        <v/>
      </c>
      <c r="S772" s="27"/>
      <c r="T772" s="36" t="s">
        <v>48</v>
      </c>
      <c r="U772" s="63"/>
      <c r="V772" s="38"/>
      <c r="W772" s="63" t="str">
        <f t="shared" si="173"/>
        <v/>
      </c>
      <c r="X772" s="38"/>
      <c r="Y772" s="63" t="str">
        <f t="shared" si="174"/>
        <v/>
      </c>
      <c r="Z772" s="40"/>
    </row>
    <row r="773" spans="1:27" s="25" customFormat="1" ht="18" customHeight="1" x14ac:dyDescent="0.2">
      <c r="A773" s="272"/>
      <c r="B773" s="287" t="s">
        <v>6</v>
      </c>
      <c r="C773" s="293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2</v>
      </c>
      <c r="D773" s="270"/>
      <c r="E773" s="270"/>
      <c r="F773" s="287" t="s">
        <v>19</v>
      </c>
      <c r="G773" s="288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5"/>
      <c r="I773" s="389" t="s">
        <v>68</v>
      </c>
      <c r="J773" s="390"/>
      <c r="K773" s="288">
        <f>G773</f>
        <v>0</v>
      </c>
      <c r="L773" s="296"/>
      <c r="N773" s="35"/>
      <c r="O773" s="36" t="s">
        <v>49</v>
      </c>
      <c r="P773" s="36"/>
      <c r="Q773" s="36"/>
      <c r="R773" s="36" t="str">
        <f t="shared" si="172"/>
        <v/>
      </c>
      <c r="S773" s="27"/>
      <c r="T773" s="36" t="s">
        <v>49</v>
      </c>
      <c r="U773" s="63"/>
      <c r="V773" s="38"/>
      <c r="W773" s="63" t="str">
        <f t="shared" si="173"/>
        <v/>
      </c>
      <c r="X773" s="38"/>
      <c r="Y773" s="63" t="str">
        <f t="shared" si="174"/>
        <v/>
      </c>
      <c r="Z773" s="40"/>
    </row>
    <row r="774" spans="1:27" s="25" customFormat="1" ht="18" customHeight="1" x14ac:dyDescent="0.2">
      <c r="A774" s="272"/>
      <c r="B774" s="304" t="s">
        <v>66</v>
      </c>
      <c r="C774" s="293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-2</v>
      </c>
      <c r="D774" s="270"/>
      <c r="E774" s="270"/>
      <c r="F774" s="287" t="s">
        <v>65</v>
      </c>
      <c r="G774" s="288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0"/>
      <c r="I774" s="391" t="s">
        <v>61</v>
      </c>
      <c r="J774" s="391"/>
      <c r="K774" s="229">
        <f>K772-K773</f>
        <v>34133.333333333336</v>
      </c>
      <c r="L774" s="297"/>
      <c r="N774" s="35"/>
      <c r="O774" s="36" t="s">
        <v>54</v>
      </c>
      <c r="P774" s="36"/>
      <c r="Q774" s="36"/>
      <c r="R774" s="36" t="str">
        <f t="shared" si="172"/>
        <v/>
      </c>
      <c r="S774" s="27"/>
      <c r="T774" s="36" t="s">
        <v>54</v>
      </c>
      <c r="U774" s="63"/>
      <c r="V774" s="38"/>
      <c r="W774" s="63" t="str">
        <f t="shared" si="173"/>
        <v/>
      </c>
      <c r="X774" s="38"/>
      <c r="Y774" s="63" t="str">
        <f t="shared" si="174"/>
        <v/>
      </c>
      <c r="Z774" s="40"/>
    </row>
    <row r="775" spans="1:27" s="25" customFormat="1" ht="18" customHeight="1" x14ac:dyDescent="0.2">
      <c r="A775" s="272"/>
      <c r="B775" s="270"/>
      <c r="C775" s="270"/>
      <c r="D775" s="270"/>
      <c r="E775" s="270"/>
      <c r="F775" s="270"/>
      <c r="G775" s="270"/>
      <c r="H775" s="270"/>
      <c r="I775" s="392"/>
      <c r="J775" s="392"/>
      <c r="K775" s="352"/>
      <c r="L775" s="284"/>
      <c r="N775" s="35"/>
      <c r="O775" s="36" t="s">
        <v>50</v>
      </c>
      <c r="P775" s="36"/>
      <c r="Q775" s="36"/>
      <c r="R775" s="36" t="str">
        <f t="shared" si="172"/>
        <v/>
      </c>
      <c r="S775" s="27"/>
      <c r="T775" s="36" t="s">
        <v>50</v>
      </c>
      <c r="U775" s="63"/>
      <c r="V775" s="38"/>
      <c r="W775" s="63" t="str">
        <f t="shared" si="173"/>
        <v/>
      </c>
      <c r="X775" s="38"/>
      <c r="Y775" s="63" t="str">
        <f t="shared" si="174"/>
        <v/>
      </c>
      <c r="Z775" s="40"/>
    </row>
    <row r="776" spans="1:27" s="25" customFormat="1" ht="18" customHeight="1" x14ac:dyDescent="0.3">
      <c r="A776" s="272"/>
      <c r="B776" s="268"/>
      <c r="C776" s="268"/>
      <c r="D776" s="268"/>
      <c r="E776" s="268"/>
      <c r="F776" s="268"/>
      <c r="G776" s="268"/>
      <c r="H776" s="268"/>
      <c r="I776" s="392"/>
      <c r="J776" s="392"/>
      <c r="K776" s="352"/>
      <c r="L776" s="284"/>
      <c r="N776" s="35"/>
      <c r="O776" s="36" t="s">
        <v>55</v>
      </c>
      <c r="P776" s="36"/>
      <c r="Q776" s="36"/>
      <c r="R776" s="36" t="str">
        <f t="shared" si="172"/>
        <v/>
      </c>
      <c r="S776" s="27"/>
      <c r="T776" s="36" t="s">
        <v>55</v>
      </c>
      <c r="U776" s="63"/>
      <c r="V776" s="38"/>
      <c r="W776" s="63" t="str">
        <f t="shared" si="173"/>
        <v/>
      </c>
      <c r="X776" s="38"/>
      <c r="Y776" s="63" t="str">
        <f t="shared" si="174"/>
        <v/>
      </c>
      <c r="Z776" s="40"/>
    </row>
    <row r="777" spans="1:27" s="25" customFormat="1" ht="18" customHeight="1" x14ac:dyDescent="0.3">
      <c r="A777" s="272"/>
      <c r="B777" s="268"/>
      <c r="C777" s="268"/>
      <c r="D777" s="268"/>
      <c r="E777" s="268"/>
      <c r="F777" s="268"/>
      <c r="G777" s="268"/>
      <c r="H777" s="268"/>
      <c r="I777" s="268"/>
      <c r="J777" s="268"/>
      <c r="K777" s="268"/>
      <c r="L777" s="284"/>
      <c r="N777" s="35"/>
      <c r="O777" s="36" t="s">
        <v>56</v>
      </c>
      <c r="P777" s="36"/>
      <c r="Q777" s="36"/>
      <c r="R777" s="36" t="str">
        <f t="shared" si="172"/>
        <v/>
      </c>
      <c r="S777" s="27"/>
      <c r="T777" s="36" t="s">
        <v>56</v>
      </c>
      <c r="U777" s="63"/>
      <c r="V777" s="38"/>
      <c r="W777" s="63" t="str">
        <f t="shared" si="173"/>
        <v/>
      </c>
      <c r="X777" s="38"/>
      <c r="Y777" s="63" t="str">
        <f t="shared" si="174"/>
        <v/>
      </c>
      <c r="Z777" s="40"/>
    </row>
    <row r="778" spans="1:27" s="25" customFormat="1" ht="18" customHeight="1" thickBot="1" x14ac:dyDescent="0.25">
      <c r="A778" s="298"/>
      <c r="B778" s="305"/>
      <c r="C778" s="305"/>
      <c r="D778" s="305"/>
      <c r="E778" s="305"/>
      <c r="F778" s="305"/>
      <c r="G778" s="305"/>
      <c r="H778" s="305"/>
      <c r="I778" s="305"/>
      <c r="J778" s="305"/>
      <c r="K778" s="305"/>
      <c r="L778" s="300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403" t="s">
        <v>38</v>
      </c>
      <c r="B779" s="404"/>
      <c r="C779" s="404"/>
      <c r="D779" s="404"/>
      <c r="E779" s="404"/>
      <c r="F779" s="404"/>
      <c r="G779" s="404"/>
      <c r="H779" s="404"/>
      <c r="I779" s="404"/>
      <c r="J779" s="404"/>
      <c r="K779" s="404"/>
      <c r="L779" s="405"/>
      <c r="M779" s="24"/>
      <c r="N779" s="28"/>
      <c r="O779" s="396" t="s">
        <v>40</v>
      </c>
      <c r="P779" s="397"/>
      <c r="Q779" s="397"/>
      <c r="R779" s="398"/>
      <c r="S779" s="29"/>
      <c r="T779" s="396" t="s">
        <v>41</v>
      </c>
      <c r="U779" s="397"/>
      <c r="V779" s="397"/>
      <c r="W779" s="397"/>
      <c r="X779" s="397"/>
      <c r="Y779" s="398"/>
      <c r="Z779" s="30"/>
      <c r="AA779" s="24"/>
    </row>
    <row r="780" spans="1:27" s="25" customFormat="1" ht="18" customHeight="1" x14ac:dyDescent="0.2">
      <c r="A780" s="272"/>
      <c r="B780" s="270"/>
      <c r="C780" s="399" t="s">
        <v>202</v>
      </c>
      <c r="D780" s="399"/>
      <c r="E780" s="399"/>
      <c r="F780" s="399"/>
      <c r="G780" s="273" t="str">
        <f>$J$1</f>
        <v>June</v>
      </c>
      <c r="H780" s="400">
        <f>$K$1</f>
        <v>2024</v>
      </c>
      <c r="I780" s="400"/>
      <c r="J780" s="270"/>
      <c r="K780" s="274"/>
      <c r="L780" s="275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2"/>
      <c r="B781" s="270"/>
      <c r="C781" s="270"/>
      <c r="D781" s="276"/>
      <c r="E781" s="276"/>
      <c r="F781" s="276"/>
      <c r="G781" s="276"/>
      <c r="H781" s="276"/>
      <c r="I781" s="270"/>
      <c r="J781" s="277" t="s">
        <v>1</v>
      </c>
      <c r="K781" s="278">
        <v>60000</v>
      </c>
      <c r="L781" s="279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2"/>
      <c r="B782" s="270" t="s">
        <v>0</v>
      </c>
      <c r="C782" s="269" t="s">
        <v>233</v>
      </c>
      <c r="D782" s="270"/>
      <c r="E782" s="270"/>
      <c r="F782" s="270"/>
      <c r="G782" s="270"/>
      <c r="H782" s="280"/>
      <c r="I782" s="276"/>
      <c r="J782" s="270"/>
      <c r="K782" s="270"/>
      <c r="L782" s="281"/>
      <c r="M782" s="24"/>
      <c r="N782" s="39"/>
      <c r="O782" s="36" t="s">
        <v>69</v>
      </c>
      <c r="P782" s="36">
        <v>29</v>
      </c>
      <c r="Q782" s="36">
        <v>0</v>
      </c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2"/>
      <c r="B783" s="282" t="s">
        <v>39</v>
      </c>
      <c r="C783" s="309">
        <v>45327</v>
      </c>
      <c r="D783" s="270"/>
      <c r="E783" s="270"/>
      <c r="F783" s="406" t="s">
        <v>41</v>
      </c>
      <c r="G783" s="408"/>
      <c r="H783" s="270"/>
      <c r="I783" s="406" t="s">
        <v>42</v>
      </c>
      <c r="J783" s="407"/>
      <c r="K783" s="408"/>
      <c r="L783" s="284"/>
      <c r="N783" s="35"/>
      <c r="O783" s="36" t="s">
        <v>44</v>
      </c>
      <c r="P783" s="36">
        <v>27</v>
      </c>
      <c r="Q783" s="36">
        <v>4</v>
      </c>
      <c r="R783" s="36">
        <v>0</v>
      </c>
      <c r="S783" s="27"/>
      <c r="T783" s="36" t="s">
        <v>44</v>
      </c>
      <c r="U783" s="63">
        <f>Y782</f>
        <v>0</v>
      </c>
      <c r="V783" s="38">
        <v>10000</v>
      </c>
      <c r="W783" s="63">
        <f t="shared" ref="W783:W792" si="175">IF(U783="","",U783+V783)</f>
        <v>10000</v>
      </c>
      <c r="X783" s="38">
        <v>10000</v>
      </c>
      <c r="Y783" s="63">
        <f t="shared" ref="Y783:Y792" si="176">IF(W783="","",W783-X783)</f>
        <v>0</v>
      </c>
      <c r="Z783" s="40"/>
    </row>
    <row r="784" spans="1:27" s="25" customFormat="1" ht="18" customHeight="1" x14ac:dyDescent="0.2">
      <c r="A784" s="272"/>
      <c r="B784" s="270"/>
      <c r="C784" s="270"/>
      <c r="D784" s="270"/>
      <c r="E784" s="270"/>
      <c r="F784" s="270"/>
      <c r="G784" s="270"/>
      <c r="H784" s="285"/>
      <c r="I784" s="270"/>
      <c r="J784" s="270"/>
      <c r="K784" s="270"/>
      <c r="L784" s="286"/>
      <c r="N784" s="35"/>
      <c r="O784" s="36" t="s">
        <v>45</v>
      </c>
      <c r="P784" s="36">
        <v>25</v>
      </c>
      <c r="Q784" s="36">
        <v>5</v>
      </c>
      <c r="R784" s="36">
        <v>0</v>
      </c>
      <c r="S784" s="27"/>
      <c r="T784" s="36" t="s">
        <v>45</v>
      </c>
      <c r="U784" s="63">
        <f>Y783</f>
        <v>0</v>
      </c>
      <c r="V784" s="38">
        <v>5000</v>
      </c>
      <c r="W784" s="63">
        <f t="shared" si="175"/>
        <v>5000</v>
      </c>
      <c r="X784" s="38">
        <v>5000</v>
      </c>
      <c r="Y784" s="63">
        <f t="shared" si="176"/>
        <v>0</v>
      </c>
      <c r="Z784" s="40"/>
    </row>
    <row r="785" spans="1:27" s="25" customFormat="1" ht="18" customHeight="1" x14ac:dyDescent="0.2">
      <c r="A785" s="272"/>
      <c r="B785" s="401" t="s">
        <v>40</v>
      </c>
      <c r="C785" s="402"/>
      <c r="D785" s="270"/>
      <c r="E785" s="270"/>
      <c r="F785" s="287" t="s">
        <v>62</v>
      </c>
      <c r="G785" s="288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12000</v>
      </c>
      <c r="H785" s="285"/>
      <c r="I785" s="289">
        <f>IF(C789&gt;0,$K$2,C787)</f>
        <v>0</v>
      </c>
      <c r="J785" s="290" t="s">
        <v>59</v>
      </c>
      <c r="K785" s="291">
        <f>K781/$K$2*I785</f>
        <v>0</v>
      </c>
      <c r="L785" s="292"/>
      <c r="N785" s="35"/>
      <c r="O785" s="36" t="s">
        <v>46</v>
      </c>
      <c r="P785" s="36">
        <v>25</v>
      </c>
      <c r="Q785" s="36">
        <v>5</v>
      </c>
      <c r="R785" s="36">
        <v>0</v>
      </c>
      <c r="S785" s="27"/>
      <c r="T785" s="36" t="s">
        <v>46</v>
      </c>
      <c r="U785" s="63">
        <f>Y784</f>
        <v>0</v>
      </c>
      <c r="V785" s="38">
        <f>12000+6000</f>
        <v>18000</v>
      </c>
      <c r="W785" s="63">
        <f t="shared" si="175"/>
        <v>18000</v>
      </c>
      <c r="X785" s="38">
        <v>6000</v>
      </c>
      <c r="Y785" s="63">
        <f t="shared" si="176"/>
        <v>12000</v>
      </c>
      <c r="Z785" s="40"/>
    </row>
    <row r="786" spans="1:27" s="25" customFormat="1" ht="18" customHeight="1" x14ac:dyDescent="0.2">
      <c r="A786" s="272"/>
      <c r="B786" s="293"/>
      <c r="C786" s="293"/>
      <c r="D786" s="270"/>
      <c r="E786" s="270"/>
      <c r="F786" s="287" t="s">
        <v>18</v>
      </c>
      <c r="G786" s="288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0</v>
      </c>
      <c r="H786" s="285"/>
      <c r="I786" s="289"/>
      <c r="J786" s="290" t="s">
        <v>60</v>
      </c>
      <c r="K786" s="294">
        <f>K781/$K$2/8*I786</f>
        <v>0</v>
      </c>
      <c r="L786" s="295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>
        <f>IF($J$1="May","",Y785)</f>
        <v>12000</v>
      </c>
      <c r="V786" s="38"/>
      <c r="W786" s="63">
        <f t="shared" si="175"/>
        <v>12000</v>
      </c>
      <c r="X786" s="38">
        <v>3000</v>
      </c>
      <c r="Y786" s="63">
        <f t="shared" si="176"/>
        <v>9000</v>
      </c>
      <c r="Z786" s="40"/>
    </row>
    <row r="787" spans="1:27" s="25" customFormat="1" ht="18" customHeight="1" x14ac:dyDescent="0.2">
      <c r="A787" s="272"/>
      <c r="B787" s="287" t="s">
        <v>7</v>
      </c>
      <c r="C787" s="293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0</v>
      </c>
      <c r="D787" s="270"/>
      <c r="E787" s="270"/>
      <c r="F787" s="287" t="s">
        <v>63</v>
      </c>
      <c r="G787" s="288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12000</v>
      </c>
      <c r="H787" s="285"/>
      <c r="I787" s="389" t="s">
        <v>67</v>
      </c>
      <c r="J787" s="390"/>
      <c r="K787" s="294">
        <f>K785+K786</f>
        <v>0</v>
      </c>
      <c r="L787" s="295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IF($J$1="June","",Y786)</f>
        <v/>
      </c>
      <c r="V787" s="38"/>
      <c r="W787" s="63" t="str">
        <f t="shared" si="175"/>
        <v/>
      </c>
      <c r="X787" s="38"/>
      <c r="Y787" s="63" t="str">
        <f t="shared" si="176"/>
        <v/>
      </c>
      <c r="Z787" s="40"/>
    </row>
    <row r="788" spans="1:27" s="25" customFormat="1" ht="18" customHeight="1" x14ac:dyDescent="0.2">
      <c r="A788" s="272"/>
      <c r="B788" s="287" t="s">
        <v>6</v>
      </c>
      <c r="C788" s="293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0</v>
      </c>
      <c r="D788" s="270"/>
      <c r="E788" s="270"/>
      <c r="F788" s="287" t="s">
        <v>19</v>
      </c>
      <c r="G788" s="288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3000</v>
      </c>
      <c r="H788" s="285"/>
      <c r="I788" s="389" t="s">
        <v>68</v>
      </c>
      <c r="J788" s="390"/>
      <c r="K788" s="288">
        <f>G788</f>
        <v>3000</v>
      </c>
      <c r="L788" s="296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5"/>
        <v/>
      </c>
      <c r="X788" s="38"/>
      <c r="Y788" s="63" t="str">
        <f t="shared" si="176"/>
        <v/>
      </c>
      <c r="Z788" s="40"/>
    </row>
    <row r="789" spans="1:27" s="25" customFormat="1" ht="18" customHeight="1" x14ac:dyDescent="0.2">
      <c r="A789" s="272"/>
      <c r="B789" s="302" t="s">
        <v>66</v>
      </c>
      <c r="C789" s="293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0"/>
      <c r="E789" s="270"/>
      <c r="F789" s="302" t="s">
        <v>195</v>
      </c>
      <c r="G789" s="288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9000</v>
      </c>
      <c r="H789" s="270"/>
      <c r="I789" s="391" t="s">
        <v>61</v>
      </c>
      <c r="J789" s="391"/>
      <c r="K789" s="229">
        <f>K787-K788</f>
        <v>-3000</v>
      </c>
      <c r="L789" s="297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5"/>
        <v/>
      </c>
      <c r="X789" s="38"/>
      <c r="Y789" s="63" t="str">
        <f t="shared" si="176"/>
        <v/>
      </c>
      <c r="Z789" s="40"/>
    </row>
    <row r="790" spans="1:27" s="25" customFormat="1" ht="18" customHeight="1" x14ac:dyDescent="0.2">
      <c r="A790" s="272"/>
      <c r="B790" s="270"/>
      <c r="C790" s="270"/>
      <c r="D790" s="270"/>
      <c r="E790" s="270"/>
      <c r="F790" s="270"/>
      <c r="G790" s="270"/>
      <c r="H790" s="270"/>
      <c r="I790" s="392"/>
      <c r="J790" s="392"/>
      <c r="K790" s="352"/>
      <c r="L790" s="284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5"/>
        <v/>
      </c>
      <c r="X790" s="38"/>
      <c r="Y790" s="63" t="str">
        <f t="shared" si="176"/>
        <v/>
      </c>
      <c r="Z790" s="40"/>
    </row>
    <row r="791" spans="1:27" s="25" customFormat="1" ht="18" customHeight="1" x14ac:dyDescent="0.3">
      <c r="A791" s="272"/>
      <c r="B791" s="268"/>
      <c r="C791" s="268"/>
      <c r="D791" s="268"/>
      <c r="E791" s="268"/>
      <c r="F791" s="268"/>
      <c r="G791" s="268"/>
      <c r="H791" s="268"/>
      <c r="I791" s="392"/>
      <c r="J791" s="392"/>
      <c r="K791" s="352"/>
      <c r="L791" s="284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5"/>
        <v/>
      </c>
      <c r="X791" s="38"/>
      <c r="Y791" s="63" t="str">
        <f t="shared" si="176"/>
        <v/>
      </c>
      <c r="Z791" s="40"/>
    </row>
    <row r="792" spans="1:27" s="25" customFormat="1" ht="18" customHeight="1" thickBot="1" x14ac:dyDescent="0.35">
      <c r="A792" s="298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300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5"/>
        <v/>
      </c>
      <c r="X792" s="38"/>
      <c r="Y792" s="63" t="str">
        <f t="shared" si="176"/>
        <v/>
      </c>
      <c r="Z792" s="40"/>
    </row>
    <row r="793" spans="1:27" s="25" customFormat="1" ht="18" customHeight="1" thickBot="1" x14ac:dyDescent="0.25">
      <c r="A793" s="298"/>
      <c r="B793" s="305"/>
      <c r="C793" s="305"/>
      <c r="D793" s="305"/>
      <c r="E793" s="305"/>
      <c r="F793" s="305"/>
      <c r="G793" s="305"/>
      <c r="H793" s="305"/>
      <c r="I793" s="305"/>
      <c r="J793" s="305"/>
      <c r="K793" s="305"/>
      <c r="L793" s="300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28" t="s">
        <v>38</v>
      </c>
      <c r="B796" s="429"/>
      <c r="C796" s="429"/>
      <c r="D796" s="429"/>
      <c r="E796" s="429"/>
      <c r="F796" s="429"/>
      <c r="G796" s="429"/>
      <c r="H796" s="429"/>
      <c r="I796" s="429"/>
      <c r="J796" s="429"/>
      <c r="K796" s="429"/>
      <c r="L796" s="430"/>
      <c r="M796" s="24"/>
      <c r="N796" s="28"/>
      <c r="O796" s="396" t="s">
        <v>40</v>
      </c>
      <c r="P796" s="397"/>
      <c r="Q796" s="397"/>
      <c r="R796" s="398"/>
      <c r="S796" s="29"/>
      <c r="T796" s="396" t="s">
        <v>41</v>
      </c>
      <c r="U796" s="397"/>
      <c r="V796" s="397"/>
      <c r="W796" s="397"/>
      <c r="X796" s="397"/>
      <c r="Y796" s="398"/>
      <c r="Z796" s="30"/>
      <c r="AA796" s="24"/>
    </row>
    <row r="797" spans="1:27" s="25" customFormat="1" ht="18" customHeight="1" x14ac:dyDescent="0.2">
      <c r="A797" s="272"/>
      <c r="B797" s="270"/>
      <c r="C797" s="399" t="s">
        <v>202</v>
      </c>
      <c r="D797" s="399"/>
      <c r="E797" s="399"/>
      <c r="F797" s="399"/>
      <c r="G797" s="273" t="str">
        <f>$J$1</f>
        <v>June</v>
      </c>
      <c r="H797" s="400">
        <f>$K$1</f>
        <v>2024</v>
      </c>
      <c r="I797" s="400"/>
      <c r="J797" s="270"/>
      <c r="K797" s="274"/>
      <c r="L797" s="275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2"/>
      <c r="B798" s="270"/>
      <c r="C798" s="270"/>
      <c r="D798" s="276"/>
      <c r="E798" s="276"/>
      <c r="F798" s="276"/>
      <c r="G798" s="276"/>
      <c r="H798" s="276"/>
      <c r="I798" s="270"/>
      <c r="J798" s="277" t="s">
        <v>1</v>
      </c>
      <c r="K798" s="278">
        <f>60000+10000</f>
        <v>70000</v>
      </c>
      <c r="L798" s="279"/>
      <c r="N798" s="35"/>
      <c r="O798" s="36" t="s">
        <v>43</v>
      </c>
      <c r="P798" s="36"/>
      <c r="Q798" s="36"/>
      <c r="R798" s="36">
        <v>0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2"/>
      <c r="B799" s="270" t="s">
        <v>0</v>
      </c>
      <c r="C799" s="269" t="s">
        <v>232</v>
      </c>
      <c r="D799" s="270"/>
      <c r="E799" s="270"/>
      <c r="F799" s="270"/>
      <c r="G799" s="270"/>
      <c r="H799" s="280"/>
      <c r="I799" s="276"/>
      <c r="J799" s="270"/>
      <c r="K799" s="270"/>
      <c r="L799" s="281"/>
      <c r="M799" s="24"/>
      <c r="N799" s="39"/>
      <c r="O799" s="36" t="s">
        <v>69</v>
      </c>
      <c r="P799" s="36">
        <v>28</v>
      </c>
      <c r="Q799" s="36">
        <v>0</v>
      </c>
      <c r="R799" s="36">
        <f>IF(Q799="","",R798-Q799)</f>
        <v>0</v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2"/>
      <c r="B800" s="282" t="s">
        <v>39</v>
      </c>
      <c r="C800" s="283"/>
      <c r="D800" s="270"/>
      <c r="E800" s="270"/>
      <c r="F800" s="391" t="s">
        <v>41</v>
      </c>
      <c r="G800" s="391"/>
      <c r="H800" s="270"/>
      <c r="I800" s="391" t="s">
        <v>42</v>
      </c>
      <c r="J800" s="391"/>
      <c r="K800" s="391"/>
      <c r="L800" s="284"/>
      <c r="N800" s="35"/>
      <c r="O800" s="36" t="s">
        <v>44</v>
      </c>
      <c r="P800" s="36">
        <v>29</v>
      </c>
      <c r="Q800" s="36">
        <v>2</v>
      </c>
      <c r="R800" s="36">
        <v>0</v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77">IF(U800="","",U800+V800)</f>
        <v>0</v>
      </c>
      <c r="X800" s="38"/>
      <c r="Y800" s="63">
        <f t="shared" ref="Y800:Y809" si="178">IF(W800="","",W800-X800)</f>
        <v>0</v>
      </c>
      <c r="Z800" s="40"/>
    </row>
    <row r="801" spans="1:27" s="25" customFormat="1" ht="18" customHeight="1" x14ac:dyDescent="0.2">
      <c r="A801" s="272"/>
      <c r="B801" s="270"/>
      <c r="C801" s="270"/>
      <c r="D801" s="270"/>
      <c r="E801" s="270"/>
      <c r="F801" s="270"/>
      <c r="G801" s="270"/>
      <c r="H801" s="285"/>
      <c r="I801" s="270"/>
      <c r="J801" s="270"/>
      <c r="K801" s="270"/>
      <c r="L801" s="286"/>
      <c r="N801" s="35"/>
      <c r="O801" s="36" t="s">
        <v>45</v>
      </c>
      <c r="P801" s="36"/>
      <c r="Q801" s="36"/>
      <c r="R801" s="36" t="str">
        <f t="shared" ref="R801:R809" si="179">IF(Q801="","",R800-Q801)</f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77"/>
        <v>0</v>
      </c>
      <c r="X801" s="38"/>
      <c r="Y801" s="63">
        <f t="shared" si="178"/>
        <v>0</v>
      </c>
      <c r="Z801" s="40"/>
    </row>
    <row r="802" spans="1:27" s="25" customFormat="1" ht="18" customHeight="1" x14ac:dyDescent="0.2">
      <c r="A802" s="272"/>
      <c r="B802" s="401" t="s">
        <v>40</v>
      </c>
      <c r="C802" s="402"/>
      <c r="D802" s="270"/>
      <c r="E802" s="270"/>
      <c r="F802" s="287" t="s">
        <v>62</v>
      </c>
      <c r="G802" s="288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5"/>
      <c r="I802" s="289">
        <f>IF(C806&gt;0,$K$2,C804)</f>
        <v>30</v>
      </c>
      <c r="J802" s="290" t="s">
        <v>59</v>
      </c>
      <c r="K802" s="291">
        <f>K798/$K$2*I802</f>
        <v>70000</v>
      </c>
      <c r="L802" s="292"/>
      <c r="N802" s="35"/>
      <c r="O802" s="36" t="s">
        <v>46</v>
      </c>
      <c r="P802" s="36">
        <v>30</v>
      </c>
      <c r="Q802" s="36">
        <v>1</v>
      </c>
      <c r="R802" s="36">
        <v>0</v>
      </c>
      <c r="S802" s="27"/>
      <c r="T802" s="36" t="s">
        <v>46</v>
      </c>
      <c r="U802" s="63">
        <f>IF($J$1="May",Y801,Y801)</f>
        <v>0</v>
      </c>
      <c r="V802" s="38"/>
      <c r="W802" s="63">
        <f t="shared" si="177"/>
        <v>0</v>
      </c>
      <c r="X802" s="38"/>
      <c r="Y802" s="63">
        <f t="shared" si="178"/>
        <v>0</v>
      </c>
      <c r="Z802" s="40"/>
    </row>
    <row r="803" spans="1:27" s="25" customFormat="1" ht="18" customHeight="1" x14ac:dyDescent="0.2">
      <c r="A803" s="272"/>
      <c r="B803" s="293"/>
      <c r="C803" s="293"/>
      <c r="D803" s="270"/>
      <c r="E803" s="270"/>
      <c r="F803" s="287" t="s">
        <v>18</v>
      </c>
      <c r="G803" s="288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5"/>
      <c r="I803" s="289">
        <v>26</v>
      </c>
      <c r="J803" s="290" t="s">
        <v>60</v>
      </c>
      <c r="K803" s="294">
        <f>K798/$K$2/8*I803</f>
        <v>7583.3333333333339</v>
      </c>
      <c r="L803" s="295"/>
      <c r="N803" s="35"/>
      <c r="O803" s="36" t="s">
        <v>47</v>
      </c>
      <c r="P803" s="36">
        <v>30</v>
      </c>
      <c r="Q803" s="36">
        <v>0</v>
      </c>
      <c r="R803" s="36">
        <f t="shared" si="179"/>
        <v>0</v>
      </c>
      <c r="S803" s="27"/>
      <c r="T803" s="36" t="s">
        <v>47</v>
      </c>
      <c r="U803" s="63">
        <f>IF($J$1="May",Y802,Y802)</f>
        <v>0</v>
      </c>
      <c r="V803" s="38"/>
      <c r="W803" s="63">
        <f t="shared" si="177"/>
        <v>0</v>
      </c>
      <c r="X803" s="38"/>
      <c r="Y803" s="63">
        <f t="shared" si="178"/>
        <v>0</v>
      </c>
      <c r="Z803" s="40"/>
    </row>
    <row r="804" spans="1:27" s="25" customFormat="1" ht="18" customHeight="1" x14ac:dyDescent="0.2">
      <c r="A804" s="272"/>
      <c r="B804" s="287" t="s">
        <v>7</v>
      </c>
      <c r="C804" s="293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30</v>
      </c>
      <c r="D804" s="270"/>
      <c r="E804" s="270"/>
      <c r="F804" s="287" t="s">
        <v>63</v>
      </c>
      <c r="G804" s="288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5"/>
      <c r="I804" s="389" t="s">
        <v>67</v>
      </c>
      <c r="J804" s="390"/>
      <c r="K804" s="294">
        <f>K802+K803</f>
        <v>77583.333333333328</v>
      </c>
      <c r="L804" s="295"/>
      <c r="N804" s="35"/>
      <c r="O804" s="36" t="s">
        <v>48</v>
      </c>
      <c r="P804" s="36"/>
      <c r="Q804" s="36"/>
      <c r="R804" s="36" t="str">
        <f t="shared" si="179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77"/>
        <v/>
      </c>
      <c r="X804" s="38"/>
      <c r="Y804" s="63" t="str">
        <f t="shared" si="178"/>
        <v/>
      </c>
      <c r="Z804" s="40"/>
    </row>
    <row r="805" spans="1:27" s="25" customFormat="1" ht="18" customHeight="1" x14ac:dyDescent="0.2">
      <c r="A805" s="272"/>
      <c r="B805" s="287" t="s">
        <v>6</v>
      </c>
      <c r="C805" s="293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D805" s="270"/>
      <c r="E805" s="270"/>
      <c r="F805" s="287" t="s">
        <v>19</v>
      </c>
      <c r="G805" s="288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5"/>
      <c r="I805" s="389" t="s">
        <v>68</v>
      </c>
      <c r="J805" s="390"/>
      <c r="K805" s="288">
        <f>G805</f>
        <v>0</v>
      </c>
      <c r="L805" s="296"/>
      <c r="N805" s="35"/>
      <c r="O805" s="36" t="s">
        <v>49</v>
      </c>
      <c r="P805" s="36"/>
      <c r="Q805" s="36"/>
      <c r="R805" s="36" t="str">
        <f t="shared" si="179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77"/>
        <v/>
      </c>
      <c r="X805" s="38"/>
      <c r="Y805" s="63" t="str">
        <f t="shared" si="178"/>
        <v/>
      </c>
      <c r="Z805" s="40"/>
    </row>
    <row r="806" spans="1:27" s="25" customFormat="1" ht="18" customHeight="1" x14ac:dyDescent="0.2">
      <c r="A806" s="272"/>
      <c r="B806" s="304" t="s">
        <v>66</v>
      </c>
      <c r="C806" s="293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>0</v>
      </c>
      <c r="D806" s="270"/>
      <c r="E806" s="270"/>
      <c r="F806" s="287" t="s">
        <v>65</v>
      </c>
      <c r="G806" s="288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0"/>
      <c r="I806" s="391" t="s">
        <v>61</v>
      </c>
      <c r="J806" s="391"/>
      <c r="K806" s="229">
        <f>K804-K805</f>
        <v>77583.333333333328</v>
      </c>
      <c r="L806" s="297"/>
      <c r="N806" s="35"/>
      <c r="O806" s="36" t="s">
        <v>54</v>
      </c>
      <c r="P806" s="36"/>
      <c r="Q806" s="36"/>
      <c r="R806" s="36" t="str">
        <f t="shared" si="179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77"/>
        <v/>
      </c>
      <c r="X806" s="38"/>
      <c r="Y806" s="63" t="str">
        <f t="shared" si="178"/>
        <v/>
      </c>
      <c r="Z806" s="40"/>
    </row>
    <row r="807" spans="1:27" s="25" customFormat="1" ht="18" customHeight="1" x14ac:dyDescent="0.2">
      <c r="A807" s="272"/>
      <c r="B807" s="270"/>
      <c r="C807" s="270"/>
      <c r="D807" s="270"/>
      <c r="E807" s="270"/>
      <c r="F807" s="270"/>
      <c r="G807" s="270"/>
      <c r="H807" s="270"/>
      <c r="I807" s="392"/>
      <c r="J807" s="392"/>
      <c r="K807" s="352"/>
      <c r="L807" s="284"/>
      <c r="N807" s="35"/>
      <c r="O807" s="36" t="s">
        <v>50</v>
      </c>
      <c r="P807" s="36"/>
      <c r="Q807" s="36"/>
      <c r="R807" s="36" t="str">
        <f t="shared" si="179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77"/>
        <v/>
      </c>
      <c r="X807" s="38"/>
      <c r="Y807" s="63" t="str">
        <f t="shared" si="178"/>
        <v/>
      </c>
      <c r="Z807" s="40"/>
    </row>
    <row r="808" spans="1:27" s="25" customFormat="1" ht="18" customHeight="1" x14ac:dyDescent="0.3">
      <c r="A808" s="272"/>
      <c r="B808" s="268"/>
      <c r="C808" s="268"/>
      <c r="D808" s="268"/>
      <c r="E808" s="268"/>
      <c r="F808" s="268"/>
      <c r="G808" s="268"/>
      <c r="H808" s="268"/>
      <c r="I808" s="392"/>
      <c r="J808" s="392"/>
      <c r="K808" s="352"/>
      <c r="L808" s="284"/>
      <c r="N808" s="35"/>
      <c r="O808" s="36" t="s">
        <v>55</v>
      </c>
      <c r="P808" s="36"/>
      <c r="Q808" s="36"/>
      <c r="R808" s="36" t="str">
        <f t="shared" si="179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77"/>
        <v/>
      </c>
      <c r="X808" s="38"/>
      <c r="Y808" s="63" t="str">
        <f t="shared" si="178"/>
        <v/>
      </c>
      <c r="Z808" s="40"/>
    </row>
    <row r="809" spans="1:27" s="25" customFormat="1" ht="18" customHeight="1" x14ac:dyDescent="0.3">
      <c r="A809" s="272"/>
      <c r="B809" s="268"/>
      <c r="C809" s="268"/>
      <c r="D809" s="268"/>
      <c r="E809" s="268"/>
      <c r="F809" s="268"/>
      <c r="G809" s="268"/>
      <c r="H809" s="268"/>
      <c r="I809" s="268"/>
      <c r="J809" s="268"/>
      <c r="K809" s="268"/>
      <c r="L809" s="284"/>
      <c r="N809" s="35"/>
      <c r="O809" s="36" t="s">
        <v>56</v>
      </c>
      <c r="P809" s="36"/>
      <c r="Q809" s="36"/>
      <c r="R809" s="36" t="str">
        <f t="shared" si="179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77"/>
        <v/>
      </c>
      <c r="X809" s="38"/>
      <c r="Y809" s="63" t="str">
        <f t="shared" si="178"/>
        <v/>
      </c>
      <c r="Z809" s="40"/>
    </row>
    <row r="810" spans="1:27" s="25" customFormat="1" ht="18" customHeight="1" thickBot="1" x14ac:dyDescent="0.25">
      <c r="A810" s="298"/>
      <c r="B810" s="305"/>
      <c r="C810" s="305"/>
      <c r="D810" s="305"/>
      <c r="E810" s="305"/>
      <c r="F810" s="305"/>
      <c r="G810" s="305"/>
      <c r="H810" s="305"/>
      <c r="I810" s="305"/>
      <c r="J810" s="305"/>
      <c r="K810" s="305"/>
      <c r="L810" s="300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20" t="s">
        <v>38</v>
      </c>
      <c r="B812" s="421"/>
      <c r="C812" s="421"/>
      <c r="D812" s="421"/>
      <c r="E812" s="421"/>
      <c r="F812" s="421"/>
      <c r="G812" s="421"/>
      <c r="H812" s="421"/>
      <c r="I812" s="421"/>
      <c r="J812" s="421"/>
      <c r="K812" s="421"/>
      <c r="L812" s="422"/>
      <c r="M812" s="24"/>
      <c r="N812" s="28"/>
      <c r="O812" s="396" t="s">
        <v>40</v>
      </c>
      <c r="P812" s="397"/>
      <c r="Q812" s="397"/>
      <c r="R812" s="398"/>
      <c r="S812" s="29"/>
      <c r="T812" s="396" t="s">
        <v>41</v>
      </c>
      <c r="U812" s="397"/>
      <c r="V812" s="397"/>
      <c r="W812" s="397"/>
      <c r="X812" s="397"/>
      <c r="Y812" s="398"/>
      <c r="Z812" s="30"/>
      <c r="AA812" s="24"/>
    </row>
    <row r="813" spans="1:27" s="25" customFormat="1" ht="18" customHeight="1" x14ac:dyDescent="0.2">
      <c r="A813" s="272"/>
      <c r="B813" s="270"/>
      <c r="C813" s="399" t="s">
        <v>202</v>
      </c>
      <c r="D813" s="399"/>
      <c r="E813" s="399"/>
      <c r="F813" s="399"/>
      <c r="G813" s="273" t="str">
        <f>$J$1</f>
        <v>June</v>
      </c>
      <c r="H813" s="400">
        <f>$K$1</f>
        <v>2024</v>
      </c>
      <c r="I813" s="400"/>
      <c r="J813" s="270"/>
      <c r="K813" s="274"/>
      <c r="L813" s="275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2"/>
      <c r="B814" s="270"/>
      <c r="C814" s="270"/>
      <c r="D814" s="276"/>
      <c r="E814" s="276"/>
      <c r="F814" s="276"/>
      <c r="G814" s="276"/>
      <c r="H814" s="276"/>
      <c r="I814" s="270"/>
      <c r="J814" s="277" t="s">
        <v>1</v>
      </c>
      <c r="K814" s="278">
        <v>35000</v>
      </c>
      <c r="L814" s="279"/>
      <c r="N814" s="35"/>
      <c r="O814" s="36" t="s">
        <v>43</v>
      </c>
      <c r="P814" s="36"/>
      <c r="Q814" s="36"/>
      <c r="R814" s="36">
        <v>0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2"/>
      <c r="B815" s="270" t="s">
        <v>0</v>
      </c>
      <c r="C815" s="269" t="s">
        <v>228</v>
      </c>
      <c r="D815" s="270"/>
      <c r="E815" s="270"/>
      <c r="F815" s="270"/>
      <c r="G815" s="270"/>
      <c r="H815" s="280"/>
      <c r="I815" s="276"/>
      <c r="J815" s="270"/>
      <c r="K815" s="270"/>
      <c r="L815" s="281"/>
      <c r="M815" s="24"/>
      <c r="N815" s="39"/>
      <c r="O815" s="36" t="s">
        <v>69</v>
      </c>
      <c r="P815" s="36"/>
      <c r="Q815" s="36"/>
      <c r="R815" s="36">
        <v>0</v>
      </c>
      <c r="S815" s="27"/>
      <c r="T815" s="36" t="s">
        <v>69</v>
      </c>
      <c r="U815" s="63">
        <f>IF($J$1="January","",Y814)</f>
        <v>0</v>
      </c>
      <c r="V815" s="38"/>
      <c r="W815" s="63">
        <f>IF(U815="","",U815+V815)</f>
        <v>0</v>
      </c>
      <c r="X815" s="38"/>
      <c r="Y815" s="63">
        <f>IF(W815="","",W815-X815)</f>
        <v>0</v>
      </c>
      <c r="Z815" s="40"/>
      <c r="AA815" s="24"/>
    </row>
    <row r="816" spans="1:27" s="25" customFormat="1" ht="18" customHeight="1" x14ac:dyDescent="0.2">
      <c r="A816" s="272"/>
      <c r="B816" s="282" t="s">
        <v>39</v>
      </c>
      <c r="C816" s="309">
        <v>45363</v>
      </c>
      <c r="D816" s="270"/>
      <c r="E816" s="270"/>
      <c r="F816" s="391" t="s">
        <v>41</v>
      </c>
      <c r="G816" s="391"/>
      <c r="H816" s="270"/>
      <c r="I816" s="391" t="s">
        <v>42</v>
      </c>
      <c r="J816" s="391"/>
      <c r="K816" s="391"/>
      <c r="L816" s="284"/>
      <c r="N816" s="35"/>
      <c r="O816" s="36" t="s">
        <v>44</v>
      </c>
      <c r="P816" s="36">
        <f>31-Q816</f>
        <v>20</v>
      </c>
      <c r="Q816" s="36">
        <v>11</v>
      </c>
      <c r="R816" s="36">
        <v>0</v>
      </c>
      <c r="S816" s="27"/>
      <c r="T816" s="36" t="s">
        <v>44</v>
      </c>
      <c r="U816" s="63">
        <f>IF($J$1="February","",Y815)</f>
        <v>0</v>
      </c>
      <c r="V816" s="38"/>
      <c r="W816" s="63">
        <f t="shared" ref="W816:W825" si="180">IF(U816="","",U816+V816)</f>
        <v>0</v>
      </c>
      <c r="X816" s="38"/>
      <c r="Y816" s="63">
        <f t="shared" ref="Y816:Y825" si="181">IF(W816="","",W816-X816)</f>
        <v>0</v>
      </c>
      <c r="Z816" s="40"/>
    </row>
    <row r="817" spans="1:27" s="25" customFormat="1" ht="18" customHeight="1" x14ac:dyDescent="0.2">
      <c r="A817" s="272"/>
      <c r="B817" s="270"/>
      <c r="C817" s="270"/>
      <c r="D817" s="270"/>
      <c r="E817" s="270"/>
      <c r="F817" s="270"/>
      <c r="G817" s="270"/>
      <c r="H817" s="285"/>
      <c r="I817" s="270"/>
      <c r="J817" s="270"/>
      <c r="K817" s="270"/>
      <c r="L817" s="286"/>
      <c r="N817" s="35"/>
      <c r="O817" s="36" t="s">
        <v>45</v>
      </c>
      <c r="P817" s="36">
        <v>28</v>
      </c>
      <c r="Q817" s="36">
        <v>2</v>
      </c>
      <c r="R817" s="36">
        <v>0</v>
      </c>
      <c r="S817" s="27"/>
      <c r="T817" s="36" t="s">
        <v>45</v>
      </c>
      <c r="U817" s="63">
        <f>IF($J$1="March","",Y816)</f>
        <v>0</v>
      </c>
      <c r="V817" s="38"/>
      <c r="W817" s="63">
        <f t="shared" si="180"/>
        <v>0</v>
      </c>
      <c r="X817" s="38"/>
      <c r="Y817" s="63">
        <f t="shared" si="181"/>
        <v>0</v>
      </c>
      <c r="Z817" s="40"/>
    </row>
    <row r="818" spans="1:27" s="25" customFormat="1" ht="18" customHeight="1" x14ac:dyDescent="0.2">
      <c r="A818" s="272"/>
      <c r="B818" s="401" t="s">
        <v>40</v>
      </c>
      <c r="C818" s="402"/>
      <c r="D818" s="270"/>
      <c r="E818" s="270"/>
      <c r="F818" s="287" t="s">
        <v>62</v>
      </c>
      <c r="G818" s="288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5"/>
      <c r="I818" s="289">
        <f>IF(C822&gt;0,$K$2,C820)</f>
        <v>28</v>
      </c>
      <c r="J818" s="290" t="s">
        <v>59</v>
      </c>
      <c r="K818" s="291">
        <f>K814/$K$2*I818</f>
        <v>32666.666666666668</v>
      </c>
      <c r="L818" s="292"/>
      <c r="N818" s="35"/>
      <c r="O818" s="36" t="s">
        <v>46</v>
      </c>
      <c r="P818" s="36">
        <v>29</v>
      </c>
      <c r="Q818" s="36">
        <v>2</v>
      </c>
      <c r="R818" s="36">
        <v>0</v>
      </c>
      <c r="S818" s="27"/>
      <c r="T818" s="36" t="s">
        <v>46</v>
      </c>
      <c r="U818" s="63">
        <f>IF($J$1="April","",Y817)</f>
        <v>0</v>
      </c>
      <c r="V818" s="38"/>
      <c r="W818" s="63">
        <f t="shared" si="180"/>
        <v>0</v>
      </c>
      <c r="X818" s="38"/>
      <c r="Y818" s="63">
        <f t="shared" si="181"/>
        <v>0</v>
      </c>
      <c r="Z818" s="40"/>
    </row>
    <row r="819" spans="1:27" s="25" customFormat="1" ht="18" customHeight="1" x14ac:dyDescent="0.2">
      <c r="A819" s="272"/>
      <c r="B819" s="293"/>
      <c r="C819" s="293"/>
      <c r="D819" s="270"/>
      <c r="E819" s="270"/>
      <c r="F819" s="287" t="s">
        <v>18</v>
      </c>
      <c r="G819" s="288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5"/>
      <c r="I819" s="306">
        <v>24</v>
      </c>
      <c r="J819" s="290" t="s">
        <v>60</v>
      </c>
      <c r="K819" s="294">
        <f>K814/$K$2/8*I819</f>
        <v>3500</v>
      </c>
      <c r="L819" s="295"/>
      <c r="N819" s="35"/>
      <c r="O819" s="36" t="s">
        <v>47</v>
      </c>
      <c r="P819" s="36">
        <v>28</v>
      </c>
      <c r="Q819" s="36">
        <v>2</v>
      </c>
      <c r="R819" s="36">
        <v>0</v>
      </c>
      <c r="S819" s="27"/>
      <c r="T819" s="36" t="s">
        <v>47</v>
      </c>
      <c r="U819" s="63">
        <f>IF($J$1="May","",Y818)</f>
        <v>0</v>
      </c>
      <c r="V819" s="38"/>
      <c r="W819" s="63">
        <f t="shared" si="180"/>
        <v>0</v>
      </c>
      <c r="X819" s="38"/>
      <c r="Y819" s="63">
        <f t="shared" si="181"/>
        <v>0</v>
      </c>
      <c r="Z819" s="40"/>
    </row>
    <row r="820" spans="1:27" s="25" customFormat="1" ht="18" customHeight="1" x14ac:dyDescent="0.2">
      <c r="A820" s="272"/>
      <c r="B820" s="287" t="s">
        <v>7</v>
      </c>
      <c r="C820" s="293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28</v>
      </c>
      <c r="D820" s="270"/>
      <c r="E820" s="270"/>
      <c r="F820" s="287" t="s">
        <v>63</v>
      </c>
      <c r="G820" s="288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5"/>
      <c r="I820" s="389" t="s">
        <v>67</v>
      </c>
      <c r="J820" s="390"/>
      <c r="K820" s="294">
        <f>K818+K819</f>
        <v>36166.666666666672</v>
      </c>
      <c r="L820" s="295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0"/>
        <v/>
      </c>
      <c r="X820" s="38"/>
      <c r="Y820" s="63" t="str">
        <f t="shared" si="181"/>
        <v/>
      </c>
      <c r="Z820" s="40"/>
    </row>
    <row r="821" spans="1:27" s="25" customFormat="1" ht="18" customHeight="1" x14ac:dyDescent="0.2">
      <c r="A821" s="272"/>
      <c r="B821" s="287" t="s">
        <v>6</v>
      </c>
      <c r="C821" s="293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2</v>
      </c>
      <c r="D821" s="270"/>
      <c r="E821" s="270"/>
      <c r="F821" s="287" t="s">
        <v>19</v>
      </c>
      <c r="G821" s="288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5"/>
      <c r="I821" s="389" t="s">
        <v>68</v>
      </c>
      <c r="J821" s="390"/>
      <c r="K821" s="288">
        <f>G821</f>
        <v>0</v>
      </c>
      <c r="L821" s="296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0"/>
        <v/>
      </c>
      <c r="X821" s="38"/>
      <c r="Y821" s="63" t="str">
        <f t="shared" si="181"/>
        <v/>
      </c>
      <c r="Z821" s="40"/>
    </row>
    <row r="822" spans="1:27" s="25" customFormat="1" ht="18" customHeight="1" x14ac:dyDescent="0.2">
      <c r="A822" s="272"/>
      <c r="B822" s="304" t="s">
        <v>66</v>
      </c>
      <c r="C822" s="293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0</v>
      </c>
      <c r="D822" s="270"/>
      <c r="E822" s="270"/>
      <c r="F822" s="287" t="s">
        <v>65</v>
      </c>
      <c r="G822" s="288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0"/>
      <c r="I822" s="391" t="s">
        <v>61</v>
      </c>
      <c r="J822" s="391"/>
      <c r="K822" s="229">
        <f>K820-K821</f>
        <v>36166.666666666672</v>
      </c>
      <c r="L822" s="297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0"/>
        <v/>
      </c>
      <c r="X822" s="38"/>
      <c r="Y822" s="63" t="str">
        <f t="shared" si="181"/>
        <v/>
      </c>
      <c r="Z822" s="40"/>
    </row>
    <row r="823" spans="1:27" s="25" customFormat="1" ht="18" customHeight="1" x14ac:dyDescent="0.2">
      <c r="A823" s="272"/>
      <c r="B823" s="270"/>
      <c r="C823" s="270"/>
      <c r="D823" s="270"/>
      <c r="E823" s="270"/>
      <c r="F823" s="270"/>
      <c r="G823" s="270"/>
      <c r="H823" s="270"/>
      <c r="I823" s="392"/>
      <c r="J823" s="392"/>
      <c r="K823" s="352"/>
      <c r="L823" s="284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0"/>
        <v/>
      </c>
      <c r="X823" s="38"/>
      <c r="Y823" s="63" t="str">
        <f t="shared" si="181"/>
        <v/>
      </c>
      <c r="Z823" s="40"/>
    </row>
    <row r="824" spans="1:27" s="25" customFormat="1" ht="18" customHeight="1" x14ac:dyDescent="0.3">
      <c r="A824" s="272"/>
      <c r="B824" s="268"/>
      <c r="C824" s="268"/>
      <c r="D824" s="268"/>
      <c r="E824" s="268"/>
      <c r="F824" s="268"/>
      <c r="G824" s="268"/>
      <c r="H824" s="268"/>
      <c r="I824" s="392"/>
      <c r="J824" s="392"/>
      <c r="K824" s="352"/>
      <c r="L824" s="284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0"/>
        <v/>
      </c>
      <c r="X824" s="38"/>
      <c r="Y824" s="63" t="str">
        <f t="shared" si="181"/>
        <v/>
      </c>
      <c r="Z824" s="40"/>
    </row>
    <row r="825" spans="1:27" s="25" customFormat="1" ht="18" customHeight="1" x14ac:dyDescent="0.3">
      <c r="A825" s="272"/>
      <c r="B825" s="268"/>
      <c r="C825" s="268"/>
      <c r="D825" s="268"/>
      <c r="E825" s="268"/>
      <c r="F825" s="268"/>
      <c r="G825" s="268"/>
      <c r="H825" s="268"/>
      <c r="I825" s="268"/>
      <c r="J825" s="268"/>
      <c r="K825" s="268"/>
      <c r="L825" s="284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0"/>
        <v/>
      </c>
      <c r="X825" s="38"/>
      <c r="Y825" s="63" t="str">
        <f t="shared" si="181"/>
        <v/>
      </c>
      <c r="Z825" s="40"/>
    </row>
    <row r="826" spans="1:27" s="25" customFormat="1" ht="18" customHeight="1" thickBot="1" x14ac:dyDescent="0.25">
      <c r="A826" s="298"/>
      <c r="B826" s="305"/>
      <c r="C826" s="305"/>
      <c r="D826" s="305"/>
      <c r="E826" s="305"/>
      <c r="F826" s="305"/>
      <c r="G826" s="305"/>
      <c r="H826" s="305"/>
      <c r="I826" s="305"/>
      <c r="J826" s="305"/>
      <c r="K826" s="305"/>
      <c r="L826" s="300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393" t="s">
        <v>38</v>
      </c>
      <c r="B828" s="394"/>
      <c r="C828" s="394"/>
      <c r="D828" s="394"/>
      <c r="E828" s="394"/>
      <c r="F828" s="394"/>
      <c r="G828" s="394"/>
      <c r="H828" s="394"/>
      <c r="I828" s="394"/>
      <c r="J828" s="394"/>
      <c r="K828" s="394"/>
      <c r="L828" s="395"/>
      <c r="M828" s="24"/>
      <c r="N828" s="28"/>
      <c r="O828" s="396" t="s">
        <v>40</v>
      </c>
      <c r="P828" s="397"/>
      <c r="Q828" s="397"/>
      <c r="R828" s="398"/>
      <c r="S828" s="29"/>
      <c r="T828" s="396" t="s">
        <v>41</v>
      </c>
      <c r="U828" s="397"/>
      <c r="V828" s="397"/>
      <c r="W828" s="397"/>
      <c r="X828" s="397"/>
      <c r="Y828" s="398"/>
      <c r="Z828" s="30"/>
      <c r="AA828" s="24"/>
    </row>
    <row r="829" spans="1:27" s="25" customFormat="1" ht="18" customHeight="1" x14ac:dyDescent="0.2">
      <c r="A829" s="272"/>
      <c r="B829" s="270"/>
      <c r="C829" s="399" t="s">
        <v>202</v>
      </c>
      <c r="D829" s="399"/>
      <c r="E829" s="399"/>
      <c r="F829" s="399"/>
      <c r="G829" s="273" t="str">
        <f>$J$1</f>
        <v>June</v>
      </c>
      <c r="H829" s="400">
        <f>$K$1</f>
        <v>2024</v>
      </c>
      <c r="I829" s="400"/>
      <c r="J829" s="270"/>
      <c r="K829" s="274"/>
      <c r="L829" s="275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2"/>
      <c r="B830" s="270"/>
      <c r="C830" s="270"/>
      <c r="D830" s="276"/>
      <c r="E830" s="276"/>
      <c r="F830" s="276"/>
      <c r="G830" s="276"/>
      <c r="H830" s="276"/>
      <c r="I830" s="270"/>
      <c r="J830" s="277" t="s">
        <v>1</v>
      </c>
      <c r="K830" s="278">
        <v>45000</v>
      </c>
      <c r="L830" s="279"/>
      <c r="N830" s="35"/>
      <c r="O830" s="36" t="s">
        <v>43</v>
      </c>
      <c r="P830" s="36"/>
      <c r="Q830" s="36"/>
      <c r="R830" s="36">
        <v>0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2"/>
      <c r="B831" s="270" t="s">
        <v>0</v>
      </c>
      <c r="C831" s="269" t="s">
        <v>238</v>
      </c>
      <c r="D831" s="270"/>
      <c r="E831" s="270"/>
      <c r="F831" s="270"/>
      <c r="G831" s="270"/>
      <c r="H831" s="280"/>
      <c r="I831" s="276"/>
      <c r="J831" s="270"/>
      <c r="K831" s="270"/>
      <c r="L831" s="281"/>
      <c r="M831" s="24"/>
      <c r="N831" s="39"/>
      <c r="O831" s="36" t="s">
        <v>69</v>
      </c>
      <c r="P831" s="36"/>
      <c r="Q831" s="36"/>
      <c r="R831" s="36">
        <v>0</v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2"/>
      <c r="B832" s="282" t="s">
        <v>39</v>
      </c>
      <c r="C832" s="307"/>
      <c r="D832" s="270"/>
      <c r="E832" s="270"/>
      <c r="F832" s="391" t="s">
        <v>41</v>
      </c>
      <c r="G832" s="391"/>
      <c r="H832" s="270"/>
      <c r="I832" s="391" t="s">
        <v>42</v>
      </c>
      <c r="J832" s="391"/>
      <c r="K832" s="391"/>
      <c r="L832" s="284"/>
      <c r="N832" s="35"/>
      <c r="O832" s="36" t="s">
        <v>44</v>
      </c>
      <c r="P832" s="36"/>
      <c r="Q832" s="36"/>
      <c r="R832" s="36">
        <v>0</v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2">IF(U832="","",U832+V832)</f>
        <v>0</v>
      </c>
      <c r="X832" s="38"/>
      <c r="Y832" s="63">
        <f t="shared" ref="Y832:Y841" si="183">IF(W832="","",W832-X832)</f>
        <v>0</v>
      </c>
      <c r="Z832" s="40"/>
    </row>
    <row r="833" spans="1:27" s="25" customFormat="1" ht="18" customHeight="1" x14ac:dyDescent="0.2">
      <c r="A833" s="272"/>
      <c r="B833" s="270"/>
      <c r="C833" s="270"/>
      <c r="D833" s="270"/>
      <c r="E833" s="270"/>
      <c r="F833" s="270"/>
      <c r="G833" s="270"/>
      <c r="H833" s="285"/>
      <c r="I833" s="270"/>
      <c r="J833" s="270"/>
      <c r="K833" s="270"/>
      <c r="L833" s="286"/>
      <c r="N833" s="35"/>
      <c r="O833" s="36" t="s">
        <v>45</v>
      </c>
      <c r="P833" s="36"/>
      <c r="Q833" s="36"/>
      <c r="R833" s="36">
        <v>0</v>
      </c>
      <c r="S833" s="27"/>
      <c r="T833" s="36" t="s">
        <v>45</v>
      </c>
      <c r="U833" s="63">
        <f>IF($J$1="April",Y832,Y832)</f>
        <v>0</v>
      </c>
      <c r="V833" s="38"/>
      <c r="W833" s="63">
        <f t="shared" si="182"/>
        <v>0</v>
      </c>
      <c r="X833" s="38"/>
      <c r="Y833" s="63">
        <f t="shared" si="183"/>
        <v>0</v>
      </c>
      <c r="Z833" s="40"/>
    </row>
    <row r="834" spans="1:27" s="25" customFormat="1" ht="18" customHeight="1" x14ac:dyDescent="0.2">
      <c r="A834" s="272"/>
      <c r="B834" s="401" t="s">
        <v>40</v>
      </c>
      <c r="C834" s="402"/>
      <c r="D834" s="270"/>
      <c r="E834" s="270"/>
      <c r="F834" s="287" t="s">
        <v>62</v>
      </c>
      <c r="G834" s="288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5"/>
      <c r="I834" s="289">
        <f>IF(C838&gt;0,$K$2,C836)</f>
        <v>30</v>
      </c>
      <c r="J834" s="290" t="s">
        <v>59</v>
      </c>
      <c r="K834" s="291">
        <f>K830/$K$2*I834</f>
        <v>45000</v>
      </c>
      <c r="L834" s="292"/>
      <c r="N834" s="35"/>
      <c r="O834" s="36" t="s">
        <v>46</v>
      </c>
      <c r="P834" s="36">
        <v>30</v>
      </c>
      <c r="Q834" s="36">
        <v>1</v>
      </c>
      <c r="R834" s="36">
        <v>0</v>
      </c>
      <c r="S834" s="27"/>
      <c r="T834" s="36" t="s">
        <v>46</v>
      </c>
      <c r="U834" s="63">
        <f>IF($J$1="May",Y833,Y833)</f>
        <v>0</v>
      </c>
      <c r="V834" s="38"/>
      <c r="W834" s="63">
        <f t="shared" si="182"/>
        <v>0</v>
      </c>
      <c r="X834" s="38"/>
      <c r="Y834" s="63">
        <f t="shared" si="183"/>
        <v>0</v>
      </c>
      <c r="Z834" s="40"/>
    </row>
    <row r="835" spans="1:27" s="25" customFormat="1" ht="18" customHeight="1" x14ac:dyDescent="0.2">
      <c r="A835" s="272"/>
      <c r="B835" s="293"/>
      <c r="C835" s="293"/>
      <c r="D835" s="270"/>
      <c r="E835" s="270"/>
      <c r="F835" s="287" t="s">
        <v>18</v>
      </c>
      <c r="G835" s="288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5"/>
      <c r="I835" s="306">
        <v>84</v>
      </c>
      <c r="J835" s="290" t="s">
        <v>60</v>
      </c>
      <c r="K835" s="294">
        <f>K830/$K$2/8*I835</f>
        <v>15750</v>
      </c>
      <c r="L835" s="295"/>
      <c r="N835" s="35"/>
      <c r="O835" s="36" t="s">
        <v>47</v>
      </c>
      <c r="P835" s="36">
        <v>30</v>
      </c>
      <c r="Q835" s="36">
        <v>0</v>
      </c>
      <c r="R835" s="36">
        <f t="shared" ref="R835:R841" si="184">IF(Q835="","",R834-Q835)</f>
        <v>0</v>
      </c>
      <c r="S835" s="27"/>
      <c r="T835" s="36" t="s">
        <v>47</v>
      </c>
      <c r="U835" s="63">
        <f>IF($J$1="May",Y834,Y834)</f>
        <v>0</v>
      </c>
      <c r="V835" s="38"/>
      <c r="W835" s="63">
        <f t="shared" si="182"/>
        <v>0</v>
      </c>
      <c r="X835" s="38"/>
      <c r="Y835" s="63">
        <f t="shared" si="183"/>
        <v>0</v>
      </c>
      <c r="Z835" s="40"/>
    </row>
    <row r="836" spans="1:27" s="25" customFormat="1" ht="18" customHeight="1" x14ac:dyDescent="0.2">
      <c r="A836" s="272"/>
      <c r="B836" s="287" t="s">
        <v>7</v>
      </c>
      <c r="C836" s="293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30</v>
      </c>
      <c r="D836" s="270"/>
      <c r="E836" s="270"/>
      <c r="F836" s="287" t="s">
        <v>63</v>
      </c>
      <c r="G836" s="288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5"/>
      <c r="I836" s="389" t="s">
        <v>67</v>
      </c>
      <c r="J836" s="390"/>
      <c r="K836" s="294">
        <f>K834+K835</f>
        <v>60750</v>
      </c>
      <c r="L836" s="295"/>
      <c r="N836" s="35"/>
      <c r="O836" s="36" t="s">
        <v>48</v>
      </c>
      <c r="P836" s="36"/>
      <c r="Q836" s="36"/>
      <c r="R836" s="36" t="str">
        <f t="shared" si="184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2"/>
        <v>0</v>
      </c>
      <c r="X836" s="38"/>
      <c r="Y836" s="63">
        <f t="shared" si="183"/>
        <v>0</v>
      </c>
      <c r="Z836" s="40"/>
    </row>
    <row r="837" spans="1:27" s="25" customFormat="1" ht="18" customHeight="1" x14ac:dyDescent="0.2">
      <c r="A837" s="272"/>
      <c r="B837" s="287" t="s">
        <v>6</v>
      </c>
      <c r="C837" s="293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0"/>
      <c r="E837" s="270"/>
      <c r="F837" s="287" t="s">
        <v>19</v>
      </c>
      <c r="G837" s="288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5"/>
      <c r="I837" s="389" t="s">
        <v>68</v>
      </c>
      <c r="J837" s="390"/>
      <c r="K837" s="288">
        <f>G837</f>
        <v>0</v>
      </c>
      <c r="L837" s="296"/>
      <c r="N837" s="35"/>
      <c r="O837" s="36" t="s">
        <v>49</v>
      </c>
      <c r="P837" s="36"/>
      <c r="Q837" s="36"/>
      <c r="R837" s="36" t="str">
        <f t="shared" si="184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2"/>
        <v/>
      </c>
      <c r="X837" s="38"/>
      <c r="Y837" s="63" t="str">
        <f t="shared" si="183"/>
        <v/>
      </c>
      <c r="Z837" s="40"/>
    </row>
    <row r="838" spans="1:27" s="25" customFormat="1" ht="18" customHeight="1" x14ac:dyDescent="0.2">
      <c r="A838" s="272"/>
      <c r="B838" s="304" t="s">
        <v>66</v>
      </c>
      <c r="C838" s="293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>0</v>
      </c>
      <c r="D838" s="270"/>
      <c r="E838" s="270"/>
      <c r="F838" s="287" t="s">
        <v>65</v>
      </c>
      <c r="G838" s="288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0"/>
      <c r="I838" s="391" t="s">
        <v>61</v>
      </c>
      <c r="J838" s="391"/>
      <c r="K838" s="229">
        <f>K836-K837</f>
        <v>60750</v>
      </c>
      <c r="L838" s="297"/>
      <c r="N838" s="35"/>
      <c r="O838" s="36" t="s">
        <v>54</v>
      </c>
      <c r="P838" s="36"/>
      <c r="Q838" s="36"/>
      <c r="R838" s="36" t="str">
        <f t="shared" si="184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2"/>
        <v/>
      </c>
      <c r="X838" s="38"/>
      <c r="Y838" s="63" t="str">
        <f t="shared" si="183"/>
        <v/>
      </c>
      <c r="Z838" s="40"/>
    </row>
    <row r="839" spans="1:27" s="25" customFormat="1" ht="18" customHeight="1" x14ac:dyDescent="0.2">
      <c r="A839" s="272"/>
      <c r="B839" s="270"/>
      <c r="C839" s="270"/>
      <c r="D839" s="270"/>
      <c r="E839" s="270"/>
      <c r="F839" s="270"/>
      <c r="G839" s="270"/>
      <c r="H839" s="270"/>
      <c r="I839" s="392"/>
      <c r="J839" s="392"/>
      <c r="K839" s="352"/>
      <c r="L839" s="284"/>
      <c r="N839" s="35"/>
      <c r="O839" s="36" t="s">
        <v>50</v>
      </c>
      <c r="P839" s="36"/>
      <c r="Q839" s="36"/>
      <c r="R839" s="36" t="str">
        <f t="shared" si="184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2"/>
        <v/>
      </c>
      <c r="X839" s="38"/>
      <c r="Y839" s="63" t="str">
        <f t="shared" si="183"/>
        <v/>
      </c>
      <c r="Z839" s="40"/>
    </row>
    <row r="840" spans="1:27" s="25" customFormat="1" ht="18" customHeight="1" x14ac:dyDescent="0.3">
      <c r="A840" s="272"/>
      <c r="B840" s="268"/>
      <c r="C840" s="268"/>
      <c r="D840" s="268"/>
      <c r="E840" s="268"/>
      <c r="F840" s="268"/>
      <c r="G840" s="268"/>
      <c r="H840" s="268"/>
      <c r="I840" s="392"/>
      <c r="J840" s="392"/>
      <c r="K840" s="352"/>
      <c r="L840" s="284"/>
      <c r="N840" s="35"/>
      <c r="O840" s="36" t="s">
        <v>55</v>
      </c>
      <c r="P840" s="36"/>
      <c r="Q840" s="36"/>
      <c r="R840" s="36" t="str">
        <f t="shared" si="184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2"/>
        <v/>
      </c>
      <c r="X840" s="38"/>
      <c r="Y840" s="63" t="str">
        <f t="shared" si="183"/>
        <v/>
      </c>
      <c r="Z840" s="40"/>
    </row>
    <row r="841" spans="1:27" s="25" customFormat="1" ht="18" customHeight="1" x14ac:dyDescent="0.3">
      <c r="A841" s="272"/>
      <c r="B841" s="268"/>
      <c r="C841" s="268"/>
      <c r="D841" s="268"/>
      <c r="E841" s="268"/>
      <c r="F841" s="268"/>
      <c r="G841" s="268"/>
      <c r="H841" s="268"/>
      <c r="I841" s="268"/>
      <c r="J841" s="268"/>
      <c r="K841" s="268"/>
      <c r="L841" s="284"/>
      <c r="N841" s="35"/>
      <c r="O841" s="36" t="s">
        <v>56</v>
      </c>
      <c r="P841" s="36"/>
      <c r="Q841" s="36"/>
      <c r="R841" s="36" t="str">
        <f t="shared" si="184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2"/>
        <v/>
      </c>
      <c r="X841" s="38"/>
      <c r="Y841" s="63" t="str">
        <f t="shared" si="183"/>
        <v/>
      </c>
      <c r="Z841" s="40"/>
    </row>
    <row r="842" spans="1:27" s="25" customFormat="1" ht="18" customHeight="1" thickBot="1" x14ac:dyDescent="0.25">
      <c r="A842" s="298"/>
      <c r="B842" s="305"/>
      <c r="C842" s="305"/>
      <c r="D842" s="305"/>
      <c r="E842" s="305"/>
      <c r="F842" s="305"/>
      <c r="G842" s="305"/>
      <c r="H842" s="305"/>
      <c r="I842" s="305"/>
      <c r="J842" s="305"/>
      <c r="K842" s="305"/>
      <c r="L842" s="300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7" s="25" customFormat="1" ht="18" customHeight="1" thickBot="1" x14ac:dyDescent="0.25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7" s="25" customFormat="1" ht="18" customHeight="1" x14ac:dyDescent="0.2">
      <c r="A844" s="393" t="s">
        <v>38</v>
      </c>
      <c r="B844" s="394"/>
      <c r="C844" s="394"/>
      <c r="D844" s="394"/>
      <c r="E844" s="394"/>
      <c r="F844" s="394"/>
      <c r="G844" s="394"/>
      <c r="H844" s="394"/>
      <c r="I844" s="394"/>
      <c r="J844" s="394"/>
      <c r="K844" s="394"/>
      <c r="L844" s="395"/>
      <c r="M844" s="24"/>
      <c r="N844" s="28"/>
      <c r="O844" s="396" t="s">
        <v>40</v>
      </c>
      <c r="P844" s="397"/>
      <c r="Q844" s="397"/>
      <c r="R844" s="398"/>
      <c r="S844" s="29"/>
      <c r="T844" s="396" t="s">
        <v>41</v>
      </c>
      <c r="U844" s="397"/>
      <c r="V844" s="397"/>
      <c r="W844" s="397"/>
      <c r="X844" s="397"/>
      <c r="Y844" s="398"/>
      <c r="Z844" s="30"/>
      <c r="AA844" s="24"/>
    </row>
    <row r="845" spans="1:27" s="25" customFormat="1" ht="18" customHeight="1" x14ac:dyDescent="0.2">
      <c r="A845" s="272"/>
      <c r="B845" s="270"/>
      <c r="C845" s="399" t="s">
        <v>202</v>
      </c>
      <c r="D845" s="399"/>
      <c r="E845" s="399"/>
      <c r="F845" s="399"/>
      <c r="G845" s="273" t="str">
        <f>$J$1</f>
        <v>June</v>
      </c>
      <c r="H845" s="400">
        <f>$K$1</f>
        <v>2024</v>
      </c>
      <c r="I845" s="400"/>
      <c r="J845" s="270"/>
      <c r="K845" s="274"/>
      <c r="L845" s="275"/>
      <c r="M845" s="26"/>
      <c r="N845" s="31"/>
      <c r="O845" s="32" t="s">
        <v>51</v>
      </c>
      <c r="P845" s="32" t="s">
        <v>7</v>
      </c>
      <c r="Q845" s="32" t="s">
        <v>6</v>
      </c>
      <c r="R845" s="32" t="s">
        <v>52</v>
      </c>
      <c r="S845" s="33"/>
      <c r="T845" s="32" t="s">
        <v>51</v>
      </c>
      <c r="U845" s="32" t="s">
        <v>53</v>
      </c>
      <c r="V845" s="32" t="s">
        <v>18</v>
      </c>
      <c r="W845" s="32" t="s">
        <v>17</v>
      </c>
      <c r="X845" s="32" t="s">
        <v>19</v>
      </c>
      <c r="Y845" s="32" t="s">
        <v>57</v>
      </c>
      <c r="Z845" s="34"/>
      <c r="AA845" s="26"/>
    </row>
    <row r="846" spans="1:27" s="25" customFormat="1" ht="18" customHeight="1" x14ac:dyDescent="0.2">
      <c r="A846" s="272"/>
      <c r="B846" s="270"/>
      <c r="C846" s="270"/>
      <c r="D846" s="276"/>
      <c r="E846" s="276"/>
      <c r="F846" s="276"/>
      <c r="G846" s="276"/>
      <c r="H846" s="276"/>
      <c r="I846" s="270"/>
      <c r="J846" s="277" t="s">
        <v>1</v>
      </c>
      <c r="K846" s="278">
        <v>35000</v>
      </c>
      <c r="L846" s="279"/>
      <c r="N846" s="35"/>
      <c r="O846" s="36" t="s">
        <v>43</v>
      </c>
      <c r="P846" s="36"/>
      <c r="Q846" s="36"/>
      <c r="R846" s="36"/>
      <c r="S846" s="37"/>
      <c r="T846" s="36" t="s">
        <v>43</v>
      </c>
      <c r="U846" s="38"/>
      <c r="V846" s="38"/>
      <c r="W846" s="38">
        <f>V846+U846</f>
        <v>0</v>
      </c>
      <c r="X846" s="38"/>
      <c r="Y846" s="38">
        <f>W846-X846</f>
        <v>0</v>
      </c>
      <c r="Z846" s="34"/>
    </row>
    <row r="847" spans="1:27" s="25" customFormat="1" ht="18" customHeight="1" x14ac:dyDescent="0.2">
      <c r="A847" s="272"/>
      <c r="B847" s="270" t="s">
        <v>0</v>
      </c>
      <c r="C847" s="269" t="s">
        <v>240</v>
      </c>
      <c r="D847" s="270"/>
      <c r="E847" s="270"/>
      <c r="F847" s="270"/>
      <c r="G847" s="270"/>
      <c r="H847" s="280"/>
      <c r="I847" s="276"/>
      <c r="J847" s="270"/>
      <c r="K847" s="270"/>
      <c r="L847" s="281"/>
      <c r="M847" s="24"/>
      <c r="N847" s="39"/>
      <c r="O847" s="36" t="s">
        <v>69</v>
      </c>
      <c r="P847" s="36"/>
      <c r="Q847" s="36"/>
      <c r="R847" s="36" t="str">
        <f>IF(Q847="","",R846-Q847)</f>
        <v/>
      </c>
      <c r="S847" s="27"/>
      <c r="T847" s="36" t="s">
        <v>69</v>
      </c>
      <c r="U847" s="63">
        <f>Y846</f>
        <v>0</v>
      </c>
      <c r="V847" s="38"/>
      <c r="W847" s="63">
        <f>IF(U847="","",U847+V847)</f>
        <v>0</v>
      </c>
      <c r="X847" s="38"/>
      <c r="Y847" s="63">
        <f>IF(W847="","",W847-X847)</f>
        <v>0</v>
      </c>
      <c r="Z847" s="40"/>
      <c r="AA847" s="24"/>
    </row>
    <row r="848" spans="1:27" s="25" customFormat="1" ht="18" customHeight="1" x14ac:dyDescent="0.2">
      <c r="A848" s="272"/>
      <c r="B848" s="282" t="s">
        <v>39</v>
      </c>
      <c r="C848" s="307"/>
      <c r="D848" s="270"/>
      <c r="E848" s="270"/>
      <c r="F848" s="391" t="s">
        <v>41</v>
      </c>
      <c r="G848" s="391"/>
      <c r="H848" s="270"/>
      <c r="I848" s="391" t="s">
        <v>42</v>
      </c>
      <c r="J848" s="391"/>
      <c r="K848" s="391"/>
      <c r="L848" s="284"/>
      <c r="N848" s="35"/>
      <c r="O848" s="36" t="s">
        <v>44</v>
      </c>
      <c r="P848" s="36"/>
      <c r="Q848" s="36"/>
      <c r="R848" s="36" t="str">
        <f t="shared" ref="R848" si="185">IF(Q848="","",R847-Q848)</f>
        <v/>
      </c>
      <c r="S848" s="27"/>
      <c r="T848" s="36" t="s">
        <v>44</v>
      </c>
      <c r="U848" s="63">
        <f>IF($J$1="April",Y847,Y847)</f>
        <v>0</v>
      </c>
      <c r="V848" s="38"/>
      <c r="W848" s="63">
        <f t="shared" ref="W848:W857" si="186">IF(U848="","",U848+V848)</f>
        <v>0</v>
      </c>
      <c r="X848" s="38"/>
      <c r="Y848" s="63">
        <f t="shared" ref="Y848:Y857" si="187">IF(W848="","",W848-X848)</f>
        <v>0</v>
      </c>
      <c r="Z848" s="40"/>
    </row>
    <row r="849" spans="1:27" s="25" customFormat="1" ht="18" customHeight="1" x14ac:dyDescent="0.2">
      <c r="A849" s="272"/>
      <c r="B849" s="270"/>
      <c r="C849" s="270"/>
      <c r="D849" s="270"/>
      <c r="E849" s="270"/>
      <c r="F849" s="270"/>
      <c r="G849" s="270"/>
      <c r="H849" s="285"/>
      <c r="I849" s="270"/>
      <c r="J849" s="270"/>
      <c r="K849" s="270"/>
      <c r="L849" s="286"/>
      <c r="N849" s="35"/>
      <c r="O849" s="36" t="s">
        <v>45</v>
      </c>
      <c r="P849" s="36"/>
      <c r="Q849" s="36"/>
      <c r="R849" s="36">
        <v>0</v>
      </c>
      <c r="S849" s="27"/>
      <c r="T849" s="36" t="s">
        <v>45</v>
      </c>
      <c r="U849" s="63">
        <f>IF($J$1="April",Y848,Y848)</f>
        <v>0</v>
      </c>
      <c r="V849" s="38"/>
      <c r="W849" s="63">
        <f t="shared" si="186"/>
        <v>0</v>
      </c>
      <c r="X849" s="38"/>
      <c r="Y849" s="63">
        <f t="shared" si="187"/>
        <v>0</v>
      </c>
      <c r="Z849" s="40"/>
    </row>
    <row r="850" spans="1:27" s="25" customFormat="1" ht="18" customHeight="1" x14ac:dyDescent="0.2">
      <c r="A850" s="272"/>
      <c r="B850" s="401" t="s">
        <v>40</v>
      </c>
      <c r="C850" s="402"/>
      <c r="D850" s="270"/>
      <c r="E850" s="270"/>
      <c r="F850" s="287" t="s">
        <v>62</v>
      </c>
      <c r="G850" s="288">
        <f>IF($J$1="January",U846,IF($J$1="February",U847,IF($J$1="March",U848,IF($J$1="April",U849,IF($J$1="May",U850,IF($J$1="June",U851,IF($J$1="July",U852,IF($J$1="August",U853,IF($J$1="August",U853,IF($J$1="September",U854,IF($J$1="October",U855,IF($J$1="November",U856,IF($J$1="December",U857)))))))))))))</f>
        <v>0</v>
      </c>
      <c r="H850" s="285"/>
      <c r="I850" s="289">
        <f>IF(C854&gt;0,$K$2,C852)</f>
        <v>29</v>
      </c>
      <c r="J850" s="290" t="s">
        <v>59</v>
      </c>
      <c r="K850" s="291">
        <f>K846/$K$2*I850</f>
        <v>33833.333333333336</v>
      </c>
      <c r="L850" s="292"/>
      <c r="N850" s="35"/>
      <c r="O850" s="36" t="s">
        <v>46</v>
      </c>
      <c r="P850" s="36">
        <v>30</v>
      </c>
      <c r="Q850" s="36">
        <v>1</v>
      </c>
      <c r="R850" s="36">
        <v>0</v>
      </c>
      <c r="S850" s="27"/>
      <c r="T850" s="36" t="s">
        <v>46</v>
      </c>
      <c r="U850" s="63">
        <f>IF($J$1="May",Y849,Y849)</f>
        <v>0</v>
      </c>
      <c r="V850" s="38"/>
      <c r="W850" s="63">
        <f t="shared" si="186"/>
        <v>0</v>
      </c>
      <c r="X850" s="38"/>
      <c r="Y850" s="63">
        <f t="shared" si="187"/>
        <v>0</v>
      </c>
      <c r="Z850" s="40"/>
    </row>
    <row r="851" spans="1:27" s="25" customFormat="1" ht="18" customHeight="1" x14ac:dyDescent="0.2">
      <c r="A851" s="272"/>
      <c r="B851" s="293"/>
      <c r="C851" s="293"/>
      <c r="D851" s="270"/>
      <c r="E851" s="270"/>
      <c r="F851" s="287" t="s">
        <v>18</v>
      </c>
      <c r="G851" s="288">
        <f>IF($J$1="January",V846,IF($J$1="February",V847,IF($J$1="March",V848,IF($J$1="April",V849,IF($J$1="May",V850,IF($J$1="June",V851,IF($J$1="July",V852,IF($J$1="August",V853,IF($J$1="August",V853,IF($J$1="September",V854,IF($J$1="October",V855,IF($J$1="November",V856,IF($J$1="December",V857)))))))))))))</f>
        <v>0</v>
      </c>
      <c r="H851" s="285"/>
      <c r="I851" s="306">
        <v>44</v>
      </c>
      <c r="J851" s="290" t="s">
        <v>60</v>
      </c>
      <c r="K851" s="294">
        <f>K846/$K$2/8*I851</f>
        <v>6416.666666666667</v>
      </c>
      <c r="L851" s="295"/>
      <c r="N851" s="35"/>
      <c r="O851" s="36" t="s">
        <v>47</v>
      </c>
      <c r="P851" s="36">
        <v>29</v>
      </c>
      <c r="Q851" s="36">
        <v>1</v>
      </c>
      <c r="R851" s="36">
        <f t="shared" ref="R851:R857" si="188">IF(Q851="","",R850-Q851)</f>
        <v>-1</v>
      </c>
      <c r="S851" s="27"/>
      <c r="T851" s="36" t="s">
        <v>47</v>
      </c>
      <c r="U851" s="63">
        <f>IF($J$1="May",Y850,Y850)</f>
        <v>0</v>
      </c>
      <c r="V851" s="38"/>
      <c r="W851" s="63">
        <f t="shared" si="186"/>
        <v>0</v>
      </c>
      <c r="X851" s="38"/>
      <c r="Y851" s="63">
        <f t="shared" si="187"/>
        <v>0</v>
      </c>
      <c r="Z851" s="40"/>
    </row>
    <row r="852" spans="1:27" s="25" customFormat="1" ht="18" customHeight="1" x14ac:dyDescent="0.2">
      <c r="A852" s="272"/>
      <c r="B852" s="287" t="s">
        <v>7</v>
      </c>
      <c r="C852" s="293">
        <f>IF($J$1="January",P846,IF($J$1="February",P847,IF($J$1="March",P848,IF($J$1="April",P849,IF($J$1="May",P850,IF($J$1="June",P851,IF($J$1="July",P852,IF($J$1="August",P853,IF($J$1="August",P853,IF($J$1="September",P854,IF($J$1="October",P855,IF($J$1="November",P856,IF($J$1="December",P857)))))))))))))</f>
        <v>29</v>
      </c>
      <c r="D852" s="270"/>
      <c r="E852" s="270"/>
      <c r="F852" s="287" t="s">
        <v>63</v>
      </c>
      <c r="G852" s="288">
        <f>IF($J$1="January",W846,IF($J$1="February",W847,IF($J$1="March",W848,IF($J$1="April",W849,IF($J$1="May",W850,IF($J$1="June",W851,IF($J$1="July",W852,IF($J$1="August",W853,IF($J$1="August",W853,IF($J$1="September",W854,IF($J$1="October",W855,IF($J$1="November",W856,IF($J$1="December",W857)))))))))))))</f>
        <v>0</v>
      </c>
      <c r="H852" s="285"/>
      <c r="I852" s="389" t="s">
        <v>67</v>
      </c>
      <c r="J852" s="390"/>
      <c r="K852" s="294">
        <f>K850+K851</f>
        <v>40250</v>
      </c>
      <c r="L852" s="295"/>
      <c r="N852" s="35"/>
      <c r="O852" s="36" t="s">
        <v>48</v>
      </c>
      <c r="P852" s="36"/>
      <c r="Q852" s="36"/>
      <c r="R852" s="36" t="str">
        <f t="shared" si="188"/>
        <v/>
      </c>
      <c r="S852" s="27"/>
      <c r="T852" s="36" t="s">
        <v>48</v>
      </c>
      <c r="U852" s="63">
        <f>IF($J$1="May",Y851,Y851)</f>
        <v>0</v>
      </c>
      <c r="V852" s="38"/>
      <c r="W852" s="63">
        <f t="shared" si="186"/>
        <v>0</v>
      </c>
      <c r="X852" s="38"/>
      <c r="Y852" s="63">
        <f t="shared" si="187"/>
        <v>0</v>
      </c>
      <c r="Z852" s="40"/>
    </row>
    <row r="853" spans="1:27" s="25" customFormat="1" ht="18" customHeight="1" x14ac:dyDescent="0.2">
      <c r="A853" s="272"/>
      <c r="B853" s="287" t="s">
        <v>6</v>
      </c>
      <c r="C853" s="293">
        <f>IF($J$1="January",Q846,IF($J$1="February",Q847,IF($J$1="March",Q848,IF($J$1="April",Q849,IF($J$1="May",Q850,IF($J$1="June",Q851,IF($J$1="July",Q852,IF($J$1="August",Q853,IF($J$1="August",Q853,IF($J$1="September",Q854,IF($J$1="October",Q855,IF($J$1="November",Q856,IF($J$1="December",Q857)))))))))))))</f>
        <v>1</v>
      </c>
      <c r="D853" s="270"/>
      <c r="E853" s="270"/>
      <c r="F853" s="287" t="s">
        <v>19</v>
      </c>
      <c r="G853" s="288">
        <f>IF($J$1="January",X846,IF($J$1="February",X847,IF($J$1="March",X848,IF($J$1="April",X849,IF($J$1="May",X850,IF($J$1="June",X851,IF($J$1="July",X852,IF($J$1="August",X853,IF($J$1="August",X853,IF($J$1="September",X854,IF($J$1="October",X855,IF($J$1="November",X856,IF($J$1="December",X857)))))))))))))</f>
        <v>0</v>
      </c>
      <c r="H853" s="285"/>
      <c r="I853" s="389" t="s">
        <v>68</v>
      </c>
      <c r="J853" s="390"/>
      <c r="K853" s="288">
        <f>G853</f>
        <v>0</v>
      </c>
      <c r="L853" s="296"/>
      <c r="N853" s="35"/>
      <c r="O853" s="36" t="s">
        <v>49</v>
      </c>
      <c r="P853" s="36"/>
      <c r="Q853" s="36"/>
      <c r="R853" s="36" t="str">
        <f t="shared" si="188"/>
        <v/>
      </c>
      <c r="S853" s="27"/>
      <c r="T853" s="36" t="s">
        <v>49</v>
      </c>
      <c r="U853" s="63" t="str">
        <f>IF($J$1="September",Y852,"")</f>
        <v/>
      </c>
      <c r="V853" s="38"/>
      <c r="W853" s="63" t="str">
        <f t="shared" si="186"/>
        <v/>
      </c>
      <c r="X853" s="38"/>
      <c r="Y853" s="63" t="str">
        <f t="shared" si="187"/>
        <v/>
      </c>
      <c r="Z853" s="40"/>
    </row>
    <row r="854" spans="1:27" s="25" customFormat="1" ht="18" customHeight="1" x14ac:dyDescent="0.2">
      <c r="A854" s="272"/>
      <c r="B854" s="304" t="s">
        <v>66</v>
      </c>
      <c r="C854" s="293">
        <f>IF($J$1="January",R846,IF($J$1="February",R847,IF($J$1="March",R848,IF($J$1="April",R849,IF($J$1="May",R850,IF($J$1="June",R851,IF($J$1="July",R852,IF($J$1="August",R853,IF($J$1="August",R853,IF($J$1="September",R854,IF($J$1="October",R855,IF($J$1="November",R856,IF($J$1="December",R857)))))))))))))</f>
        <v>-1</v>
      </c>
      <c r="D854" s="270"/>
      <c r="E854" s="270"/>
      <c r="F854" s="287" t="s">
        <v>65</v>
      </c>
      <c r="G854" s="288">
        <f>IF($J$1="January",Y846,IF($J$1="February",Y847,IF($J$1="March",Y848,IF($J$1="April",Y849,IF($J$1="May",Y850,IF($J$1="June",Y851,IF($J$1="July",Y852,IF($J$1="August",Y853,IF($J$1="August",Y853,IF($J$1="September",Y854,IF($J$1="October",Y855,IF($J$1="November",Y856,IF($J$1="December",Y857)))))))))))))</f>
        <v>0</v>
      </c>
      <c r="H854" s="270"/>
      <c r="I854" s="391" t="s">
        <v>61</v>
      </c>
      <c r="J854" s="391"/>
      <c r="K854" s="229">
        <f>K852-K853</f>
        <v>40250</v>
      </c>
      <c r="L854" s="297"/>
      <c r="N854" s="35"/>
      <c r="O854" s="36" t="s">
        <v>54</v>
      </c>
      <c r="P854" s="36"/>
      <c r="Q854" s="36"/>
      <c r="R854" s="36" t="str">
        <f t="shared" si="188"/>
        <v/>
      </c>
      <c r="S854" s="27"/>
      <c r="T854" s="36" t="s">
        <v>54</v>
      </c>
      <c r="U854" s="63" t="str">
        <f>IF($J$1="September",Y853,"")</f>
        <v/>
      </c>
      <c r="V854" s="38"/>
      <c r="W854" s="63" t="str">
        <f t="shared" si="186"/>
        <v/>
      </c>
      <c r="X854" s="38"/>
      <c r="Y854" s="63" t="str">
        <f t="shared" si="187"/>
        <v/>
      </c>
      <c r="Z854" s="40"/>
    </row>
    <row r="855" spans="1:27" s="25" customFormat="1" ht="18" customHeight="1" x14ac:dyDescent="0.2">
      <c r="A855" s="272"/>
      <c r="B855" s="270"/>
      <c r="C855" s="270"/>
      <c r="D855" s="270"/>
      <c r="E855" s="270"/>
      <c r="F855" s="270"/>
      <c r="G855" s="270"/>
      <c r="H855" s="270"/>
      <c r="I855" s="392"/>
      <c r="J855" s="392"/>
      <c r="K855" s="352"/>
      <c r="L855" s="284"/>
      <c r="N855" s="35"/>
      <c r="O855" s="36" t="s">
        <v>50</v>
      </c>
      <c r="P855" s="36"/>
      <c r="Q855" s="36"/>
      <c r="R855" s="36" t="str">
        <f t="shared" si="188"/>
        <v/>
      </c>
      <c r="S855" s="27"/>
      <c r="T855" s="36" t="s">
        <v>50</v>
      </c>
      <c r="U855" s="63" t="str">
        <f>IF($J$1="October",Y854,"")</f>
        <v/>
      </c>
      <c r="V855" s="38"/>
      <c r="W855" s="63" t="str">
        <f t="shared" si="186"/>
        <v/>
      </c>
      <c r="X855" s="38"/>
      <c r="Y855" s="63" t="str">
        <f t="shared" si="187"/>
        <v/>
      </c>
      <c r="Z855" s="40"/>
    </row>
    <row r="856" spans="1:27" s="25" customFormat="1" ht="18" customHeight="1" x14ac:dyDescent="0.3">
      <c r="A856" s="272"/>
      <c r="B856" s="268"/>
      <c r="C856" s="268"/>
      <c r="D856" s="268"/>
      <c r="E856" s="268"/>
      <c r="F856" s="268"/>
      <c r="G856" s="268"/>
      <c r="H856" s="268"/>
      <c r="I856" s="392"/>
      <c r="J856" s="392"/>
      <c r="K856" s="352"/>
      <c r="L856" s="284"/>
      <c r="N856" s="35"/>
      <c r="O856" s="36" t="s">
        <v>55</v>
      </c>
      <c r="P856" s="36"/>
      <c r="Q856" s="36"/>
      <c r="R856" s="36" t="str">
        <f t="shared" si="188"/>
        <v/>
      </c>
      <c r="S856" s="27"/>
      <c r="T856" s="36" t="s">
        <v>55</v>
      </c>
      <c r="U856" s="63" t="str">
        <f>IF($J$1="November",Y855,"")</f>
        <v/>
      </c>
      <c r="V856" s="38"/>
      <c r="W856" s="63" t="str">
        <f t="shared" si="186"/>
        <v/>
      </c>
      <c r="X856" s="38"/>
      <c r="Y856" s="63" t="str">
        <f t="shared" si="187"/>
        <v/>
      </c>
      <c r="Z856" s="40"/>
    </row>
    <row r="857" spans="1:27" s="25" customFormat="1" ht="18" customHeight="1" x14ac:dyDescent="0.3">
      <c r="A857" s="272"/>
      <c r="B857" s="268"/>
      <c r="C857" s="268"/>
      <c r="D857" s="268"/>
      <c r="E857" s="268"/>
      <c r="F857" s="268"/>
      <c r="G857" s="268"/>
      <c r="H857" s="268"/>
      <c r="I857" s="268"/>
      <c r="J857" s="268"/>
      <c r="K857" s="268"/>
      <c r="L857" s="284"/>
      <c r="N857" s="35"/>
      <c r="O857" s="36" t="s">
        <v>56</v>
      </c>
      <c r="P857" s="36"/>
      <c r="Q857" s="36"/>
      <c r="R857" s="36" t="str">
        <f t="shared" si="188"/>
        <v/>
      </c>
      <c r="S857" s="27"/>
      <c r="T857" s="36" t="s">
        <v>56</v>
      </c>
      <c r="U857" s="63" t="str">
        <f>IF($J$1="Dec",Y856,"")</f>
        <v/>
      </c>
      <c r="V857" s="38"/>
      <c r="W857" s="63" t="str">
        <f t="shared" si="186"/>
        <v/>
      </c>
      <c r="X857" s="38"/>
      <c r="Y857" s="63" t="str">
        <f t="shared" si="187"/>
        <v/>
      </c>
      <c r="Z857" s="40"/>
    </row>
    <row r="858" spans="1:27" s="25" customFormat="1" ht="18" customHeight="1" thickBot="1" x14ac:dyDescent="0.25">
      <c r="A858" s="298"/>
      <c r="B858" s="305"/>
      <c r="C858" s="305"/>
      <c r="D858" s="305"/>
      <c r="E858" s="305"/>
      <c r="F858" s="305"/>
      <c r="G858" s="305"/>
      <c r="H858" s="305"/>
      <c r="I858" s="305"/>
      <c r="J858" s="305"/>
      <c r="K858" s="305"/>
      <c r="L858" s="300"/>
      <c r="N858" s="41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3"/>
    </row>
    <row r="859" spans="1:27" ht="27.75" customHeight="1" thickBot="1" x14ac:dyDescent="0.35"/>
    <row r="860" spans="1:27" s="25" customFormat="1" ht="18" customHeight="1" x14ac:dyDescent="0.2">
      <c r="A860" s="393" t="s">
        <v>38</v>
      </c>
      <c r="B860" s="394"/>
      <c r="C860" s="394"/>
      <c r="D860" s="394"/>
      <c r="E860" s="394"/>
      <c r="F860" s="394"/>
      <c r="G860" s="394"/>
      <c r="H860" s="394"/>
      <c r="I860" s="394"/>
      <c r="J860" s="394"/>
      <c r="K860" s="394"/>
      <c r="L860" s="395"/>
      <c r="M860" s="24"/>
      <c r="N860" s="28"/>
      <c r="O860" s="396" t="s">
        <v>40</v>
      </c>
      <c r="P860" s="397"/>
      <c r="Q860" s="397"/>
      <c r="R860" s="398"/>
      <c r="S860" s="29"/>
      <c r="T860" s="396" t="s">
        <v>41</v>
      </c>
      <c r="U860" s="397"/>
      <c r="V860" s="397"/>
      <c r="W860" s="397"/>
      <c r="X860" s="397"/>
      <c r="Y860" s="398"/>
      <c r="Z860" s="30"/>
      <c r="AA860" s="24"/>
    </row>
    <row r="861" spans="1:27" s="25" customFormat="1" ht="18" customHeight="1" x14ac:dyDescent="0.2">
      <c r="A861" s="272"/>
      <c r="B861" s="270"/>
      <c r="C861" s="399" t="s">
        <v>202</v>
      </c>
      <c r="D861" s="399"/>
      <c r="E861" s="399"/>
      <c r="F861" s="399"/>
      <c r="G861" s="273" t="str">
        <f>$J$1</f>
        <v>June</v>
      </c>
      <c r="H861" s="400">
        <f>$K$1</f>
        <v>2024</v>
      </c>
      <c r="I861" s="400"/>
      <c r="J861" s="270"/>
      <c r="K861" s="274"/>
      <c r="L861" s="275"/>
      <c r="M861" s="26"/>
      <c r="N861" s="31"/>
      <c r="O861" s="32" t="s">
        <v>51</v>
      </c>
      <c r="P861" s="32" t="s">
        <v>7</v>
      </c>
      <c r="Q861" s="32" t="s">
        <v>6</v>
      </c>
      <c r="R861" s="32" t="s">
        <v>52</v>
      </c>
      <c r="S861" s="33"/>
      <c r="T861" s="32" t="s">
        <v>51</v>
      </c>
      <c r="U861" s="32" t="s">
        <v>53</v>
      </c>
      <c r="V861" s="32" t="s">
        <v>18</v>
      </c>
      <c r="W861" s="32" t="s">
        <v>17</v>
      </c>
      <c r="X861" s="32" t="s">
        <v>19</v>
      </c>
      <c r="Y861" s="32" t="s">
        <v>57</v>
      </c>
      <c r="Z861" s="34"/>
      <c r="AA861" s="26"/>
    </row>
    <row r="862" spans="1:27" s="25" customFormat="1" ht="18" customHeight="1" x14ac:dyDescent="0.2">
      <c r="A862" s="272"/>
      <c r="B862" s="270"/>
      <c r="C862" s="270"/>
      <c r="D862" s="276"/>
      <c r="E862" s="276"/>
      <c r="F862" s="276"/>
      <c r="G862" s="276"/>
      <c r="H862" s="276"/>
      <c r="I862" s="270"/>
      <c r="J862" s="277" t="s">
        <v>1</v>
      </c>
      <c r="K862" s="278">
        <v>60000</v>
      </c>
      <c r="L862" s="279"/>
      <c r="N862" s="35"/>
      <c r="O862" s="36" t="s">
        <v>43</v>
      </c>
      <c r="P862" s="36"/>
      <c r="Q862" s="36"/>
      <c r="R862" s="36"/>
      <c r="S862" s="37"/>
      <c r="T862" s="36" t="s">
        <v>43</v>
      </c>
      <c r="U862" s="38"/>
      <c r="V862" s="38"/>
      <c r="W862" s="38">
        <f>V862+U862</f>
        <v>0</v>
      </c>
      <c r="X862" s="38"/>
      <c r="Y862" s="38">
        <f>W862-X862</f>
        <v>0</v>
      </c>
      <c r="Z862" s="34"/>
    </row>
    <row r="863" spans="1:27" s="25" customFormat="1" ht="18" customHeight="1" x14ac:dyDescent="0.2">
      <c r="A863" s="272"/>
      <c r="B863" s="270" t="s">
        <v>0</v>
      </c>
      <c r="C863" s="269" t="s">
        <v>242</v>
      </c>
      <c r="D863" s="270"/>
      <c r="E863" s="270"/>
      <c r="F863" s="270"/>
      <c r="G863" s="270"/>
      <c r="H863" s="280"/>
      <c r="I863" s="276"/>
      <c r="J863" s="270"/>
      <c r="K863" s="270"/>
      <c r="L863" s="281"/>
      <c r="M863" s="24"/>
      <c r="N863" s="39"/>
      <c r="O863" s="36" t="s">
        <v>69</v>
      </c>
      <c r="P863" s="36"/>
      <c r="Q863" s="36"/>
      <c r="R863" s="36" t="str">
        <f>IF(Q863="","",R862-Q863)</f>
        <v/>
      </c>
      <c r="S863" s="27"/>
      <c r="T863" s="36" t="s">
        <v>69</v>
      </c>
      <c r="U863" s="63">
        <f>Y862</f>
        <v>0</v>
      </c>
      <c r="V863" s="38"/>
      <c r="W863" s="63">
        <f>IF(U863="","",U863+V863)</f>
        <v>0</v>
      </c>
      <c r="X863" s="38"/>
      <c r="Y863" s="63">
        <f>IF(W863="","",W863-X863)</f>
        <v>0</v>
      </c>
      <c r="Z863" s="40"/>
      <c r="AA863" s="24"/>
    </row>
    <row r="864" spans="1:27" s="25" customFormat="1" ht="18" customHeight="1" x14ac:dyDescent="0.2">
      <c r="A864" s="272"/>
      <c r="B864" s="282" t="s">
        <v>39</v>
      </c>
      <c r="C864" s="309">
        <v>45413</v>
      </c>
      <c r="D864" s="270"/>
      <c r="E864" s="270"/>
      <c r="F864" s="391" t="s">
        <v>41</v>
      </c>
      <c r="G864" s="391"/>
      <c r="H864" s="270"/>
      <c r="I864" s="391" t="s">
        <v>42</v>
      </c>
      <c r="J864" s="391"/>
      <c r="K864" s="391"/>
      <c r="L864" s="284"/>
      <c r="N864" s="35"/>
      <c r="O864" s="36" t="s">
        <v>44</v>
      </c>
      <c r="P864" s="36"/>
      <c r="Q864" s="36"/>
      <c r="R864" s="36" t="str">
        <f t="shared" ref="R864" si="189">IF(Q864="","",R863-Q864)</f>
        <v/>
      </c>
      <c r="S864" s="27"/>
      <c r="T864" s="36" t="s">
        <v>44</v>
      </c>
      <c r="U864" s="63">
        <f>IF($J$1="April",Y863,Y863)</f>
        <v>0</v>
      </c>
      <c r="V864" s="38"/>
      <c r="W864" s="63">
        <f t="shared" ref="W864:W873" si="190">IF(U864="","",U864+V864)</f>
        <v>0</v>
      </c>
      <c r="X864" s="38"/>
      <c r="Y864" s="63">
        <f t="shared" ref="Y864:Y873" si="191">IF(W864="","",W864-X864)</f>
        <v>0</v>
      </c>
      <c r="Z864" s="40"/>
    </row>
    <row r="865" spans="1:26" s="25" customFormat="1" ht="18" customHeight="1" x14ac:dyDescent="0.2">
      <c r="A865" s="272"/>
      <c r="B865" s="270"/>
      <c r="C865" s="270"/>
      <c r="D865" s="270"/>
      <c r="E865" s="270"/>
      <c r="F865" s="270"/>
      <c r="G865" s="270"/>
      <c r="H865" s="285"/>
      <c r="I865" s="270"/>
      <c r="J865" s="270"/>
      <c r="K865" s="270"/>
      <c r="L865" s="286"/>
      <c r="N865" s="35"/>
      <c r="O865" s="36" t="s">
        <v>45</v>
      </c>
      <c r="P865" s="36"/>
      <c r="Q865" s="36"/>
      <c r="R865" s="36">
        <v>0</v>
      </c>
      <c r="S865" s="27"/>
      <c r="T865" s="36" t="s">
        <v>45</v>
      </c>
      <c r="U865" s="63">
        <f>IF($J$1="April",Y864,Y864)</f>
        <v>0</v>
      </c>
      <c r="V865" s="38"/>
      <c r="W865" s="63">
        <f t="shared" si="190"/>
        <v>0</v>
      </c>
      <c r="X865" s="38"/>
      <c r="Y865" s="63">
        <f t="shared" si="191"/>
        <v>0</v>
      </c>
      <c r="Z865" s="40"/>
    </row>
    <row r="866" spans="1:26" s="25" customFormat="1" ht="18" customHeight="1" x14ac:dyDescent="0.2">
      <c r="A866" s="272"/>
      <c r="B866" s="401" t="s">
        <v>40</v>
      </c>
      <c r="C866" s="402"/>
      <c r="D866" s="270"/>
      <c r="E866" s="270"/>
      <c r="F866" s="287" t="s">
        <v>62</v>
      </c>
      <c r="G866" s="288">
        <f>IF($J$1="January",U862,IF($J$1="February",U863,IF($J$1="March",U864,IF($J$1="April",U865,IF($J$1="May",U866,IF($J$1="June",U867,IF($J$1="July",U868,IF($J$1="August",U869,IF($J$1="August",U869,IF($J$1="September",U870,IF($J$1="October",U871,IF($J$1="November",U872,IF($J$1="December",U873)))))))))))))</f>
        <v>0</v>
      </c>
      <c r="H866" s="285"/>
      <c r="I866" s="289">
        <f>IF(C870&gt;0,$K$2,C868)</f>
        <v>28</v>
      </c>
      <c r="J866" s="290" t="s">
        <v>59</v>
      </c>
      <c r="K866" s="291">
        <f>K862/$K$2*I866</f>
        <v>56000</v>
      </c>
      <c r="L866" s="292"/>
      <c r="N866" s="35"/>
      <c r="O866" s="36" t="s">
        <v>46</v>
      </c>
      <c r="P866" s="36">
        <v>30</v>
      </c>
      <c r="Q866" s="36">
        <v>1</v>
      </c>
      <c r="R866" s="36">
        <v>0</v>
      </c>
      <c r="S866" s="27"/>
      <c r="T866" s="36" t="s">
        <v>46</v>
      </c>
      <c r="U866" s="63">
        <f>IF($J$1="May",Y865,Y865)</f>
        <v>0</v>
      </c>
      <c r="V866" s="38"/>
      <c r="W866" s="63">
        <f t="shared" si="190"/>
        <v>0</v>
      </c>
      <c r="X866" s="38"/>
      <c r="Y866" s="63">
        <f t="shared" si="191"/>
        <v>0</v>
      </c>
      <c r="Z866" s="40"/>
    </row>
    <row r="867" spans="1:26" s="25" customFormat="1" ht="18" customHeight="1" x14ac:dyDescent="0.2">
      <c r="A867" s="272"/>
      <c r="B867" s="293"/>
      <c r="C867" s="293"/>
      <c r="D867" s="270"/>
      <c r="E867" s="270"/>
      <c r="F867" s="287" t="s">
        <v>18</v>
      </c>
      <c r="G867" s="288">
        <f>IF($J$1="January",V862,IF($J$1="February",V863,IF($J$1="March",V864,IF($J$1="April",V865,IF($J$1="May",V866,IF($J$1="June",V867,IF($J$1="July",V868,IF($J$1="August",V869,IF($J$1="August",V869,IF($J$1="September",V870,IF($J$1="October",V871,IF($J$1="November",V872,IF($J$1="December",V873)))))))))))))</f>
        <v>0</v>
      </c>
      <c r="H867" s="285"/>
      <c r="I867" s="306"/>
      <c r="J867" s="290" t="s">
        <v>60</v>
      </c>
      <c r="K867" s="294">
        <f>K862/$K$2/8*I867</f>
        <v>0</v>
      </c>
      <c r="L867" s="295"/>
      <c r="N867" s="35"/>
      <c r="O867" s="36" t="s">
        <v>47</v>
      </c>
      <c r="P867" s="36">
        <v>28</v>
      </c>
      <c r="Q867" s="36">
        <v>2</v>
      </c>
      <c r="R867" s="36">
        <v>0</v>
      </c>
      <c r="S867" s="27"/>
      <c r="T867" s="36" t="s">
        <v>47</v>
      </c>
      <c r="U867" s="63">
        <f>IF($J$1="May",Y866,Y866)</f>
        <v>0</v>
      </c>
      <c r="V867" s="38"/>
      <c r="W867" s="63">
        <f t="shared" si="190"/>
        <v>0</v>
      </c>
      <c r="X867" s="38"/>
      <c r="Y867" s="63">
        <f t="shared" si="191"/>
        <v>0</v>
      </c>
      <c r="Z867" s="40"/>
    </row>
    <row r="868" spans="1:26" s="25" customFormat="1" ht="18" customHeight="1" x14ac:dyDescent="0.2">
      <c r="A868" s="272"/>
      <c r="B868" s="287" t="s">
        <v>7</v>
      </c>
      <c r="C868" s="293">
        <f>IF($J$1="January",P862,IF($J$1="February",P863,IF($J$1="March",P864,IF($J$1="April",P865,IF($J$1="May",P866,IF($J$1="June",P867,IF($J$1="July",P868,IF($J$1="August",P869,IF($J$1="August",P869,IF($J$1="September",P870,IF($J$1="October",P871,IF($J$1="November",P872,IF($J$1="December",P873)))))))))))))</f>
        <v>28</v>
      </c>
      <c r="D868" s="270"/>
      <c r="E868" s="270"/>
      <c r="F868" s="287" t="s">
        <v>63</v>
      </c>
      <c r="G868" s="288">
        <f>IF($J$1="January",W862,IF($J$1="February",W863,IF($J$1="March",W864,IF($J$1="April",W865,IF($J$1="May",W866,IF($J$1="June",W867,IF($J$1="July",W868,IF($J$1="August",W869,IF($J$1="August",W869,IF($J$1="September",W870,IF($J$1="October",W871,IF($J$1="November",W872,IF($J$1="December",W873)))))))))))))</f>
        <v>0</v>
      </c>
      <c r="H868" s="285"/>
      <c r="I868" s="389" t="s">
        <v>67</v>
      </c>
      <c r="J868" s="390"/>
      <c r="K868" s="294">
        <f>K866+K867</f>
        <v>56000</v>
      </c>
      <c r="L868" s="295"/>
      <c r="N868" s="35"/>
      <c r="O868" s="36" t="s">
        <v>48</v>
      </c>
      <c r="P868" s="36"/>
      <c r="Q868" s="36"/>
      <c r="R868" s="36" t="str">
        <f t="shared" ref="R867:R873" si="192">IF(Q868="","",R867-Q868)</f>
        <v/>
      </c>
      <c r="S868" s="27"/>
      <c r="T868" s="36" t="s">
        <v>48</v>
      </c>
      <c r="U868" s="63">
        <f>IF($J$1="May",Y867,Y867)</f>
        <v>0</v>
      </c>
      <c r="V868" s="38"/>
      <c r="W868" s="63">
        <f t="shared" si="190"/>
        <v>0</v>
      </c>
      <c r="X868" s="38"/>
      <c r="Y868" s="63">
        <f t="shared" si="191"/>
        <v>0</v>
      </c>
      <c r="Z868" s="40"/>
    </row>
    <row r="869" spans="1:26" s="25" customFormat="1" ht="18" customHeight="1" x14ac:dyDescent="0.2">
      <c r="A869" s="272"/>
      <c r="B869" s="287" t="s">
        <v>6</v>
      </c>
      <c r="C869" s="293">
        <f>IF($J$1="January",Q862,IF($J$1="February",Q863,IF($J$1="March",Q864,IF($J$1="April",Q865,IF($J$1="May",Q866,IF($J$1="June",Q867,IF($J$1="July",Q868,IF($J$1="August",Q869,IF($J$1="August",Q869,IF($J$1="September",Q870,IF($J$1="October",Q871,IF($J$1="November",Q872,IF($J$1="December",Q873)))))))))))))</f>
        <v>2</v>
      </c>
      <c r="D869" s="270"/>
      <c r="E869" s="270"/>
      <c r="F869" s="287" t="s">
        <v>19</v>
      </c>
      <c r="G869" s="288">
        <f>IF($J$1="January",X862,IF($J$1="February",X863,IF($J$1="March",X864,IF($J$1="April",X865,IF($J$1="May",X866,IF($J$1="June",X867,IF($J$1="July",X868,IF($J$1="August",X869,IF($J$1="August",X869,IF($J$1="September",X870,IF($J$1="October",X871,IF($J$1="November",X872,IF($J$1="December",X873)))))))))))))</f>
        <v>0</v>
      </c>
      <c r="H869" s="285"/>
      <c r="I869" s="389" t="s">
        <v>68</v>
      </c>
      <c r="J869" s="390"/>
      <c r="K869" s="288">
        <f>G869</f>
        <v>0</v>
      </c>
      <c r="L869" s="296"/>
      <c r="N869" s="35"/>
      <c r="O869" s="36" t="s">
        <v>49</v>
      </c>
      <c r="P869" s="36"/>
      <c r="Q869" s="36"/>
      <c r="R869" s="36" t="str">
        <f t="shared" si="192"/>
        <v/>
      </c>
      <c r="S869" s="27"/>
      <c r="T869" s="36" t="s">
        <v>49</v>
      </c>
      <c r="U869" s="63" t="str">
        <f>IF($J$1="September",Y868,"")</f>
        <v/>
      </c>
      <c r="V869" s="38"/>
      <c r="W869" s="63" t="str">
        <f t="shared" si="190"/>
        <v/>
      </c>
      <c r="X869" s="38"/>
      <c r="Y869" s="63" t="str">
        <f t="shared" si="191"/>
        <v/>
      </c>
      <c r="Z869" s="40"/>
    </row>
    <row r="870" spans="1:26" s="25" customFormat="1" ht="18" customHeight="1" x14ac:dyDescent="0.2">
      <c r="A870" s="272"/>
      <c r="B870" s="304" t="s">
        <v>66</v>
      </c>
      <c r="C870" s="293">
        <f>IF($J$1="January",R862,IF($J$1="February",R863,IF($J$1="March",R864,IF($J$1="April",R865,IF($J$1="May",R866,IF($J$1="June",R867,IF($J$1="July",R868,IF($J$1="August",R869,IF($J$1="August",R869,IF($J$1="September",R870,IF($J$1="October",R871,IF($J$1="November",R872,IF($J$1="December",R873)))))))))))))</f>
        <v>0</v>
      </c>
      <c r="D870" s="270"/>
      <c r="E870" s="270"/>
      <c r="F870" s="287" t="s">
        <v>65</v>
      </c>
      <c r="G870" s="288">
        <f>IF($J$1="January",Y862,IF($J$1="February",Y863,IF($J$1="March",Y864,IF($J$1="April",Y865,IF($J$1="May",Y866,IF($J$1="June",Y867,IF($J$1="July",Y868,IF($J$1="August",Y869,IF($J$1="August",Y869,IF($J$1="September",Y870,IF($J$1="October",Y871,IF($J$1="November",Y872,IF($J$1="December",Y873)))))))))))))</f>
        <v>0</v>
      </c>
      <c r="H870" s="270"/>
      <c r="I870" s="391" t="s">
        <v>61</v>
      </c>
      <c r="J870" s="391"/>
      <c r="K870" s="229">
        <f>K868-K869</f>
        <v>56000</v>
      </c>
      <c r="L870" s="297"/>
      <c r="N870" s="35"/>
      <c r="O870" s="36" t="s">
        <v>54</v>
      </c>
      <c r="P870" s="36"/>
      <c r="Q870" s="36"/>
      <c r="R870" s="36" t="str">
        <f t="shared" si="192"/>
        <v/>
      </c>
      <c r="S870" s="27"/>
      <c r="T870" s="36" t="s">
        <v>54</v>
      </c>
      <c r="U870" s="63" t="str">
        <f>IF($J$1="September",Y869,"")</f>
        <v/>
      </c>
      <c r="V870" s="38"/>
      <c r="W870" s="63" t="str">
        <f t="shared" si="190"/>
        <v/>
      </c>
      <c r="X870" s="38"/>
      <c r="Y870" s="63" t="str">
        <f t="shared" si="191"/>
        <v/>
      </c>
      <c r="Z870" s="40"/>
    </row>
    <row r="871" spans="1:26" s="25" customFormat="1" ht="18" customHeight="1" x14ac:dyDescent="0.2">
      <c r="A871" s="272"/>
      <c r="B871" s="270"/>
      <c r="C871" s="270"/>
      <c r="D871" s="270"/>
      <c r="E871" s="270"/>
      <c r="F871" s="270"/>
      <c r="G871" s="270"/>
      <c r="H871" s="270"/>
      <c r="I871" s="392"/>
      <c r="J871" s="392"/>
      <c r="K871" s="352"/>
      <c r="L871" s="284"/>
      <c r="N871" s="35"/>
      <c r="O871" s="36" t="s">
        <v>50</v>
      </c>
      <c r="P871" s="36"/>
      <c r="Q871" s="36"/>
      <c r="R871" s="36" t="str">
        <f t="shared" si="192"/>
        <v/>
      </c>
      <c r="S871" s="27"/>
      <c r="T871" s="36" t="s">
        <v>50</v>
      </c>
      <c r="U871" s="63" t="str">
        <f>IF($J$1="October",Y870,"")</f>
        <v/>
      </c>
      <c r="V871" s="38"/>
      <c r="W871" s="63" t="str">
        <f t="shared" si="190"/>
        <v/>
      </c>
      <c r="X871" s="38"/>
      <c r="Y871" s="63" t="str">
        <f t="shared" si="191"/>
        <v/>
      </c>
      <c r="Z871" s="40"/>
    </row>
    <row r="872" spans="1:26" s="25" customFormat="1" ht="18" customHeight="1" x14ac:dyDescent="0.3">
      <c r="A872" s="272"/>
      <c r="B872" s="268"/>
      <c r="C872" s="268"/>
      <c r="D872" s="268"/>
      <c r="E872" s="268"/>
      <c r="F872" s="268"/>
      <c r="G872" s="268"/>
      <c r="H872" s="268"/>
      <c r="I872" s="392"/>
      <c r="J872" s="392"/>
      <c r="K872" s="352"/>
      <c r="L872" s="284"/>
      <c r="N872" s="35"/>
      <c r="O872" s="36" t="s">
        <v>55</v>
      </c>
      <c r="P872" s="36"/>
      <c r="Q872" s="36"/>
      <c r="R872" s="36" t="str">
        <f t="shared" si="192"/>
        <v/>
      </c>
      <c r="S872" s="27"/>
      <c r="T872" s="36" t="s">
        <v>55</v>
      </c>
      <c r="U872" s="63" t="str">
        <f>IF($J$1="November",Y871,"")</f>
        <v/>
      </c>
      <c r="V872" s="38"/>
      <c r="W872" s="63" t="str">
        <f t="shared" si="190"/>
        <v/>
      </c>
      <c r="X872" s="38"/>
      <c r="Y872" s="63" t="str">
        <f t="shared" si="191"/>
        <v/>
      </c>
      <c r="Z872" s="40"/>
    </row>
    <row r="873" spans="1:26" s="25" customFormat="1" ht="18" customHeight="1" x14ac:dyDescent="0.3">
      <c r="A873" s="272"/>
      <c r="B873" s="268"/>
      <c r="C873" s="268"/>
      <c r="D873" s="268"/>
      <c r="E873" s="268"/>
      <c r="F873" s="268"/>
      <c r="G873" s="268"/>
      <c r="H873" s="268"/>
      <c r="I873" s="268"/>
      <c r="J873" s="268"/>
      <c r="K873" s="268"/>
      <c r="L873" s="284"/>
      <c r="N873" s="35"/>
      <c r="O873" s="36" t="s">
        <v>56</v>
      </c>
      <c r="P873" s="36"/>
      <c r="Q873" s="36"/>
      <c r="R873" s="36" t="str">
        <f t="shared" si="192"/>
        <v/>
      </c>
      <c r="S873" s="27"/>
      <c r="T873" s="36" t="s">
        <v>56</v>
      </c>
      <c r="U873" s="63" t="str">
        <f>IF($J$1="Dec",Y872,"")</f>
        <v/>
      </c>
      <c r="V873" s="38"/>
      <c r="W873" s="63" t="str">
        <f t="shared" si="190"/>
        <v/>
      </c>
      <c r="X873" s="38"/>
      <c r="Y873" s="63" t="str">
        <f t="shared" si="191"/>
        <v/>
      </c>
      <c r="Z873" s="40"/>
    </row>
    <row r="874" spans="1:26" s="25" customFormat="1" ht="18" customHeight="1" thickBot="1" x14ac:dyDescent="0.25">
      <c r="A874" s="298"/>
      <c r="B874" s="305"/>
      <c r="C874" s="305"/>
      <c r="D874" s="305"/>
      <c r="E874" s="305"/>
      <c r="F874" s="305"/>
      <c r="G874" s="305"/>
      <c r="H874" s="305"/>
      <c r="I874" s="305"/>
      <c r="J874" s="305"/>
      <c r="K874" s="305"/>
      <c r="L874" s="300"/>
      <c r="N874" s="41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3"/>
    </row>
    <row r="875" spans="1:26" ht="27.75" customHeight="1" x14ac:dyDescent="0.3"/>
    <row r="876" spans="1:26" ht="27.75" customHeight="1" x14ac:dyDescent="0.3"/>
    <row r="877" spans="1:26" ht="27.75" customHeight="1" x14ac:dyDescent="0.3"/>
  </sheetData>
  <mergeCells count="742">
    <mergeCell ref="I869:J869"/>
    <mergeCell ref="I870:J870"/>
    <mergeCell ref="I871:J871"/>
    <mergeCell ref="I872:J872"/>
    <mergeCell ref="A860:L860"/>
    <mergeCell ref="O860:R860"/>
    <mergeCell ref="T860:Y860"/>
    <mergeCell ref="C861:F861"/>
    <mergeCell ref="H861:I861"/>
    <mergeCell ref="F864:G864"/>
    <mergeCell ref="I864:K864"/>
    <mergeCell ref="B866:C866"/>
    <mergeCell ref="I868:J868"/>
    <mergeCell ref="I776:J776"/>
    <mergeCell ref="I790:J790"/>
    <mergeCell ref="I791:J791"/>
    <mergeCell ref="I807:J807"/>
    <mergeCell ref="I808:J808"/>
    <mergeCell ref="I823:J823"/>
    <mergeCell ref="I824:J824"/>
    <mergeCell ref="I839:J839"/>
    <mergeCell ref="I840:J840"/>
    <mergeCell ref="A812:L812"/>
    <mergeCell ref="B818:C818"/>
    <mergeCell ref="I805:J805"/>
    <mergeCell ref="A796:L796"/>
    <mergeCell ref="I804:J804"/>
    <mergeCell ref="H780:I780"/>
    <mergeCell ref="I838:J838"/>
    <mergeCell ref="I832:K832"/>
    <mergeCell ref="I837:J837"/>
    <mergeCell ref="I806:J806"/>
    <mergeCell ref="I836:J836"/>
    <mergeCell ref="A828:L828"/>
    <mergeCell ref="B834:C834"/>
    <mergeCell ref="I822:J822"/>
    <mergeCell ref="C813:F813"/>
    <mergeCell ref="I729:J729"/>
    <mergeCell ref="I744:J744"/>
    <mergeCell ref="I745:J745"/>
    <mergeCell ref="I706:K706"/>
    <mergeCell ref="I760:J760"/>
    <mergeCell ref="I761:J761"/>
    <mergeCell ref="I775:J775"/>
    <mergeCell ref="I651:J651"/>
    <mergeCell ref="I666:J666"/>
    <mergeCell ref="I667:J667"/>
    <mergeCell ref="I682:J682"/>
    <mergeCell ref="I683:J683"/>
    <mergeCell ref="I698:J698"/>
    <mergeCell ref="I699:J699"/>
    <mergeCell ref="I713:J713"/>
    <mergeCell ref="I714:J714"/>
    <mergeCell ref="I737:K737"/>
    <mergeCell ref="H734:I734"/>
    <mergeCell ref="H718:I718"/>
    <mergeCell ref="H765:I765"/>
    <mergeCell ref="I422:J422"/>
    <mergeCell ref="F401:G401"/>
    <mergeCell ref="I545:J545"/>
    <mergeCell ref="I559:J559"/>
    <mergeCell ref="I560:J560"/>
    <mergeCell ref="I574:J574"/>
    <mergeCell ref="H519:I519"/>
    <mergeCell ref="I529:J529"/>
    <mergeCell ref="I530:J530"/>
    <mergeCell ref="I544:J544"/>
    <mergeCell ref="I214:J214"/>
    <mergeCell ref="I228:J228"/>
    <mergeCell ref="I229:J229"/>
    <mergeCell ref="I243:J243"/>
    <mergeCell ref="I244:J244"/>
    <mergeCell ref="I241:J241"/>
    <mergeCell ref="I289:J289"/>
    <mergeCell ref="I303:J303"/>
    <mergeCell ref="I304:J304"/>
    <mergeCell ref="H263:I263"/>
    <mergeCell ref="I271:J271"/>
    <mergeCell ref="I281:K281"/>
    <mergeCell ref="I290:J290"/>
    <mergeCell ref="I154:J154"/>
    <mergeCell ref="I168:J168"/>
    <mergeCell ref="I169:J169"/>
    <mergeCell ref="I183:J183"/>
    <mergeCell ref="I184:J184"/>
    <mergeCell ref="I198:J198"/>
    <mergeCell ref="I199:J199"/>
    <mergeCell ref="I213:J213"/>
    <mergeCell ref="H173:I173"/>
    <mergeCell ref="I182:J182"/>
    <mergeCell ref="I191:K191"/>
    <mergeCell ref="A172:L172"/>
    <mergeCell ref="I180:J180"/>
    <mergeCell ref="F206:G206"/>
    <mergeCell ref="B208:C208"/>
    <mergeCell ref="I210:J210"/>
    <mergeCell ref="C188:F188"/>
    <mergeCell ref="I63:J63"/>
    <mergeCell ref="I64:J64"/>
    <mergeCell ref="I78:J78"/>
    <mergeCell ref="I79:J79"/>
    <mergeCell ref="I93:J93"/>
    <mergeCell ref="I94:J94"/>
    <mergeCell ref="I108:J108"/>
    <mergeCell ref="I109:J109"/>
    <mergeCell ref="T733:Y733"/>
    <mergeCell ref="I727:J727"/>
    <mergeCell ref="T687:Y687"/>
    <mergeCell ref="O687:R687"/>
    <mergeCell ref="T655:Y655"/>
    <mergeCell ref="T593:Y593"/>
    <mergeCell ref="A367:L367"/>
    <mergeCell ref="I453:J453"/>
    <mergeCell ref="C444:F444"/>
    <mergeCell ref="I481:J481"/>
    <mergeCell ref="B479:C479"/>
    <mergeCell ref="I407:J407"/>
    <mergeCell ref="I376:J376"/>
    <mergeCell ref="I496:J496"/>
    <mergeCell ref="I467:J467"/>
    <mergeCell ref="B403:C403"/>
    <mergeCell ref="T578:Y578"/>
    <mergeCell ref="T548:Y548"/>
    <mergeCell ref="I485:J485"/>
    <mergeCell ref="H829:I829"/>
    <mergeCell ref="I571:J571"/>
    <mergeCell ref="I447:K447"/>
    <mergeCell ref="A503:L503"/>
    <mergeCell ref="B569:C569"/>
    <mergeCell ref="I572:J572"/>
    <mergeCell ref="A548:L548"/>
    <mergeCell ref="F552:G552"/>
    <mergeCell ref="I477:K477"/>
    <mergeCell ref="I820:J820"/>
    <mergeCell ref="F816:G816"/>
    <mergeCell ref="C829:F829"/>
    <mergeCell ref="I821:J821"/>
    <mergeCell ref="I816:K816"/>
    <mergeCell ref="I711:J711"/>
    <mergeCell ref="I513:J513"/>
    <mergeCell ref="A488:L488"/>
    <mergeCell ref="I483:J483"/>
    <mergeCell ref="I712:J712"/>
    <mergeCell ref="F800:G800"/>
    <mergeCell ref="F783:G783"/>
    <mergeCell ref="C780:F780"/>
    <mergeCell ref="A563:L563"/>
    <mergeCell ref="I753:K753"/>
    <mergeCell ref="C750:F750"/>
    <mergeCell ref="H750:I750"/>
    <mergeCell ref="A733:L733"/>
    <mergeCell ref="I649:J649"/>
    <mergeCell ref="B755:C755"/>
    <mergeCell ref="I527:J527"/>
    <mergeCell ref="I556:J556"/>
    <mergeCell ref="C610:F610"/>
    <mergeCell ref="B584:C584"/>
    <mergeCell ref="I613:K613"/>
    <mergeCell ref="F613:G613"/>
    <mergeCell ref="I601:J601"/>
    <mergeCell ref="I602:J602"/>
    <mergeCell ref="I528:J528"/>
    <mergeCell ref="B645:C645"/>
    <mergeCell ref="C718:F718"/>
    <mergeCell ref="I680:J680"/>
    <mergeCell ref="I663:J663"/>
    <mergeCell ref="F537:G537"/>
    <mergeCell ref="I575:J575"/>
    <mergeCell ref="F643:G643"/>
    <mergeCell ref="T202:Y202"/>
    <mergeCell ref="T337:Y337"/>
    <mergeCell ref="T518:Y518"/>
    <mergeCell ref="T232:Y232"/>
    <mergeCell ref="O458:R458"/>
    <mergeCell ref="T382:Y382"/>
    <mergeCell ref="T397:Y397"/>
    <mergeCell ref="O397:R397"/>
    <mergeCell ref="O518:R518"/>
    <mergeCell ref="O503:R503"/>
    <mergeCell ref="T247:Y247"/>
    <mergeCell ref="T217:Y217"/>
    <mergeCell ref="T292:Y292"/>
    <mergeCell ref="T367:Y367"/>
    <mergeCell ref="O352:R352"/>
    <mergeCell ref="O232:R232"/>
    <mergeCell ref="O322:R322"/>
    <mergeCell ref="O382:R382"/>
    <mergeCell ref="O262:R262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I105:J105"/>
    <mergeCell ref="I330:J330"/>
    <mergeCell ref="I500:J500"/>
    <mergeCell ref="I552:K552"/>
    <mergeCell ref="F462:G462"/>
    <mergeCell ref="A609:L609"/>
    <mergeCell ref="B434:C434"/>
    <mergeCell ref="T563:Y563"/>
    <mergeCell ref="T262:Y262"/>
    <mergeCell ref="O292:R292"/>
    <mergeCell ref="O337:R337"/>
    <mergeCell ref="I360:J360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I425:J425"/>
    <mergeCell ref="I439:J439"/>
    <mergeCell ref="I440:J440"/>
    <mergeCell ref="I454:J454"/>
    <mergeCell ref="I455:J455"/>
    <mergeCell ref="I469:J469"/>
    <mergeCell ref="I499:J499"/>
    <mergeCell ref="I318:J318"/>
    <mergeCell ref="I319:J319"/>
    <mergeCell ref="I333:J333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C83:F83"/>
    <mergeCell ref="I123:J123"/>
    <mergeCell ref="I124:J124"/>
    <mergeCell ref="I138:J138"/>
    <mergeCell ref="I139:J139"/>
    <mergeCell ref="I71:K71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A277:L277"/>
    <mergeCell ref="F341:G341"/>
    <mergeCell ref="I341:K341"/>
    <mergeCell ref="I451:J451"/>
    <mergeCell ref="I452:J452"/>
    <mergeCell ref="B298:C298"/>
    <mergeCell ref="T142:Y142"/>
    <mergeCell ref="O82:R82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T187:Y187"/>
    <mergeCell ref="B802:C802"/>
    <mergeCell ref="B677:C677"/>
    <mergeCell ref="H610:I610"/>
    <mergeCell ref="I772:J772"/>
    <mergeCell ref="I743:J743"/>
    <mergeCell ref="F356:G356"/>
    <mergeCell ref="I470:J470"/>
    <mergeCell ref="I484:J484"/>
    <mergeCell ref="C474:F474"/>
    <mergeCell ref="A473:L473"/>
    <mergeCell ref="H429:I429"/>
    <mergeCell ref="B615:C615"/>
    <mergeCell ref="I726:J726"/>
    <mergeCell ref="F659:G659"/>
    <mergeCell ref="I659:K659"/>
    <mergeCell ref="H594:I594"/>
    <mergeCell ref="A687:L687"/>
    <mergeCell ref="A702:L702"/>
    <mergeCell ref="I573:J573"/>
    <mergeCell ref="F417:G417"/>
    <mergeCell ref="B494:C494"/>
    <mergeCell ref="C797:F797"/>
    <mergeCell ref="H797:I797"/>
    <mergeCell ref="I725:J725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H68:I68"/>
    <mergeCell ref="B599:C599"/>
    <mergeCell ref="H625:I625"/>
    <mergeCell ref="H564:I564"/>
    <mergeCell ref="C534:F534"/>
    <mergeCell ref="I632:J632"/>
    <mergeCell ref="I619:J619"/>
    <mergeCell ref="I617:J617"/>
    <mergeCell ref="C564:F564"/>
    <mergeCell ref="O97:R97"/>
    <mergeCell ref="F311:G311"/>
    <mergeCell ref="C519:F519"/>
    <mergeCell ref="B524:C524"/>
    <mergeCell ref="F567:G567"/>
    <mergeCell ref="I589:J589"/>
    <mergeCell ref="I590:J590"/>
    <mergeCell ref="I604:J604"/>
    <mergeCell ref="I605:J605"/>
    <mergeCell ref="I620:J620"/>
    <mergeCell ref="I621:J621"/>
    <mergeCell ref="A578:L578"/>
    <mergeCell ref="I588:J588"/>
    <mergeCell ref="F597:G597"/>
    <mergeCell ref="I597:K597"/>
    <mergeCell ref="I153:J153"/>
    <mergeCell ref="I347:J347"/>
    <mergeCell ref="I317:J317"/>
    <mergeCell ref="H398:I398"/>
    <mergeCell ref="H308:I308"/>
    <mergeCell ref="A322:L322"/>
    <mergeCell ref="B539:C539"/>
    <mergeCell ref="I541:J541"/>
    <mergeCell ref="I334:J334"/>
    <mergeCell ref="I348:J348"/>
    <mergeCell ref="I349:J349"/>
    <mergeCell ref="I363:J363"/>
    <mergeCell ref="I364:J364"/>
    <mergeCell ref="I378:J378"/>
    <mergeCell ref="I379:J379"/>
    <mergeCell ref="I393:J393"/>
    <mergeCell ref="I394:J394"/>
    <mergeCell ref="I408:J408"/>
    <mergeCell ref="I409:J409"/>
    <mergeCell ref="I424:J424"/>
    <mergeCell ref="I405:J405"/>
    <mergeCell ref="A397:L397"/>
    <mergeCell ref="I401:K401"/>
    <mergeCell ref="H414:I414"/>
    <mergeCell ref="C398:F398"/>
    <mergeCell ref="B283:C283"/>
    <mergeCell ref="F522:G522"/>
    <mergeCell ref="I522:K522"/>
    <mergeCell ref="I498:J498"/>
    <mergeCell ref="I466:J466"/>
    <mergeCell ref="H444:I444"/>
    <mergeCell ref="F371:G371"/>
    <mergeCell ref="I371:K371"/>
    <mergeCell ref="H383:I383"/>
    <mergeCell ref="F386:G386"/>
    <mergeCell ref="B464:C464"/>
    <mergeCell ref="C323:F323"/>
    <mergeCell ref="H323:I323"/>
    <mergeCell ref="I296:K296"/>
    <mergeCell ref="I326:K326"/>
    <mergeCell ref="I331:J331"/>
    <mergeCell ref="I332:J332"/>
    <mergeCell ref="F326:G326"/>
    <mergeCell ref="A352:L352"/>
    <mergeCell ref="I406:J406"/>
    <mergeCell ref="I356:K356"/>
    <mergeCell ref="I288:J288"/>
    <mergeCell ref="I514:J514"/>
    <mergeCell ref="I515:J515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I800:K800"/>
    <mergeCell ref="B739:C739"/>
    <mergeCell ref="I774:J774"/>
    <mergeCell ref="H656:I656"/>
    <mergeCell ref="I757:J757"/>
    <mergeCell ref="F706:G706"/>
    <mergeCell ref="C489:F489"/>
    <mergeCell ref="I681:J681"/>
    <mergeCell ref="F675:G675"/>
    <mergeCell ref="I587:J587"/>
    <mergeCell ref="C625:F625"/>
    <mergeCell ref="A518:L518"/>
    <mergeCell ref="C579:F579"/>
    <mergeCell ref="I497:J497"/>
    <mergeCell ref="H534:I534"/>
    <mergeCell ref="I558:J558"/>
    <mergeCell ref="B554:C554"/>
    <mergeCell ref="B630:C630"/>
    <mergeCell ref="I542:J542"/>
    <mergeCell ref="I557:J557"/>
    <mergeCell ref="I603:J603"/>
    <mergeCell ref="C594:F594"/>
    <mergeCell ref="I710:J710"/>
    <mergeCell ref="C703:F703"/>
    <mergeCell ref="T624:Y624"/>
    <mergeCell ref="I741:J741"/>
    <mergeCell ref="I759:J759"/>
    <mergeCell ref="I768:K768"/>
    <mergeCell ref="O717:R717"/>
    <mergeCell ref="T717:Y717"/>
    <mergeCell ref="T671:Y671"/>
    <mergeCell ref="T639:Y639"/>
    <mergeCell ref="A779:L779"/>
    <mergeCell ref="T702:Y702"/>
    <mergeCell ref="T749:Y749"/>
    <mergeCell ref="F768:G768"/>
    <mergeCell ref="T764:Y764"/>
    <mergeCell ref="T779:Y779"/>
    <mergeCell ref="O779:R779"/>
    <mergeCell ref="I773:J773"/>
    <mergeCell ref="B770:C770"/>
    <mergeCell ref="O639:R639"/>
    <mergeCell ref="O671:R671"/>
    <mergeCell ref="O749:R749"/>
    <mergeCell ref="A639:L639"/>
    <mergeCell ref="A717:L717"/>
    <mergeCell ref="B723:C723"/>
    <mergeCell ref="I665:J665"/>
    <mergeCell ref="O593:R593"/>
    <mergeCell ref="O733:R733"/>
    <mergeCell ref="B693:C693"/>
    <mergeCell ref="C688:F688"/>
    <mergeCell ref="O828:R828"/>
    <mergeCell ref="F832:G832"/>
    <mergeCell ref="H813:I813"/>
    <mergeCell ref="I783:K783"/>
    <mergeCell ref="F737:G737"/>
    <mergeCell ref="I788:J788"/>
    <mergeCell ref="A764:L764"/>
    <mergeCell ref="O812:R812"/>
    <mergeCell ref="B785:C785"/>
    <mergeCell ref="I787:J787"/>
    <mergeCell ref="I789:J789"/>
    <mergeCell ref="C691:E691"/>
    <mergeCell ref="I695:J695"/>
    <mergeCell ref="I696:J696"/>
    <mergeCell ref="O796:R796"/>
    <mergeCell ref="F721:G721"/>
    <mergeCell ref="F753:G753"/>
    <mergeCell ref="I721:K721"/>
    <mergeCell ref="O609:R609"/>
    <mergeCell ref="I648:J648"/>
    <mergeCell ref="C765:F765"/>
    <mergeCell ref="A624:L624"/>
    <mergeCell ref="A749:L749"/>
    <mergeCell ref="F691:G691"/>
    <mergeCell ref="I691:K691"/>
    <mergeCell ref="H688:I688"/>
    <mergeCell ref="F628:G628"/>
    <mergeCell ref="I758:J758"/>
    <mergeCell ref="I742:J742"/>
    <mergeCell ref="I647:J647"/>
    <mergeCell ref="I697:J697"/>
    <mergeCell ref="C640:F640"/>
    <mergeCell ref="H640:I640"/>
    <mergeCell ref="I628:K628"/>
    <mergeCell ref="C656:F656"/>
    <mergeCell ref="A655:L655"/>
    <mergeCell ref="B708:C708"/>
    <mergeCell ref="I635:J635"/>
    <mergeCell ref="I636:J636"/>
    <mergeCell ref="I650:J650"/>
    <mergeCell ref="I633:J633"/>
    <mergeCell ref="I664:J664"/>
    <mergeCell ref="I643:K643"/>
    <mergeCell ref="I728:J728"/>
    <mergeCell ref="O702:R702"/>
    <mergeCell ref="B661:C661"/>
    <mergeCell ref="C734:F734"/>
    <mergeCell ref="O764:R764"/>
    <mergeCell ref="H703:I703"/>
    <mergeCell ref="H672:I672"/>
    <mergeCell ref="A671:L671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O172:R172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C338:F338"/>
    <mergeCell ref="F281:G281"/>
    <mergeCell ref="H278:I278"/>
    <mergeCell ref="O624:R624"/>
    <mergeCell ref="F146:G146"/>
    <mergeCell ref="I146:K146"/>
    <mergeCell ref="H188:I188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O22:R22"/>
    <mergeCell ref="I18:J18"/>
    <mergeCell ref="I19:J19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I77:J77"/>
    <mergeCell ref="I48:J48"/>
    <mergeCell ref="I49:J49"/>
    <mergeCell ref="B73:C73"/>
    <mergeCell ref="I75:J75"/>
    <mergeCell ref="C68:F68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O202:R202"/>
    <mergeCell ref="O187:R187"/>
    <mergeCell ref="O157:R157"/>
    <mergeCell ref="I258:J258"/>
    <mergeCell ref="I259:J259"/>
    <mergeCell ref="I273:J273"/>
    <mergeCell ref="I274:J274"/>
    <mergeCell ref="T828:Y828"/>
    <mergeCell ref="T812:Y812"/>
    <mergeCell ref="I206:K206"/>
    <mergeCell ref="O563:R563"/>
    <mergeCell ref="O548:R548"/>
    <mergeCell ref="O443:R443"/>
    <mergeCell ref="H549:I549"/>
    <mergeCell ref="O488:R488"/>
    <mergeCell ref="O533:R533"/>
    <mergeCell ref="T796:Y796"/>
    <mergeCell ref="A232:L232"/>
    <mergeCell ref="I242:J242"/>
    <mergeCell ref="F236:G236"/>
    <mergeCell ref="B238:C238"/>
    <mergeCell ref="H233:I233"/>
    <mergeCell ref="I236:K236"/>
    <mergeCell ref="C233:F233"/>
    <mergeCell ref="O367:R367"/>
    <mergeCell ref="A262:L262"/>
    <mergeCell ref="I266:K266"/>
    <mergeCell ref="I346:J346"/>
    <mergeCell ref="I345:J345"/>
    <mergeCell ref="I311:K311"/>
    <mergeCell ref="A337:L337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O277:R277"/>
    <mergeCell ref="I240:J240"/>
    <mergeCell ref="I255:J255"/>
    <mergeCell ref="I256:J256"/>
    <mergeCell ref="I257:J257"/>
    <mergeCell ref="F266:G266"/>
    <mergeCell ref="C203:F203"/>
    <mergeCell ref="A247:L247"/>
    <mergeCell ref="C263:F263"/>
    <mergeCell ref="C308:F308"/>
    <mergeCell ref="I270:J270"/>
    <mergeCell ref="I315:J315"/>
    <mergeCell ref="I302:J302"/>
    <mergeCell ref="B268:C268"/>
    <mergeCell ref="C293:F293"/>
    <mergeCell ref="F296:G296"/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C549:F549"/>
    <mergeCell ref="I618:J618"/>
    <mergeCell ref="I423:J423"/>
    <mergeCell ref="A443:L443"/>
    <mergeCell ref="A458:L458"/>
    <mergeCell ref="C459:F459"/>
    <mergeCell ref="I462:K462"/>
    <mergeCell ref="A428:L428"/>
    <mergeCell ref="I438:J438"/>
    <mergeCell ref="H459:I459"/>
    <mergeCell ref="A593:L593"/>
    <mergeCell ref="I853:J853"/>
    <mergeCell ref="I854:J854"/>
    <mergeCell ref="I855:J855"/>
    <mergeCell ref="I856:J856"/>
    <mergeCell ref="A844:L844"/>
    <mergeCell ref="O844:R844"/>
    <mergeCell ref="T844:Y844"/>
    <mergeCell ref="C845:F845"/>
    <mergeCell ref="H845:I845"/>
    <mergeCell ref="F848:G848"/>
    <mergeCell ref="I848:K848"/>
    <mergeCell ref="B850:C850"/>
    <mergeCell ref="I852:J852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8" manualBreakCount="48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07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31" t="s">
        <v>134</v>
      </c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</row>
    <row r="2" spans="1:26" ht="48.75" customHeight="1" x14ac:dyDescent="0.2">
      <c r="A2" s="104" t="s">
        <v>91</v>
      </c>
      <c r="B2" s="105" t="s">
        <v>105</v>
      </c>
      <c r="C2" s="105" t="s">
        <v>103</v>
      </c>
      <c r="D2" s="105" t="s">
        <v>104</v>
      </c>
      <c r="E2" s="105" t="s">
        <v>106</v>
      </c>
      <c r="F2" s="105" t="s">
        <v>107</v>
      </c>
      <c r="G2" s="105" t="s">
        <v>108</v>
      </c>
      <c r="H2" s="106" t="s">
        <v>109</v>
      </c>
      <c r="I2" s="106" t="s">
        <v>125</v>
      </c>
      <c r="J2" s="106" t="s">
        <v>130</v>
      </c>
      <c r="K2" s="106" t="s">
        <v>131</v>
      </c>
      <c r="L2" s="106" t="s">
        <v>132</v>
      </c>
      <c r="M2" s="106" t="s">
        <v>133</v>
      </c>
      <c r="N2" s="106" t="s">
        <v>138</v>
      </c>
      <c r="O2" s="106" t="s">
        <v>140</v>
      </c>
      <c r="P2" s="106" t="s">
        <v>145</v>
      </c>
      <c r="Q2" s="106" t="s">
        <v>146</v>
      </c>
      <c r="R2" s="110" t="s">
        <v>135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92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93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137479.16666666666</v>
      </c>
      <c r="Q6" s="111">
        <v>37258.06451612903</v>
      </c>
      <c r="R6" s="111">
        <f t="shared" si="0"/>
        <v>-100221.10215053763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94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353504.16666666669</v>
      </c>
      <c r="Q8" s="111">
        <v>201483.87096774194</v>
      </c>
      <c r="R8" s="111">
        <f t="shared" si="0"/>
        <v>-152020.29569892475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95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96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97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144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Sheets'!Q88</f>
        <v>557954.16666666663</v>
      </c>
      <c r="Q12" s="111">
        <v>254832.25806451612</v>
      </c>
      <c r="R12" s="111">
        <f t="shared" si="0"/>
        <v>-303121.90860215051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147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143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141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98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G66"/>
  <sheetViews>
    <sheetView topLeftCell="A49" workbookViewId="0">
      <selection activeCell="D78" sqref="D78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31" t="s">
        <v>169</v>
      </c>
      <c r="B1" s="431"/>
      <c r="C1" s="431"/>
      <c r="D1" s="431"/>
      <c r="E1" s="431"/>
    </row>
    <row r="2" spans="1:5" ht="18" x14ac:dyDescent="0.2">
      <c r="A2" s="250" t="s">
        <v>179</v>
      </c>
      <c r="B2" s="249"/>
      <c r="C2" s="251" t="s">
        <v>177</v>
      </c>
      <c r="D2" s="251" t="s">
        <v>178</v>
      </c>
      <c r="E2" s="251" t="s">
        <v>2</v>
      </c>
    </row>
    <row r="3" spans="1:5" ht="15.75" customHeight="1" x14ac:dyDescent="0.25">
      <c r="A3" s="108" t="s">
        <v>123</v>
      </c>
      <c r="B3" s="433" t="s">
        <v>188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136</v>
      </c>
      <c r="B4" s="434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187</v>
      </c>
      <c r="B5" s="434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164</v>
      </c>
      <c r="B6" s="435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170</v>
      </c>
      <c r="B7" s="446" t="s">
        <v>176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171</v>
      </c>
      <c r="B8" s="447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75</v>
      </c>
      <c r="B9" s="447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172</v>
      </c>
      <c r="B10" s="447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173</v>
      </c>
      <c r="B11" s="447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174</v>
      </c>
      <c r="B12" s="447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175</v>
      </c>
      <c r="B13" s="447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71</v>
      </c>
      <c r="B14" s="447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181</v>
      </c>
      <c r="B15" s="432" t="s">
        <v>180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182</v>
      </c>
      <c r="B16" s="432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183</v>
      </c>
      <c r="B17" s="432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184</v>
      </c>
      <c r="B18" s="432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72</v>
      </c>
      <c r="B19" s="436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185</v>
      </c>
      <c r="B20" s="436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139</v>
      </c>
      <c r="B21" s="436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191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123</v>
      </c>
      <c r="B23" s="445" t="s">
        <v>197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136</v>
      </c>
      <c r="B24" s="445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187</v>
      </c>
      <c r="B25" s="445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164</v>
      </c>
      <c r="B26" s="445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171</v>
      </c>
      <c r="B27" s="442" t="s">
        <v>204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102</v>
      </c>
      <c r="B28" s="443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71</v>
      </c>
      <c r="B29" s="443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72</v>
      </c>
      <c r="B30" s="444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3" t="s">
        <v>208</v>
      </c>
      <c r="B31" s="439" t="s">
        <v>206</v>
      </c>
      <c r="C31" s="314">
        <v>45000</v>
      </c>
      <c r="D31" s="314">
        <v>2000</v>
      </c>
      <c r="E31" s="314">
        <f t="shared" si="2"/>
        <v>47000</v>
      </c>
    </row>
    <row r="32" spans="1:5" ht="15.75" x14ac:dyDescent="0.25">
      <c r="A32" s="313" t="s">
        <v>162</v>
      </c>
      <c r="B32" s="440"/>
      <c r="C32" s="314">
        <v>38000</v>
      </c>
      <c r="D32" s="314">
        <v>3000</v>
      </c>
      <c r="E32" s="314">
        <f t="shared" si="2"/>
        <v>41000</v>
      </c>
    </row>
    <row r="33" spans="1:7" ht="15.75" x14ac:dyDescent="0.25">
      <c r="A33" s="313" t="s">
        <v>207</v>
      </c>
      <c r="B33" s="440"/>
      <c r="C33" s="314">
        <v>45000</v>
      </c>
      <c r="D33" s="314">
        <v>20000</v>
      </c>
      <c r="E33" s="314">
        <f t="shared" ref="E33:E63" si="3">D33+C33</f>
        <v>65000</v>
      </c>
    </row>
    <row r="34" spans="1:7" ht="15.75" x14ac:dyDescent="0.25">
      <c r="A34" s="313" t="s">
        <v>209</v>
      </c>
      <c r="B34" s="440"/>
      <c r="C34" s="314">
        <v>32000</v>
      </c>
      <c r="D34" s="314">
        <v>3000</v>
      </c>
      <c r="E34" s="314">
        <f t="shared" si="3"/>
        <v>35000</v>
      </c>
    </row>
    <row r="35" spans="1:7" ht="15.75" x14ac:dyDescent="0.25">
      <c r="A35" s="313" t="s">
        <v>210</v>
      </c>
      <c r="B35" s="440"/>
      <c r="C35" s="314">
        <v>23000</v>
      </c>
      <c r="D35" s="314">
        <v>12000</v>
      </c>
      <c r="E35" s="314">
        <f t="shared" si="3"/>
        <v>35000</v>
      </c>
    </row>
    <row r="36" spans="1:7" ht="15.75" x14ac:dyDescent="0.25">
      <c r="A36" s="313" t="s">
        <v>160</v>
      </c>
      <c r="B36" s="440"/>
      <c r="C36" s="314">
        <v>22000</v>
      </c>
      <c r="D36" s="314">
        <v>13000</v>
      </c>
      <c r="E36" s="314">
        <f t="shared" si="3"/>
        <v>35000</v>
      </c>
    </row>
    <row r="37" spans="1:7" ht="20.25" customHeight="1" x14ac:dyDescent="0.25">
      <c r="A37" s="264" t="s">
        <v>192</v>
      </c>
      <c r="B37" s="440"/>
      <c r="C37" s="265">
        <v>30000</v>
      </c>
      <c r="D37" s="265">
        <v>2000</v>
      </c>
      <c r="E37" s="265">
        <f t="shared" si="3"/>
        <v>32000</v>
      </c>
    </row>
    <row r="38" spans="1:7" ht="15.75" x14ac:dyDescent="0.25">
      <c r="A38" s="266" t="s">
        <v>182</v>
      </c>
      <c r="B38" s="440"/>
      <c r="C38" s="265">
        <v>29500</v>
      </c>
      <c r="D38" s="265">
        <v>2000</v>
      </c>
      <c r="E38" s="265">
        <f t="shared" si="3"/>
        <v>31500</v>
      </c>
    </row>
    <row r="39" spans="1:7" ht="20.25" customHeight="1" x14ac:dyDescent="0.25">
      <c r="A39" s="264" t="s">
        <v>183</v>
      </c>
      <c r="B39" s="440"/>
      <c r="C39" s="265">
        <v>24500</v>
      </c>
      <c r="D39" s="265">
        <v>2000</v>
      </c>
      <c r="E39" s="265">
        <f t="shared" si="3"/>
        <v>26500</v>
      </c>
    </row>
    <row r="40" spans="1:7" ht="21" customHeight="1" x14ac:dyDescent="0.25">
      <c r="A40" s="264" t="s">
        <v>184</v>
      </c>
      <c r="B40" s="441"/>
      <c r="C40" s="265">
        <v>24500</v>
      </c>
      <c r="D40" s="265">
        <v>2000</v>
      </c>
      <c r="E40" s="265">
        <f t="shared" si="3"/>
        <v>26500</v>
      </c>
    </row>
    <row r="41" spans="1:7" ht="15.75" x14ac:dyDescent="0.25">
      <c r="A41" s="264" t="s">
        <v>171</v>
      </c>
      <c r="B41" s="437">
        <v>45231</v>
      </c>
      <c r="C41" s="265">
        <v>65000</v>
      </c>
      <c r="D41" s="265">
        <v>10000</v>
      </c>
      <c r="E41" s="265">
        <f t="shared" si="3"/>
        <v>75000</v>
      </c>
    </row>
    <row r="42" spans="1:7" ht="15.75" x14ac:dyDescent="0.25">
      <c r="A42" s="264" t="s">
        <v>168</v>
      </c>
      <c r="B42" s="438"/>
      <c r="C42" s="265">
        <v>65000</v>
      </c>
      <c r="D42" s="265">
        <v>15000</v>
      </c>
      <c r="E42" s="265">
        <f t="shared" si="3"/>
        <v>80000</v>
      </c>
    </row>
    <row r="43" spans="1:7" ht="15.75" x14ac:dyDescent="0.25">
      <c r="A43" s="264" t="s">
        <v>213</v>
      </c>
      <c r="B43" s="437">
        <v>45231</v>
      </c>
      <c r="C43" s="265">
        <v>30000</v>
      </c>
      <c r="D43" s="265">
        <v>5000</v>
      </c>
      <c r="E43" s="265">
        <f t="shared" si="3"/>
        <v>35000</v>
      </c>
    </row>
    <row r="44" spans="1:7" ht="12.75" customHeight="1" x14ac:dyDescent="0.25">
      <c r="A44" s="264" t="s">
        <v>214</v>
      </c>
      <c r="B44" s="437"/>
      <c r="C44" s="265">
        <v>27000</v>
      </c>
      <c r="D44" s="265">
        <v>8000</v>
      </c>
      <c r="E44" s="265">
        <f t="shared" si="3"/>
        <v>35000</v>
      </c>
      <c r="G44" s="8"/>
    </row>
    <row r="45" spans="1:7" ht="15.75" x14ac:dyDescent="0.25">
      <c r="A45" s="264" t="s">
        <v>73</v>
      </c>
      <c r="B45" s="437"/>
      <c r="C45" s="265">
        <v>20000</v>
      </c>
      <c r="D45" s="265">
        <v>5000</v>
      </c>
      <c r="E45" s="265">
        <f t="shared" si="3"/>
        <v>25000</v>
      </c>
      <c r="G45" s="8"/>
    </row>
    <row r="46" spans="1:7" ht="15.75" x14ac:dyDescent="0.25">
      <c r="A46" s="264" t="s">
        <v>215</v>
      </c>
      <c r="B46" s="437"/>
      <c r="C46" s="265">
        <v>21000</v>
      </c>
      <c r="D46" s="265">
        <v>6000</v>
      </c>
      <c r="E46" s="265">
        <f t="shared" si="3"/>
        <v>27000</v>
      </c>
      <c r="G46" s="8"/>
    </row>
    <row r="47" spans="1:7" ht="15.75" x14ac:dyDescent="0.25">
      <c r="A47" s="264" t="s">
        <v>185</v>
      </c>
      <c r="B47" s="437"/>
      <c r="C47" s="265">
        <v>22000</v>
      </c>
      <c r="D47" s="265">
        <v>5000</v>
      </c>
      <c r="E47" s="265">
        <f t="shared" si="3"/>
        <v>27000</v>
      </c>
      <c r="G47" s="8"/>
    </row>
    <row r="48" spans="1:7" ht="15.75" x14ac:dyDescent="0.25">
      <c r="A48" s="264" t="s">
        <v>209</v>
      </c>
      <c r="B48" s="450">
        <v>45292</v>
      </c>
      <c r="C48" s="314">
        <v>35000</v>
      </c>
      <c r="D48" s="314">
        <v>15000</v>
      </c>
      <c r="E48" s="314">
        <f t="shared" si="3"/>
        <v>50000</v>
      </c>
      <c r="G48" s="8"/>
    </row>
    <row r="49" spans="1:5" ht="15.75" x14ac:dyDescent="0.25">
      <c r="A49" s="264" t="s">
        <v>218</v>
      </c>
      <c r="B49" s="452"/>
      <c r="C49" s="314">
        <v>35000</v>
      </c>
      <c r="D49" s="314">
        <v>10000</v>
      </c>
      <c r="E49" s="314">
        <f t="shared" si="3"/>
        <v>45000</v>
      </c>
    </row>
    <row r="50" spans="1:5" ht="15.75" x14ac:dyDescent="0.25">
      <c r="A50" s="264" t="s">
        <v>219</v>
      </c>
      <c r="B50" s="452"/>
      <c r="C50" s="314">
        <v>35000</v>
      </c>
      <c r="D50" s="314">
        <v>10000</v>
      </c>
      <c r="E50" s="314">
        <f t="shared" si="3"/>
        <v>45000</v>
      </c>
    </row>
    <row r="51" spans="1:5" ht="15.75" x14ac:dyDescent="0.25">
      <c r="A51" s="264" t="s">
        <v>220</v>
      </c>
      <c r="B51" s="452"/>
      <c r="C51" s="314">
        <v>25000</v>
      </c>
      <c r="D51" s="314">
        <v>7000</v>
      </c>
      <c r="E51" s="314">
        <f t="shared" si="3"/>
        <v>32000</v>
      </c>
    </row>
    <row r="52" spans="1:5" ht="15.75" x14ac:dyDescent="0.25">
      <c r="A52" s="313" t="s">
        <v>229</v>
      </c>
      <c r="B52" s="450">
        <v>45292</v>
      </c>
      <c r="C52" s="314">
        <v>30000</v>
      </c>
      <c r="D52" s="314">
        <v>5000</v>
      </c>
      <c r="E52" s="314">
        <f t="shared" si="3"/>
        <v>35000</v>
      </c>
    </row>
    <row r="53" spans="1:5" ht="15.75" x14ac:dyDescent="0.25">
      <c r="A53" s="313" t="s">
        <v>198</v>
      </c>
      <c r="B53" s="451"/>
      <c r="C53" s="314">
        <v>45000</v>
      </c>
      <c r="D53" s="314">
        <v>5000</v>
      </c>
      <c r="E53" s="314">
        <f t="shared" si="3"/>
        <v>50000</v>
      </c>
    </row>
    <row r="54" spans="1:5" ht="15.75" x14ac:dyDescent="0.25">
      <c r="A54" s="313" t="s">
        <v>74</v>
      </c>
      <c r="B54" s="451"/>
      <c r="C54" s="314">
        <v>35000</v>
      </c>
      <c r="D54" s="314">
        <v>7000</v>
      </c>
      <c r="E54" s="314">
        <f t="shared" si="3"/>
        <v>42000</v>
      </c>
    </row>
    <row r="55" spans="1:5" ht="15.75" x14ac:dyDescent="0.25">
      <c r="A55" s="264" t="s">
        <v>230</v>
      </c>
      <c r="B55" s="448">
        <v>45383</v>
      </c>
      <c r="C55" s="265">
        <v>65000</v>
      </c>
      <c r="D55" s="265">
        <v>10000</v>
      </c>
      <c r="E55" s="265">
        <f t="shared" si="3"/>
        <v>75000</v>
      </c>
    </row>
    <row r="56" spans="1:5" ht="15.75" x14ac:dyDescent="0.25">
      <c r="A56" s="264" t="s">
        <v>231</v>
      </c>
      <c r="B56" s="449"/>
      <c r="C56" s="265">
        <v>40000</v>
      </c>
      <c r="D56" s="265">
        <v>10000</v>
      </c>
      <c r="E56" s="265">
        <f t="shared" si="3"/>
        <v>50000</v>
      </c>
    </row>
    <row r="57" spans="1:5" ht="15.75" x14ac:dyDescent="0.25">
      <c r="A57" s="264" t="s">
        <v>232</v>
      </c>
      <c r="B57" s="449"/>
      <c r="C57" s="265">
        <v>60000</v>
      </c>
      <c r="D57" s="265">
        <v>10000</v>
      </c>
      <c r="E57" s="265">
        <f t="shared" si="3"/>
        <v>70000</v>
      </c>
    </row>
    <row r="58" spans="1:5" ht="15.75" x14ac:dyDescent="0.25">
      <c r="A58" s="313" t="s">
        <v>234</v>
      </c>
      <c r="B58" s="449"/>
      <c r="C58" s="314">
        <v>60000</v>
      </c>
      <c r="D58" s="314">
        <v>10000</v>
      </c>
      <c r="E58" s="453">
        <f t="shared" si="3"/>
        <v>70000</v>
      </c>
    </row>
    <row r="59" spans="1:5" ht="15.75" x14ac:dyDescent="0.25">
      <c r="A59" s="264" t="s">
        <v>235</v>
      </c>
      <c r="B59" s="437">
        <v>45413</v>
      </c>
      <c r="C59" s="265">
        <v>41000</v>
      </c>
      <c r="D59" s="265">
        <v>5000</v>
      </c>
      <c r="E59" s="265">
        <f t="shared" si="3"/>
        <v>46000</v>
      </c>
    </row>
    <row r="60" spans="1:5" ht="15.75" x14ac:dyDescent="0.25">
      <c r="A60" s="264" t="s">
        <v>236</v>
      </c>
      <c r="B60" s="437"/>
      <c r="C60" s="265">
        <v>45000</v>
      </c>
      <c r="D60" s="265">
        <v>7000</v>
      </c>
      <c r="E60" s="265">
        <f t="shared" si="3"/>
        <v>52000</v>
      </c>
    </row>
    <row r="61" spans="1:5" ht="15.75" x14ac:dyDescent="0.25">
      <c r="A61" s="264" t="s">
        <v>187</v>
      </c>
      <c r="B61" s="437"/>
      <c r="C61" s="265">
        <v>37500</v>
      </c>
      <c r="D61" s="265">
        <v>5000</v>
      </c>
      <c r="E61" s="265">
        <f t="shared" si="3"/>
        <v>42500</v>
      </c>
    </row>
    <row r="62" spans="1:5" ht="15.75" x14ac:dyDescent="0.25">
      <c r="A62" s="264" t="s">
        <v>241</v>
      </c>
      <c r="B62" s="437"/>
      <c r="C62" s="265">
        <v>22000</v>
      </c>
      <c r="D62" s="265">
        <v>3000</v>
      </c>
      <c r="E62" s="265">
        <f t="shared" si="3"/>
        <v>25000</v>
      </c>
    </row>
    <row r="63" spans="1:5" ht="15.75" x14ac:dyDescent="0.25">
      <c r="A63" s="264" t="s">
        <v>75</v>
      </c>
      <c r="B63" s="437"/>
      <c r="C63" s="265">
        <v>35000</v>
      </c>
      <c r="D63" s="265">
        <v>5000</v>
      </c>
      <c r="E63" s="265">
        <f t="shared" si="3"/>
        <v>40000</v>
      </c>
    </row>
    <row r="64" spans="1:5" ht="15.75" x14ac:dyDescent="0.25">
      <c r="A64" s="264" t="s">
        <v>243</v>
      </c>
      <c r="B64" s="437"/>
      <c r="C64" s="265">
        <v>43000</v>
      </c>
      <c r="D64" s="265">
        <v>17000</v>
      </c>
      <c r="E64" s="265">
        <f t="shared" ref="E64:E66" si="4">D64+C64</f>
        <v>60000</v>
      </c>
    </row>
    <row r="65" spans="1:5" ht="15.75" x14ac:dyDescent="0.25">
      <c r="A65" s="264" t="s">
        <v>191</v>
      </c>
      <c r="B65" s="437"/>
      <c r="C65" s="265">
        <v>30000</v>
      </c>
      <c r="D65" s="265">
        <v>4000</v>
      </c>
      <c r="E65" s="265">
        <f t="shared" si="4"/>
        <v>34000</v>
      </c>
    </row>
    <row r="66" spans="1:5" ht="15.75" x14ac:dyDescent="0.25">
      <c r="A66" s="313" t="s">
        <v>231</v>
      </c>
      <c r="B66" s="454">
        <v>45444</v>
      </c>
      <c r="C66" s="314">
        <v>50000</v>
      </c>
      <c r="D66" s="314">
        <v>5000</v>
      </c>
      <c r="E66" s="314">
        <f t="shared" si="4"/>
        <v>55000</v>
      </c>
    </row>
  </sheetData>
  <autoFilter ref="A2:E2" xr:uid="{69971A69-1AB5-4F7A-A4C2-73A1E09F711B}"/>
  <mergeCells count="14">
    <mergeCell ref="B55:B58"/>
    <mergeCell ref="B52:B54"/>
    <mergeCell ref="B48:B51"/>
    <mergeCell ref="B43:B47"/>
    <mergeCell ref="B59:B65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2024-07-02T11:56:08Z</cp:lastPrinted>
  <dcterms:created xsi:type="dcterms:W3CDTF">2007-01-04T05:01:09Z</dcterms:created>
  <dcterms:modified xsi:type="dcterms:W3CDTF">2024-07-02T13:48:02Z</dcterms:modified>
</cp:coreProperties>
</file>