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Sheets'!$A$3:$W$108</definedName>
    <definedName name="_xlnm.Print_Area" localSheetId="1">'Salary Record'!$A$53:$Z$1477</definedName>
    <definedName name="_xlnm.Print_Area" localSheetId="0">'Salary Sheets'!$A$1:$Q$122</definedName>
    <definedName name="_xlnm.Print_Titles" localSheetId="0">'Salary Sheets'!$3:$3</definedName>
  </definedNames>
  <calcPr calcId="152511" calcOnSave="0"/>
  <fileRecoveryPr autoRecover="0"/>
</workbook>
</file>

<file path=xl/calcChain.xml><?xml version="1.0" encoding="utf-8"?>
<calcChain xmlns="http://schemas.openxmlformats.org/spreadsheetml/2006/main">
  <c r="V1085" i="8" l="1"/>
  <c r="Q113" i="1" l="1"/>
  <c r="V477" i="8" l="1"/>
  <c r="V445" i="8"/>
  <c r="V861" i="8"/>
  <c r="P1148" i="8" l="1"/>
  <c r="I1421" i="8"/>
  <c r="P1421" i="8"/>
  <c r="P1437" i="8"/>
  <c r="I1084" i="8" l="1"/>
  <c r="K733" i="8" l="1"/>
  <c r="R1261" i="8" l="1"/>
  <c r="R1260" i="8"/>
  <c r="R1259" i="8"/>
  <c r="R1258" i="8"/>
  <c r="R236" i="8"/>
  <c r="R668" i="8" l="1"/>
  <c r="R188" i="8" l="1"/>
  <c r="V604" i="8"/>
  <c r="V380" i="8" l="1"/>
  <c r="V1213" i="8"/>
  <c r="V1196" i="8"/>
  <c r="K224" i="8" l="1"/>
  <c r="W1293" i="8"/>
  <c r="W1196" i="8"/>
  <c r="W380" i="8"/>
  <c r="W1245" i="8"/>
  <c r="W188" i="8"/>
  <c r="W588" i="8"/>
  <c r="U60" i="8"/>
  <c r="W59" i="8"/>
  <c r="U59" i="8"/>
  <c r="U1389" i="8"/>
  <c r="U1277" i="8"/>
  <c r="U1036" i="8"/>
  <c r="U988" i="8"/>
  <c r="U956" i="8"/>
  <c r="U860" i="8"/>
  <c r="U844" i="8"/>
  <c r="U764" i="8"/>
  <c r="U684" i="8"/>
  <c r="U668" i="8"/>
  <c r="U636" i="8"/>
  <c r="U620" i="8"/>
  <c r="U572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808" i="8" l="1"/>
  <c r="K856" i="8"/>
  <c r="K632" i="8"/>
  <c r="K936" i="8" l="1"/>
  <c r="K1241" i="8" l="1"/>
  <c r="K1000" i="8" l="1"/>
  <c r="K63" i="8" l="1"/>
  <c r="U1371" i="8" l="1"/>
  <c r="W827" i="8"/>
  <c r="V635" i="8" l="1"/>
  <c r="W955" i="8"/>
  <c r="M51" i="1"/>
  <c r="R187" i="8"/>
  <c r="R186" i="8"/>
  <c r="R185" i="8"/>
  <c r="V267" i="8" l="1"/>
  <c r="V1212" i="8"/>
  <c r="V379" i="8"/>
  <c r="V1195" i="8"/>
  <c r="V427" i="8"/>
  <c r="V155" i="8" l="1"/>
  <c r="U203" i="8"/>
  <c r="U1468" i="8" l="1"/>
  <c r="U1388" i="8"/>
  <c r="U1387" i="8"/>
  <c r="U1276" i="8"/>
  <c r="U1275" i="8"/>
  <c r="U1244" i="8"/>
  <c r="U1243" i="8"/>
  <c r="U1195" i="8"/>
  <c r="U987" i="8"/>
  <c r="U986" i="8"/>
  <c r="U859" i="8"/>
  <c r="U858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29" i="1" l="1"/>
  <c r="B92" i="1" l="1"/>
  <c r="V1211" i="8" l="1"/>
  <c r="V1194" i="8"/>
  <c r="V426" i="8"/>
  <c r="V1275" i="8"/>
  <c r="V570" i="8"/>
  <c r="V1387" i="8" l="1"/>
  <c r="K1101" i="8" l="1"/>
  <c r="K653" i="8"/>
  <c r="U1467" i="8" l="1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U58" i="8"/>
  <c r="V377" i="8" l="1"/>
  <c r="V1193" i="8"/>
  <c r="W297" i="8"/>
  <c r="V1386" i="8"/>
  <c r="R473" i="8" l="1"/>
  <c r="P473" i="8"/>
  <c r="R281" i="8"/>
  <c r="P281" i="8"/>
  <c r="R569" i="8" l="1"/>
  <c r="P1402" i="8" l="1"/>
  <c r="P265" i="8" l="1"/>
  <c r="P985" i="8" l="1"/>
  <c r="P825" i="8"/>
  <c r="P713" i="8" l="1"/>
  <c r="R633" i="8" l="1"/>
  <c r="U1466" i="8" l="1"/>
  <c r="U1242" i="8"/>
  <c r="U985" i="8"/>
  <c r="U857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U1274" i="8"/>
  <c r="W1290" i="8"/>
  <c r="U201" i="8"/>
  <c r="W1033" i="8"/>
  <c r="W473" i="8"/>
  <c r="U1386" i="8"/>
  <c r="W1386" i="8" s="1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L122" i="1" l="1"/>
  <c r="B69" i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2" i="1" l="1"/>
  <c r="W1235" i="8" l="1"/>
  <c r="R274" i="8" l="1"/>
  <c r="R273" i="8"/>
  <c r="R272" i="8"/>
  <c r="R271" i="8"/>
  <c r="R269" i="8"/>
  <c r="B101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5" i="1" s="1"/>
  <c r="U1471" i="8"/>
  <c r="W1471" i="8" s="1"/>
  <c r="Y1471" i="8" s="1"/>
  <c r="C1471" i="8"/>
  <c r="K1470" i="8"/>
  <c r="J35" i="1" s="1"/>
  <c r="G1470" i="8"/>
  <c r="M35" i="1" s="1"/>
  <c r="R1467" i="8"/>
  <c r="W1465" i="8"/>
  <c r="Y1465" i="8" s="1"/>
  <c r="W1466" i="8" s="1"/>
  <c r="Y1466" i="8" s="1"/>
  <c r="W1467" i="8" s="1"/>
  <c r="Y1467" i="8" s="1"/>
  <c r="W1468" i="8" s="1"/>
  <c r="Y1468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104" i="1" s="1"/>
  <c r="U1455" i="8"/>
  <c r="W1455" i="8" s="1"/>
  <c r="Y1455" i="8" s="1"/>
  <c r="C1455" i="8"/>
  <c r="F104" i="1" s="1"/>
  <c r="K1454" i="8"/>
  <c r="J104" i="1" s="1"/>
  <c r="G1454" i="8"/>
  <c r="M104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G83" i="1" s="1"/>
  <c r="U1439" i="8"/>
  <c r="W1439" i="8" s="1"/>
  <c r="Y1439" i="8" s="1"/>
  <c r="C1439" i="8"/>
  <c r="K1438" i="8"/>
  <c r="J83" i="1" s="1"/>
  <c r="G1438" i="8"/>
  <c r="M83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G74" i="1" s="1"/>
  <c r="U1423" i="8"/>
  <c r="W1423" i="8" s="1"/>
  <c r="Y1423" i="8" s="1"/>
  <c r="C1423" i="8"/>
  <c r="F74" i="1" s="1"/>
  <c r="K1422" i="8"/>
  <c r="J74" i="1" s="1"/>
  <c r="G1422" i="8"/>
  <c r="M74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U1408" i="8"/>
  <c r="W1408" i="8" s="1"/>
  <c r="Y1408" i="8" s="1"/>
  <c r="G1408" i="8"/>
  <c r="C1408" i="8"/>
  <c r="G48" i="1" s="1"/>
  <c r="U1407" i="8"/>
  <c r="W1407" i="8" s="1"/>
  <c r="Y1407" i="8" s="1"/>
  <c r="C1407" i="8"/>
  <c r="F48" i="1" s="1"/>
  <c r="K1406" i="8"/>
  <c r="J48" i="1" s="1"/>
  <c r="G1406" i="8"/>
  <c r="M48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52" i="1" s="1"/>
  <c r="C1391" i="8"/>
  <c r="F52" i="1" s="1"/>
  <c r="J52" i="1"/>
  <c r="G1390" i="8"/>
  <c r="M52" i="1" s="1"/>
  <c r="R1387" i="8"/>
  <c r="W1385" i="8"/>
  <c r="Y1385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80" i="1" s="1"/>
  <c r="C1375" i="8"/>
  <c r="F80" i="1" s="1"/>
  <c r="K1374" i="8"/>
  <c r="J80" i="1" s="1"/>
  <c r="G1374" i="8"/>
  <c r="M80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29" i="1" s="1"/>
  <c r="C1359" i="8"/>
  <c r="K1358" i="8"/>
  <c r="J29" i="1" s="1"/>
  <c r="G1358" i="8"/>
  <c r="M29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U1346" i="8"/>
  <c r="W1346" i="8" s="1"/>
  <c r="Y1346" i="8" s="1"/>
  <c r="U1347" i="8" s="1"/>
  <c r="R1346" i="8"/>
  <c r="G1344" i="8"/>
  <c r="C1344" i="8"/>
  <c r="G32" i="1" s="1"/>
  <c r="C1343" i="8"/>
  <c r="F32" i="1" s="1"/>
  <c r="K1342" i="8"/>
  <c r="J32" i="1" s="1"/>
  <c r="G1342" i="8"/>
  <c r="M32" i="1" s="1"/>
  <c r="C1345" i="8"/>
  <c r="I1341" i="8" s="1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U1328" i="8"/>
  <c r="W1328" i="8" s="1"/>
  <c r="Y1328" i="8" s="1"/>
  <c r="G1328" i="8"/>
  <c r="C1328" i="8"/>
  <c r="G30" i="1" s="1"/>
  <c r="U1327" i="8"/>
  <c r="W1327" i="8" s="1"/>
  <c r="Y1327" i="8" s="1"/>
  <c r="C1327" i="8"/>
  <c r="F30" i="1" s="1"/>
  <c r="K1326" i="8"/>
  <c r="J30" i="1" s="1"/>
  <c r="G1326" i="8"/>
  <c r="M30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U1313" i="8"/>
  <c r="W1313" i="8" s="1"/>
  <c r="Y1313" i="8" s="1"/>
  <c r="R1313" i="8"/>
  <c r="U1312" i="8"/>
  <c r="W1312" i="8" s="1"/>
  <c r="Y1312" i="8" s="1"/>
  <c r="G1312" i="8"/>
  <c r="C1312" i="8"/>
  <c r="G26" i="1" s="1"/>
  <c r="U1311" i="8"/>
  <c r="W1311" i="8" s="1"/>
  <c r="Y1311" i="8" s="1"/>
  <c r="C1311" i="8"/>
  <c r="F26" i="1" s="1"/>
  <c r="K1310" i="8"/>
  <c r="J26" i="1" s="1"/>
  <c r="G1310" i="8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97" i="1" s="1"/>
  <c r="C1295" i="8"/>
  <c r="F97" i="1" s="1"/>
  <c r="K1294" i="8"/>
  <c r="J97" i="1" s="1"/>
  <c r="G1294" i="8"/>
  <c r="M97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G1280" i="8"/>
  <c r="C1280" i="8"/>
  <c r="G82" i="1" s="1"/>
  <c r="C1279" i="8"/>
  <c r="F82" i="1" s="1"/>
  <c r="K1278" i="8"/>
  <c r="J82" i="1" s="1"/>
  <c r="G1278" i="8"/>
  <c r="M82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U1265" i="8"/>
  <c r="W1265" i="8" s="1"/>
  <c r="Y1265" i="8" s="1"/>
  <c r="R1265" i="8"/>
  <c r="U1264" i="8"/>
  <c r="W1264" i="8" s="1"/>
  <c r="Y1264" i="8" s="1"/>
  <c r="G1264" i="8"/>
  <c r="C1264" i="8"/>
  <c r="G43" i="1" s="1"/>
  <c r="U1263" i="8"/>
  <c r="W1263" i="8" s="1"/>
  <c r="Y1263" i="8" s="1"/>
  <c r="C1263" i="8"/>
  <c r="F43" i="1" s="1"/>
  <c r="K1262" i="8"/>
  <c r="J43" i="1" s="1"/>
  <c r="G1262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77" i="1" s="1"/>
  <c r="R1247" i="8"/>
  <c r="C1247" i="8"/>
  <c r="F77" i="1" s="1"/>
  <c r="R1246" i="8"/>
  <c r="K1246" i="8"/>
  <c r="J77" i="1" s="1"/>
  <c r="G1246" i="8"/>
  <c r="M77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G1232" i="8"/>
  <c r="O69" i="1" s="1"/>
  <c r="C1232" i="8"/>
  <c r="G69" i="1" s="1"/>
  <c r="C1231" i="8"/>
  <c r="F69" i="1" s="1"/>
  <c r="R1230" i="8"/>
  <c r="K1230" i="8"/>
  <c r="J69" i="1" s="1"/>
  <c r="G1230" i="8"/>
  <c r="M69" i="1" s="1"/>
  <c r="U1227" i="8"/>
  <c r="W1227" i="8" s="1"/>
  <c r="Y1227" i="8" s="1"/>
  <c r="U1228" i="8" s="1"/>
  <c r="W1228" i="8" s="1"/>
  <c r="Y1228" i="8" s="1"/>
  <c r="Y1226" i="8"/>
  <c r="W1226" i="8"/>
  <c r="U1226" i="8"/>
  <c r="C1233" i="8"/>
  <c r="Y1225" i="8"/>
  <c r="W1225" i="8"/>
  <c r="H1224" i="8"/>
  <c r="G1224" i="8"/>
  <c r="U1220" i="8"/>
  <c r="W1220" i="8" s="1"/>
  <c r="Y1220" i="8" s="1"/>
  <c r="R1220" i="8"/>
  <c r="R1219" i="8"/>
  <c r="R1217" i="8"/>
  <c r="G1216" i="8"/>
  <c r="K1216" i="8" s="1"/>
  <c r="C1216" i="8"/>
  <c r="G50" i="1" s="1"/>
  <c r="C1215" i="8"/>
  <c r="F50" i="1" s="1"/>
  <c r="R1214" i="8"/>
  <c r="K1214" i="8"/>
  <c r="J50" i="1" s="1"/>
  <c r="G1214" i="8"/>
  <c r="M50" i="1" s="1"/>
  <c r="C1217" i="8"/>
  <c r="U1211" i="8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Y1210" i="8"/>
  <c r="W1210" i="8"/>
  <c r="U1210" i="8"/>
  <c r="Y1209" i="8"/>
  <c r="W1209" i="8"/>
  <c r="H1208" i="8"/>
  <c r="G1208" i="8"/>
  <c r="G1199" i="8"/>
  <c r="C1199" i="8"/>
  <c r="G46" i="1" s="1"/>
  <c r="R1198" i="8"/>
  <c r="C1198" i="8"/>
  <c r="F46" i="1" s="1"/>
  <c r="K1197" i="8"/>
  <c r="J46" i="1" s="1"/>
  <c r="G1197" i="8"/>
  <c r="M46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W1198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U1183" i="8"/>
  <c r="W1183" i="8" s="1"/>
  <c r="Y1183" i="8" s="1"/>
  <c r="R1183" i="8"/>
  <c r="G1183" i="8"/>
  <c r="K1183" i="8" s="1"/>
  <c r="C1183" i="8"/>
  <c r="G61" i="1" s="1"/>
  <c r="U1182" i="8"/>
  <c r="W1182" i="8" s="1"/>
  <c r="Y1182" i="8" s="1"/>
  <c r="R1182" i="8"/>
  <c r="C1182" i="8"/>
  <c r="F61" i="1" s="1"/>
  <c r="R1181" i="8"/>
  <c r="K1181" i="8"/>
  <c r="G1181" i="8"/>
  <c r="M61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23" i="1" s="1"/>
  <c r="U1150" i="8"/>
  <c r="W1150" i="8" s="1"/>
  <c r="Y1150" i="8" s="1"/>
  <c r="C1150" i="8"/>
  <c r="F23" i="1" s="1"/>
  <c r="K1149" i="8"/>
  <c r="J23" i="1" s="1"/>
  <c r="G1149" i="8"/>
  <c r="M23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U1134" i="8"/>
  <c r="W1134" i="8" s="1"/>
  <c r="Y1134" i="8" s="1"/>
  <c r="C1134" i="8"/>
  <c r="F22" i="1" s="1"/>
  <c r="R1133" i="8"/>
  <c r="K1133" i="8"/>
  <c r="J22" i="1" s="1"/>
  <c r="G1133" i="8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R1130" i="8"/>
  <c r="Y1129" i="8"/>
  <c r="W1129" i="8"/>
  <c r="U1129" i="8"/>
  <c r="R1129" i="8"/>
  <c r="C1136" i="8" s="1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U1120" i="8"/>
  <c r="W1120" i="8" s="1"/>
  <c r="Y1120" i="8" s="1"/>
  <c r="R1120" i="8"/>
  <c r="C1120" i="8"/>
  <c r="U1119" i="8"/>
  <c r="W1119" i="8" s="1"/>
  <c r="Y1119" i="8" s="1"/>
  <c r="R1119" i="8"/>
  <c r="G1119" i="8"/>
  <c r="K1119" i="8" s="1"/>
  <c r="C1119" i="8"/>
  <c r="U1118" i="8"/>
  <c r="W1118" i="8" s="1"/>
  <c r="Y1118" i="8" s="1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9" i="1" s="1"/>
  <c r="R1102" i="8"/>
  <c r="C1102" i="8"/>
  <c r="F89" i="1" s="1"/>
  <c r="G1101" i="8"/>
  <c r="M89" i="1" s="1"/>
  <c r="R1099" i="8"/>
  <c r="R1097" i="8"/>
  <c r="C1104" i="8" s="1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0" i="1" s="1"/>
  <c r="U1086" i="8"/>
  <c r="W1086" i="8" s="1"/>
  <c r="Y1086" i="8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G1039" i="8"/>
  <c r="C1039" i="8"/>
  <c r="G59" i="1" s="1"/>
  <c r="C1038" i="8"/>
  <c r="K1037" i="8"/>
  <c r="J59" i="1" s="1"/>
  <c r="G1037" i="8"/>
  <c r="M59" i="1" s="1"/>
  <c r="C1040" i="8"/>
  <c r="W1032" i="8"/>
  <c r="Y1032" i="8" s="1"/>
  <c r="Y1033" i="8" s="1"/>
  <c r="W1034" i="8" s="1"/>
  <c r="Y1034" i="8" s="1"/>
  <c r="H1031" i="8"/>
  <c r="G1031" i="8"/>
  <c r="C1024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100" i="1" s="1"/>
  <c r="U1022" i="8"/>
  <c r="W1022" i="8" s="1"/>
  <c r="Y1022" i="8" s="1"/>
  <c r="C1022" i="8"/>
  <c r="F100" i="1" s="1"/>
  <c r="R1021" i="8"/>
  <c r="K1021" i="8"/>
  <c r="J100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76" i="1" s="1"/>
  <c r="U1006" i="8"/>
  <c r="W1006" i="8" s="1"/>
  <c r="Y1006" i="8" s="1"/>
  <c r="R1006" i="8"/>
  <c r="C1006" i="8"/>
  <c r="F76" i="1" s="1"/>
  <c r="K1005" i="8"/>
  <c r="J76" i="1" s="1"/>
  <c r="G1005" i="8"/>
  <c r="M76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78" i="1" s="1"/>
  <c r="R990" i="8"/>
  <c r="C990" i="8"/>
  <c r="R989" i="8"/>
  <c r="K989" i="8"/>
  <c r="J78" i="1" s="1"/>
  <c r="G989" i="8"/>
  <c r="M78" i="1" s="1"/>
  <c r="R988" i="8"/>
  <c r="C992" i="8" s="1"/>
  <c r="I988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5" i="1" s="1"/>
  <c r="U974" i="8"/>
  <c r="W974" i="8" s="1"/>
  <c r="Y974" i="8" s="1"/>
  <c r="C974" i="8"/>
  <c r="F25" i="1" s="1"/>
  <c r="R973" i="8"/>
  <c r="K973" i="8"/>
  <c r="J25" i="1" s="1"/>
  <c r="G973" i="8"/>
  <c r="M25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R959" i="8"/>
  <c r="G959" i="8"/>
  <c r="O96" i="1" s="1"/>
  <c r="C959" i="8"/>
  <c r="G96" i="1" s="1"/>
  <c r="R958" i="8"/>
  <c r="C958" i="8"/>
  <c r="F96" i="1" s="1"/>
  <c r="R957" i="8"/>
  <c r="K957" i="8"/>
  <c r="J96" i="1" s="1"/>
  <c r="G957" i="8"/>
  <c r="M96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U943" i="8"/>
  <c r="W943" i="8" s="1"/>
  <c r="Y943" i="8" s="1"/>
  <c r="G943" i="8"/>
  <c r="C943" i="8"/>
  <c r="G68" i="1" s="1"/>
  <c r="U942" i="8"/>
  <c r="W942" i="8" s="1"/>
  <c r="Y942" i="8" s="1"/>
  <c r="C942" i="8"/>
  <c r="F68" i="1" s="1"/>
  <c r="R941" i="8"/>
  <c r="K941" i="8"/>
  <c r="J68" i="1" s="1"/>
  <c r="G941" i="8"/>
  <c r="M68" i="1" s="1"/>
  <c r="R940" i="8"/>
  <c r="R939" i="8"/>
  <c r="C944" i="8" s="1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86" i="1" s="1"/>
  <c r="C927" i="8"/>
  <c r="G86" i="1" s="1"/>
  <c r="U926" i="8"/>
  <c r="W926" i="8" s="1"/>
  <c r="Y926" i="8" s="1"/>
  <c r="R926" i="8"/>
  <c r="C926" i="8"/>
  <c r="F86" i="1" s="1"/>
  <c r="R925" i="8"/>
  <c r="K925" i="8"/>
  <c r="J86" i="1" s="1"/>
  <c r="G925" i="8"/>
  <c r="M86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G908" i="8" s="1"/>
  <c r="L57" i="1" s="1"/>
  <c r="R914" i="8"/>
  <c r="U913" i="8"/>
  <c r="W913" i="8" s="1"/>
  <c r="Y913" i="8" s="1"/>
  <c r="R913" i="8"/>
  <c r="U912" i="8"/>
  <c r="W912" i="8" s="1"/>
  <c r="Y912" i="8" s="1"/>
  <c r="R912" i="8"/>
  <c r="U911" i="8"/>
  <c r="W911" i="8" s="1"/>
  <c r="Y911" i="8" s="1"/>
  <c r="R911" i="8"/>
  <c r="G911" i="8"/>
  <c r="K911" i="8" s="1"/>
  <c r="C911" i="8"/>
  <c r="G57" i="1" s="1"/>
  <c r="U910" i="8"/>
  <c r="W910" i="8" s="1"/>
  <c r="Y910" i="8" s="1"/>
  <c r="R910" i="8"/>
  <c r="C910" i="8"/>
  <c r="F57" i="1" s="1"/>
  <c r="R909" i="8"/>
  <c r="K909" i="8"/>
  <c r="J57" i="1" s="1"/>
  <c r="G909" i="8"/>
  <c r="M57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U895" i="8"/>
  <c r="W895" i="8" s="1"/>
  <c r="Y895" i="8" s="1"/>
  <c r="G895" i="8"/>
  <c r="C895" i="8"/>
  <c r="G99" i="1" s="1"/>
  <c r="U894" i="8"/>
  <c r="W894" i="8" s="1"/>
  <c r="Y894" i="8" s="1"/>
  <c r="C894" i="8"/>
  <c r="F99" i="1" s="1"/>
  <c r="K893" i="8"/>
  <c r="J99" i="1" s="1"/>
  <c r="G893" i="8"/>
  <c r="M99" i="1" s="1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U879" i="8"/>
  <c r="W879" i="8" s="1"/>
  <c r="Y879" i="8" s="1"/>
  <c r="R879" i="8"/>
  <c r="G879" i="8"/>
  <c r="K879" i="8" s="1"/>
  <c r="C879" i="8"/>
  <c r="G31" i="1" s="1"/>
  <c r="U878" i="8"/>
  <c r="W878" i="8" s="1"/>
  <c r="Y878" i="8" s="1"/>
  <c r="R878" i="8"/>
  <c r="C878" i="8"/>
  <c r="F31" i="1" s="1"/>
  <c r="R877" i="8"/>
  <c r="K877" i="8"/>
  <c r="J31" i="1" s="1"/>
  <c r="G877" i="8"/>
  <c r="M31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56" i="1" s="1"/>
  <c r="R862" i="8"/>
  <c r="C862" i="8"/>
  <c r="F56" i="1" s="1"/>
  <c r="R861" i="8"/>
  <c r="K861" i="8"/>
  <c r="J56" i="1" s="1"/>
  <c r="G861" i="8"/>
  <c r="M56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65" i="1" s="1"/>
  <c r="R846" i="8"/>
  <c r="C846" i="8"/>
  <c r="F65" i="1" s="1"/>
  <c r="R845" i="8"/>
  <c r="K845" i="8"/>
  <c r="J65" i="1" s="1"/>
  <c r="G845" i="8"/>
  <c r="M65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85" i="1" s="1"/>
  <c r="C830" i="8"/>
  <c r="F85" i="1" s="1"/>
  <c r="R829" i="8"/>
  <c r="K829" i="8"/>
  <c r="J85" i="1" s="1"/>
  <c r="G829" i="8"/>
  <c r="M85" i="1" s="1"/>
  <c r="Y824" i="8"/>
  <c r="Y825" i="8" s="1"/>
  <c r="Y826" i="8" s="1"/>
  <c r="Y827" i="8" s="1"/>
  <c r="W828" i="8" s="1"/>
  <c r="Y828" i="8" s="1"/>
  <c r="W829" i="8" s="1"/>
  <c r="Y829" i="8" s="1"/>
  <c r="W830" i="8" s="1"/>
  <c r="Y830" i="8" s="1"/>
  <c r="U831" i="8" s="1"/>
  <c r="W831" i="8" s="1"/>
  <c r="Y831" i="8" s="1"/>
  <c r="U832" i="8" s="1"/>
  <c r="W832" i="8" s="1"/>
  <c r="Y832" i="8" s="1"/>
  <c r="W824" i="8"/>
  <c r="H823" i="8"/>
  <c r="G823" i="8"/>
  <c r="R819" i="8"/>
  <c r="R818" i="8"/>
  <c r="R817" i="8"/>
  <c r="R816" i="8"/>
  <c r="G815" i="8"/>
  <c r="C815" i="8"/>
  <c r="G58" i="1" s="1"/>
  <c r="C814" i="8"/>
  <c r="F58" i="1" s="1"/>
  <c r="R813" i="8"/>
  <c r="K813" i="8"/>
  <c r="J58" i="1" s="1"/>
  <c r="G813" i="8"/>
  <c r="M58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3" i="1" s="1"/>
  <c r="U798" i="8"/>
  <c r="W798" i="8" s="1"/>
  <c r="Y798" i="8" s="1"/>
  <c r="C798" i="8"/>
  <c r="F33" i="1" s="1"/>
  <c r="R797" i="8"/>
  <c r="K797" i="8"/>
  <c r="J33" i="1" s="1"/>
  <c r="G797" i="8"/>
  <c r="M33" i="1" s="1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90" i="1" s="1"/>
  <c r="C766" i="8"/>
  <c r="F90" i="1" s="1"/>
  <c r="K765" i="8"/>
  <c r="J90" i="1" s="1"/>
  <c r="G765" i="8"/>
  <c r="M90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103" i="1" s="1"/>
  <c r="U750" i="8"/>
  <c r="W750" i="8" s="1"/>
  <c r="Y750" i="8" s="1"/>
  <c r="R750" i="8"/>
  <c r="C750" i="8"/>
  <c r="F103" i="1" s="1"/>
  <c r="R749" i="8"/>
  <c r="K749" i="8"/>
  <c r="J103" i="1" s="1"/>
  <c r="G749" i="8"/>
  <c r="M103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U735" i="8"/>
  <c r="W735" i="8" s="1"/>
  <c r="Y735" i="8" s="1"/>
  <c r="G735" i="8"/>
  <c r="K735" i="8" s="1"/>
  <c r="C735" i="8"/>
  <c r="G84" i="1" s="1"/>
  <c r="U734" i="8"/>
  <c r="W734" i="8" s="1"/>
  <c r="Y734" i="8" s="1"/>
  <c r="R734" i="8"/>
  <c r="C734" i="8"/>
  <c r="J84" i="1"/>
  <c r="G733" i="8"/>
  <c r="M84" i="1" s="1"/>
  <c r="R731" i="8"/>
  <c r="U730" i="8"/>
  <c r="W730" i="8" s="1"/>
  <c r="Y730" i="8" s="1"/>
  <c r="U731" i="8" s="1"/>
  <c r="W731" i="8" s="1"/>
  <c r="Y731" i="8" s="1"/>
  <c r="Y729" i="8"/>
  <c r="W729" i="8"/>
  <c r="U729" i="8"/>
  <c r="C736" i="8"/>
  <c r="Y728" i="8"/>
  <c r="W728" i="8"/>
  <c r="H727" i="8"/>
  <c r="G727" i="8"/>
  <c r="U723" i="8"/>
  <c r="W723" i="8" s="1"/>
  <c r="Y723" i="8" s="1"/>
  <c r="R723" i="8"/>
  <c r="R722" i="8"/>
  <c r="C720" i="8" s="1"/>
  <c r="U721" i="8"/>
  <c r="W721" i="8" s="1"/>
  <c r="Y721" i="8" s="1"/>
  <c r="U722" i="8" s="1"/>
  <c r="R721" i="8"/>
  <c r="U720" i="8"/>
  <c r="W720" i="8" s="1"/>
  <c r="Y720" i="8" s="1"/>
  <c r="R720" i="8"/>
  <c r="U719" i="8"/>
  <c r="W719" i="8" s="1"/>
  <c r="Y719" i="8" s="1"/>
  <c r="R719" i="8"/>
  <c r="G719" i="8"/>
  <c r="K719" i="8" s="1"/>
  <c r="C719" i="8"/>
  <c r="G102" i="1" s="1"/>
  <c r="U718" i="8"/>
  <c r="W718" i="8" s="1"/>
  <c r="Y718" i="8" s="1"/>
  <c r="R718" i="8"/>
  <c r="C718" i="8"/>
  <c r="F102" i="1" s="1"/>
  <c r="R717" i="8"/>
  <c r="K717" i="8"/>
  <c r="J102" i="1" s="1"/>
  <c r="G717" i="8"/>
  <c r="M102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I700" i="8" s="1"/>
  <c r="G703" i="8"/>
  <c r="K703" i="8" s="1"/>
  <c r="C703" i="8"/>
  <c r="G24" i="1" s="1"/>
  <c r="C702" i="8"/>
  <c r="F24" i="1" s="1"/>
  <c r="K701" i="8"/>
  <c r="J24" i="1" s="1"/>
  <c r="G701" i="8"/>
  <c r="M24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6" i="1" s="1"/>
  <c r="C687" i="8"/>
  <c r="G66" i="1" s="1"/>
  <c r="R686" i="8"/>
  <c r="C686" i="8"/>
  <c r="F66" i="1" s="1"/>
  <c r="R685" i="8"/>
  <c r="K685" i="8"/>
  <c r="J66" i="1" s="1"/>
  <c r="G685" i="8"/>
  <c r="M66" i="1" s="1"/>
  <c r="R684" i="8"/>
  <c r="C688" i="8" s="1"/>
  <c r="I684" i="8" s="1"/>
  <c r="K684" i="8" s="1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U671" i="8"/>
  <c r="W671" i="8" s="1"/>
  <c r="Y671" i="8" s="1"/>
  <c r="R671" i="8"/>
  <c r="G671" i="8"/>
  <c r="C671" i="8"/>
  <c r="G70" i="1" s="1"/>
  <c r="U670" i="8"/>
  <c r="W670" i="8" s="1"/>
  <c r="Y670" i="8" s="1"/>
  <c r="R670" i="8"/>
  <c r="C670" i="8"/>
  <c r="F70" i="1" s="1"/>
  <c r="R669" i="8"/>
  <c r="K669" i="8"/>
  <c r="J70" i="1" s="1"/>
  <c r="G669" i="8"/>
  <c r="M70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U655" i="8"/>
  <c r="W655" i="8" s="1"/>
  <c r="Y655" i="8" s="1"/>
  <c r="G655" i="8"/>
  <c r="K655" i="8" s="1"/>
  <c r="C655" i="8"/>
  <c r="G49" i="1" s="1"/>
  <c r="R654" i="8"/>
  <c r="C654" i="8"/>
  <c r="F49" i="1" s="1"/>
  <c r="J49" i="1"/>
  <c r="G653" i="8"/>
  <c r="M49" i="1" s="1"/>
  <c r="R652" i="8"/>
  <c r="C656" i="8" s="1"/>
  <c r="I652" i="8" s="1"/>
  <c r="K652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7" i="1" s="1"/>
  <c r="R638" i="8"/>
  <c r="C638" i="8"/>
  <c r="F67" i="1" s="1"/>
  <c r="R637" i="8"/>
  <c r="K637" i="8"/>
  <c r="J67" i="1" s="1"/>
  <c r="G637" i="8"/>
  <c r="M67" i="1" s="1"/>
  <c r="R636" i="8"/>
  <c r="R635" i="8"/>
  <c r="C640" i="8" s="1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34" i="1" s="1"/>
  <c r="Y622" i="8"/>
  <c r="W622" i="8"/>
  <c r="C622" i="8"/>
  <c r="F34" i="1" s="1"/>
  <c r="Y621" i="8"/>
  <c r="W621" i="8"/>
  <c r="R621" i="8"/>
  <c r="K621" i="8"/>
  <c r="J34" i="1" s="1"/>
  <c r="G621" i="8"/>
  <c r="M34" i="1" s="1"/>
  <c r="Y620" i="8"/>
  <c r="W620" i="8"/>
  <c r="R620" i="8"/>
  <c r="G620" i="8"/>
  <c r="L34" i="1" s="1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4" i="1" s="1"/>
  <c r="R606" i="8"/>
  <c r="C606" i="8"/>
  <c r="F44" i="1" s="1"/>
  <c r="R605" i="8"/>
  <c r="K605" i="8"/>
  <c r="J44" i="1" s="1"/>
  <c r="G605" i="8"/>
  <c r="M44" i="1" s="1"/>
  <c r="C608" i="8"/>
  <c r="R601" i="8"/>
  <c r="W600" i="8"/>
  <c r="Y600" i="8" s="1"/>
  <c r="H599" i="8"/>
  <c r="G599" i="8"/>
  <c r="G591" i="8"/>
  <c r="K591" i="8" s="1"/>
  <c r="C591" i="8"/>
  <c r="G73" i="1" s="1"/>
  <c r="C590" i="8"/>
  <c r="F73" i="1" s="1"/>
  <c r="K589" i="8"/>
  <c r="J73" i="1" s="1"/>
  <c r="G589" i="8"/>
  <c r="M73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81" i="1" s="1"/>
  <c r="R574" i="8"/>
  <c r="C574" i="8"/>
  <c r="F81" i="1" s="1"/>
  <c r="R573" i="8"/>
  <c r="K573" i="8"/>
  <c r="J81" i="1" s="1"/>
  <c r="G573" i="8"/>
  <c r="M81" i="1" s="1"/>
  <c r="R572" i="8"/>
  <c r="C576" i="8" s="1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R559" i="8"/>
  <c r="G559" i="8"/>
  <c r="K559" i="8" s="1"/>
  <c r="C559" i="8"/>
  <c r="G94" i="1" s="1"/>
  <c r="R558" i="8"/>
  <c r="C558" i="8"/>
  <c r="F94" i="1" s="1"/>
  <c r="R557" i="8"/>
  <c r="K557" i="8"/>
  <c r="J94" i="1" s="1"/>
  <c r="G557" i="8"/>
  <c r="M94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R543" i="8"/>
  <c r="G543" i="8"/>
  <c r="K543" i="8" s="1"/>
  <c r="C543" i="8"/>
  <c r="G79" i="1" s="1"/>
  <c r="C542" i="8"/>
  <c r="F79" i="1" s="1"/>
  <c r="K541" i="8"/>
  <c r="J79" i="1" s="1"/>
  <c r="G541" i="8"/>
  <c r="M79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38" i="1" s="1"/>
  <c r="C526" i="8"/>
  <c r="F38" i="1" s="1"/>
  <c r="K525" i="8"/>
  <c r="J38" i="1" s="1"/>
  <c r="G525" i="8"/>
  <c r="M38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92" i="1" s="1"/>
  <c r="C510" i="8"/>
  <c r="F92" i="1" s="1"/>
  <c r="K509" i="8"/>
  <c r="J92" i="1" s="1"/>
  <c r="G509" i="8"/>
  <c r="M92" i="1" s="1"/>
  <c r="R506" i="8"/>
  <c r="R507" i="8" s="1"/>
  <c r="R508" i="8" s="1"/>
  <c r="R509" i="8" s="1"/>
  <c r="R510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1" i="1" s="1"/>
  <c r="U494" i="8"/>
  <c r="W494" i="8" s="1"/>
  <c r="Y494" i="8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Y489" i="8"/>
  <c r="W489" i="8"/>
  <c r="R489" i="8"/>
  <c r="Y488" i="8"/>
  <c r="W488" i="8"/>
  <c r="H487" i="8"/>
  <c r="G487" i="8"/>
  <c r="C480" i="8"/>
  <c r="G479" i="8"/>
  <c r="K479" i="8" s="1"/>
  <c r="C479" i="8"/>
  <c r="G45" i="1" s="1"/>
  <c r="C478" i="8"/>
  <c r="F45" i="1" s="1"/>
  <c r="K477" i="8"/>
  <c r="J45" i="1" s="1"/>
  <c r="G477" i="8"/>
  <c r="M45" i="1" s="1"/>
  <c r="Y474" i="8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U482" i="8" s="1"/>
  <c r="Y473" i="8"/>
  <c r="Y472" i="8"/>
  <c r="W472" i="8"/>
  <c r="R472" i="8"/>
  <c r="H471" i="8"/>
  <c r="G471" i="8"/>
  <c r="R467" i="8"/>
  <c r="R464" i="8"/>
  <c r="R463" i="8"/>
  <c r="G463" i="8"/>
  <c r="K463" i="8" s="1"/>
  <c r="C463" i="8"/>
  <c r="G75" i="1" s="1"/>
  <c r="R462" i="8"/>
  <c r="C462" i="8"/>
  <c r="F75" i="1" s="1"/>
  <c r="R461" i="8"/>
  <c r="K461" i="8"/>
  <c r="J75" i="1" s="1"/>
  <c r="G461" i="8"/>
  <c r="M75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2" i="1" s="1"/>
  <c r="C446" i="8"/>
  <c r="F62" i="1" s="1"/>
  <c r="R445" i="8"/>
  <c r="K445" i="8"/>
  <c r="J62" i="1" s="1"/>
  <c r="G445" i="8"/>
  <c r="M62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W446" i="8" s="1"/>
  <c r="Y446" i="8" s="1"/>
  <c r="W447" i="8" s="1"/>
  <c r="Y447" i="8" s="1"/>
  <c r="W448" i="8" s="1"/>
  <c r="Y448" i="8" s="1"/>
  <c r="Y441" i="8"/>
  <c r="W441" i="8"/>
  <c r="U441" i="8"/>
  <c r="Y440" i="8"/>
  <c r="W440" i="8"/>
  <c r="H439" i="8"/>
  <c r="G439" i="8"/>
  <c r="C432" i="8"/>
  <c r="G431" i="8"/>
  <c r="O53" i="1" s="1"/>
  <c r="C431" i="8"/>
  <c r="G53" i="1" s="1"/>
  <c r="R430" i="8"/>
  <c r="C430" i="8"/>
  <c r="F53" i="1" s="1"/>
  <c r="K429" i="8"/>
  <c r="J53" i="1" s="1"/>
  <c r="G429" i="8"/>
  <c r="M53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95" i="1" s="1"/>
  <c r="R414" i="8"/>
  <c r="C414" i="8"/>
  <c r="F95" i="1" s="1"/>
  <c r="K413" i="8"/>
  <c r="J95" i="1" s="1"/>
  <c r="G413" i="8"/>
  <c r="M95" i="1" s="1"/>
  <c r="W409" i="8"/>
  <c r="Y409" i="8" s="1"/>
  <c r="W410" i="8" s="1"/>
  <c r="Y410" i="8" s="1"/>
  <c r="U411" i="8" s="1"/>
  <c r="W411" i="8" s="1"/>
  <c r="Y411" i="8" s="1"/>
  <c r="W412" i="8" s="1"/>
  <c r="Y412" i="8" s="1"/>
  <c r="W413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C400" i="8"/>
  <c r="G399" i="8"/>
  <c r="K399" i="8" s="1"/>
  <c r="C399" i="8"/>
  <c r="G15" i="1" s="1"/>
  <c r="C398" i="8"/>
  <c r="F15" i="1" s="1"/>
  <c r="R397" i="8"/>
  <c r="K397" i="8"/>
  <c r="J15" i="1" s="1"/>
  <c r="G397" i="8"/>
  <c r="M15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7" i="8" s="1"/>
  <c r="Y397" i="8" s="1"/>
  <c r="W398" i="8" s="1"/>
  <c r="Y398" i="8" s="1"/>
  <c r="W399" i="8" s="1"/>
  <c r="Y399" i="8" s="1"/>
  <c r="W400" i="8" s="1"/>
  <c r="Y400" i="8" s="1"/>
  <c r="W401" i="8" s="1"/>
  <c r="Y401" i="8" s="1"/>
  <c r="W392" i="8"/>
  <c r="H391" i="8"/>
  <c r="G391" i="8"/>
  <c r="R386" i="8"/>
  <c r="C384" i="8"/>
  <c r="G383" i="8"/>
  <c r="K383" i="8" s="1"/>
  <c r="C383" i="8"/>
  <c r="G47" i="1" s="1"/>
  <c r="C382" i="8"/>
  <c r="F47" i="1" s="1"/>
  <c r="K381" i="8"/>
  <c r="J47" i="1" s="1"/>
  <c r="G381" i="8"/>
  <c r="M47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98" i="1" s="1"/>
  <c r="C350" i="8"/>
  <c r="F98" i="1" s="1"/>
  <c r="K349" i="8"/>
  <c r="J98" i="1" s="1"/>
  <c r="G349" i="8"/>
  <c r="M98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C336" i="8" s="1"/>
  <c r="I332" i="8" s="1"/>
  <c r="R337" i="8"/>
  <c r="R336" i="8"/>
  <c r="R335" i="8"/>
  <c r="G335" i="8"/>
  <c r="K335" i="8" s="1"/>
  <c r="C335" i="8"/>
  <c r="G93" i="1" s="1"/>
  <c r="R334" i="8"/>
  <c r="C334" i="8"/>
  <c r="F93" i="1" s="1"/>
  <c r="R333" i="8"/>
  <c r="K333" i="8"/>
  <c r="J93" i="1" s="1"/>
  <c r="G333" i="8"/>
  <c r="M93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60" i="1" s="1"/>
  <c r="C318" i="8"/>
  <c r="F60" i="1" s="1"/>
  <c r="K317" i="8"/>
  <c r="J60" i="1" s="1"/>
  <c r="G317" i="8"/>
  <c r="M60" i="1" s="1"/>
  <c r="W312" i="8"/>
  <c r="Y312" i="8" s="1"/>
  <c r="Y313" i="8" s="1"/>
  <c r="Y314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2" i="1" s="1"/>
  <c r="R301" i="8"/>
  <c r="K301" i="8"/>
  <c r="J42" i="1" s="1"/>
  <c r="G301" i="8"/>
  <c r="M42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1" i="1" s="1"/>
  <c r="U286" i="8"/>
  <c r="W286" i="8" s="1"/>
  <c r="Y286" i="8" s="1"/>
  <c r="C286" i="8"/>
  <c r="F41" i="1" s="1"/>
  <c r="K285" i="8"/>
  <c r="J41" i="1" s="1"/>
  <c r="G285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Y280" i="8"/>
  <c r="W280" i="8"/>
  <c r="H279" i="8"/>
  <c r="G279" i="8"/>
  <c r="R275" i="8"/>
  <c r="G271" i="8"/>
  <c r="K271" i="8" s="1"/>
  <c r="C271" i="8"/>
  <c r="G40" i="1" s="1"/>
  <c r="R270" i="8"/>
  <c r="C270" i="8"/>
  <c r="K269" i="8"/>
  <c r="J40" i="1" s="1"/>
  <c r="G269" i="8"/>
  <c r="M40" i="1" s="1"/>
  <c r="R268" i="8"/>
  <c r="C272" i="8"/>
  <c r="I268" i="8" s="1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U254" i="8"/>
  <c r="W254" i="8" s="1"/>
  <c r="Y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C240" i="8"/>
  <c r="G239" i="8"/>
  <c r="K239" i="8" s="1"/>
  <c r="C239" i="8"/>
  <c r="G39" i="1" s="1"/>
  <c r="C238" i="8"/>
  <c r="F39" i="1" s="1"/>
  <c r="K237" i="8"/>
  <c r="J39" i="1" s="1"/>
  <c r="G237" i="8"/>
  <c r="M39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G191" i="8"/>
  <c r="O91" i="1" s="1"/>
  <c r="C191" i="8"/>
  <c r="G91" i="1" s="1"/>
  <c r="C190" i="8"/>
  <c r="F91" i="1" s="1"/>
  <c r="K189" i="8"/>
  <c r="J91" i="1" s="1"/>
  <c r="G189" i="8"/>
  <c r="M91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U174" i="8"/>
  <c r="W174" i="8" s="1"/>
  <c r="Y174" i="8" s="1"/>
  <c r="R174" i="8"/>
  <c r="C174" i="8"/>
  <c r="R173" i="8"/>
  <c r="G173" i="8"/>
  <c r="U172" i="8"/>
  <c r="W172" i="8" s="1"/>
  <c r="Y172" i="8" s="1"/>
  <c r="U173" i="8" s="1"/>
  <c r="W173" i="8" s="1"/>
  <c r="Y173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G159" i="8"/>
  <c r="K159" i="8" s="1"/>
  <c r="C159" i="8"/>
  <c r="G51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U158" i="8"/>
  <c r="C158" i="8"/>
  <c r="F51" i="1" s="1"/>
  <c r="U157" i="8"/>
  <c r="W157" i="8" s="1"/>
  <c r="Y157" i="8" s="1"/>
  <c r="J51" i="1"/>
  <c r="G157" i="8"/>
  <c r="W156" i="8"/>
  <c r="Y156" i="8" s="1"/>
  <c r="C160" i="8"/>
  <c r="I156" i="8" s="1"/>
  <c r="R154" i="8"/>
  <c r="Y152" i="8"/>
  <c r="H151" i="8"/>
  <c r="G151" i="8"/>
  <c r="U147" i="8"/>
  <c r="W147" i="8" s="1"/>
  <c r="Y147" i="8" s="1"/>
  <c r="R147" i="8"/>
  <c r="C144" i="8"/>
  <c r="Y143" i="8"/>
  <c r="W144" i="8" s="1"/>
  <c r="Y144" i="8" s="1"/>
  <c r="W145" i="8" s="1"/>
  <c r="Y145" i="8" s="1"/>
  <c r="U146" i="8" s="1"/>
  <c r="W143" i="8"/>
  <c r="G143" i="8"/>
  <c r="K143" i="8" s="1"/>
  <c r="C143" i="8"/>
  <c r="G101" i="1" s="1"/>
  <c r="Y142" i="8"/>
  <c r="W142" i="8"/>
  <c r="C142" i="8"/>
  <c r="F101" i="1" s="1"/>
  <c r="W141" i="8"/>
  <c r="Y141" i="8" s="1"/>
  <c r="K141" i="8"/>
  <c r="J101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U126" i="8"/>
  <c r="W126" i="8" s="1"/>
  <c r="Y126" i="8" s="1"/>
  <c r="R126" i="8"/>
  <c r="C126" i="8"/>
  <c r="F8" i="1" s="1"/>
  <c r="U125" i="8"/>
  <c r="W125" i="8" s="1"/>
  <c r="Y125" i="8" s="1"/>
  <c r="R125" i="8"/>
  <c r="K125" i="8"/>
  <c r="J8" i="1" s="1"/>
  <c r="G125" i="8"/>
  <c r="M8" i="1" s="1"/>
  <c r="U124" i="8"/>
  <c r="W124" i="8" s="1"/>
  <c r="Y124" i="8" s="1"/>
  <c r="R124" i="8"/>
  <c r="K124" i="8"/>
  <c r="K126" i="8" s="1"/>
  <c r="U122" i="8"/>
  <c r="W122" i="8" s="1"/>
  <c r="Y122" i="8" s="1"/>
  <c r="U123" i="8" s="1"/>
  <c r="W123" i="8" s="1"/>
  <c r="Y123" i="8" s="1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U110" i="8"/>
  <c r="W110" i="8" s="1"/>
  <c r="Y110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U93" i="8"/>
  <c r="W93" i="8" s="1"/>
  <c r="Y93" i="8" s="1"/>
  <c r="R93" i="8"/>
  <c r="K93" i="8"/>
  <c r="G93" i="8"/>
  <c r="R92" i="8"/>
  <c r="U91" i="8"/>
  <c r="W91" i="8" s="1"/>
  <c r="Y91" i="8" s="1"/>
  <c r="U92" i="8" s="1"/>
  <c r="W92" i="8" s="1"/>
  <c r="Y92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U63" i="8"/>
  <c r="R63" i="8"/>
  <c r="G63" i="8"/>
  <c r="O16" i="1" s="1"/>
  <c r="C63" i="8"/>
  <c r="G16" i="1" s="1"/>
  <c r="Y62" i="8"/>
  <c r="W62" i="8"/>
  <c r="U62" i="8"/>
  <c r="R62" i="8"/>
  <c r="C62" i="8"/>
  <c r="F16" i="1" s="1"/>
  <c r="U61" i="8"/>
  <c r="W61" i="8" s="1"/>
  <c r="Y61" i="8" s="1"/>
  <c r="R61" i="8"/>
  <c r="K61" i="8"/>
  <c r="K62" i="8" s="1"/>
  <c r="K64" i="8" s="1"/>
  <c r="G61" i="8"/>
  <c r="M16" i="1" s="1"/>
  <c r="R60" i="8"/>
  <c r="K60" i="8"/>
  <c r="Y59" i="8"/>
  <c r="W60" i="8" s="1"/>
  <c r="Y60" i="8" s="1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U45" i="8"/>
  <c r="W45" i="8" s="1"/>
  <c r="Y45" i="8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Q107" i="1"/>
  <c r="H97" i="1"/>
  <c r="E97" i="1"/>
  <c r="B97" i="1"/>
  <c r="H96" i="1"/>
  <c r="E96" i="1"/>
  <c r="B96" i="1"/>
  <c r="H95" i="1"/>
  <c r="E95" i="1"/>
  <c r="B95" i="1"/>
  <c r="H94" i="1"/>
  <c r="E94" i="1"/>
  <c r="M43" i="1"/>
  <c r="H43" i="1"/>
  <c r="E43" i="1"/>
  <c r="B43" i="1"/>
  <c r="H92" i="1"/>
  <c r="E92" i="1"/>
  <c r="O100" i="1"/>
  <c r="M100" i="1"/>
  <c r="H100" i="1"/>
  <c r="E100" i="1"/>
  <c r="D100" i="1" s="1"/>
  <c r="B100" i="1"/>
  <c r="H90" i="1"/>
  <c r="E90" i="1"/>
  <c r="J89" i="1"/>
  <c r="H89" i="1"/>
  <c r="E89" i="1"/>
  <c r="B89" i="1"/>
  <c r="H73" i="1"/>
  <c r="E73" i="1"/>
  <c r="I86" i="1"/>
  <c r="H86" i="1"/>
  <c r="E86" i="1"/>
  <c r="B86" i="1"/>
  <c r="H82" i="1"/>
  <c r="E82" i="1"/>
  <c r="B82" i="1"/>
  <c r="H85" i="1"/>
  <c r="E85" i="1"/>
  <c r="B85" i="1"/>
  <c r="H78" i="1"/>
  <c r="E78" i="1"/>
  <c r="H69" i="1"/>
  <c r="E69" i="1"/>
  <c r="H81" i="1"/>
  <c r="E81" i="1"/>
  <c r="H75" i="1"/>
  <c r="E75" i="1"/>
  <c r="H70" i="1"/>
  <c r="E70" i="1"/>
  <c r="B70" i="1"/>
  <c r="H99" i="1"/>
  <c r="E99" i="1"/>
  <c r="B99" i="1"/>
  <c r="H98" i="1"/>
  <c r="E98" i="1"/>
  <c r="B98" i="1"/>
  <c r="H68" i="1"/>
  <c r="E68" i="1"/>
  <c r="B68" i="1"/>
  <c r="H67" i="1"/>
  <c r="E67" i="1"/>
  <c r="H66" i="1"/>
  <c r="E66" i="1"/>
  <c r="H65" i="1"/>
  <c r="E65" i="1"/>
  <c r="H84" i="1"/>
  <c r="E84" i="1"/>
  <c r="B84" i="1"/>
  <c r="H24" i="1"/>
  <c r="E24" i="1"/>
  <c r="B24" i="1"/>
  <c r="H34" i="1"/>
  <c r="E34" i="1"/>
  <c r="B34" i="1"/>
  <c r="O103" i="1"/>
  <c r="H103" i="1"/>
  <c r="E103" i="1"/>
  <c r="B103" i="1"/>
  <c r="H49" i="1"/>
  <c r="E49" i="1"/>
  <c r="B49" i="1"/>
  <c r="H102" i="1"/>
  <c r="E102" i="1"/>
  <c r="H62" i="1"/>
  <c r="E62" i="1"/>
  <c r="B62" i="1"/>
  <c r="H61" i="1"/>
  <c r="E61" i="1"/>
  <c r="B61" i="1"/>
  <c r="H59" i="1"/>
  <c r="E59" i="1"/>
  <c r="B59" i="1"/>
  <c r="H58" i="1"/>
  <c r="E58" i="1"/>
  <c r="H57" i="1"/>
  <c r="E57" i="1"/>
  <c r="H56" i="1"/>
  <c r="E56" i="1"/>
  <c r="H53" i="1"/>
  <c r="E53" i="1"/>
  <c r="B53" i="1"/>
  <c r="H79" i="1"/>
  <c r="E79" i="1"/>
  <c r="B79" i="1"/>
  <c r="H47" i="1"/>
  <c r="E47" i="1"/>
  <c r="B47" i="1"/>
  <c r="H46" i="1"/>
  <c r="E46" i="1"/>
  <c r="B46" i="1"/>
  <c r="H45" i="1"/>
  <c r="E45" i="1"/>
  <c r="H93" i="1"/>
  <c r="E93" i="1"/>
  <c r="H44" i="1"/>
  <c r="E44" i="1"/>
  <c r="B44" i="1"/>
  <c r="H60" i="1"/>
  <c r="E60" i="1"/>
  <c r="B60" i="1"/>
  <c r="H77" i="1"/>
  <c r="E77" i="1"/>
  <c r="B77" i="1"/>
  <c r="H42" i="1"/>
  <c r="E42" i="1"/>
  <c r="H76" i="1"/>
  <c r="E76" i="1"/>
  <c r="M41" i="1"/>
  <c r="H41" i="1"/>
  <c r="E41" i="1"/>
  <c r="H40" i="1"/>
  <c r="E40" i="1"/>
  <c r="B40" i="1"/>
  <c r="H39" i="1"/>
  <c r="E39" i="1"/>
  <c r="H38" i="1"/>
  <c r="E38" i="1"/>
  <c r="H48" i="1"/>
  <c r="E48" i="1"/>
  <c r="B48" i="1"/>
  <c r="H52" i="1"/>
  <c r="E52" i="1"/>
  <c r="B52" i="1"/>
  <c r="H80" i="1"/>
  <c r="E80" i="1"/>
  <c r="B80" i="1"/>
  <c r="H32" i="1"/>
  <c r="E32" i="1"/>
  <c r="B32" i="1"/>
  <c r="H35" i="1"/>
  <c r="E35" i="1"/>
  <c r="B35" i="1"/>
  <c r="H104" i="1"/>
  <c r="E104" i="1"/>
  <c r="B104" i="1"/>
  <c r="H83" i="1"/>
  <c r="E83" i="1"/>
  <c r="B83" i="1"/>
  <c r="H74" i="1"/>
  <c r="E74" i="1"/>
  <c r="B74" i="1"/>
  <c r="H33" i="1"/>
  <c r="E33" i="1"/>
  <c r="B33" i="1"/>
  <c r="H30" i="1"/>
  <c r="E30" i="1"/>
  <c r="B30" i="1"/>
  <c r="H29" i="1"/>
  <c r="E29" i="1"/>
  <c r="M26" i="1"/>
  <c r="H26" i="1"/>
  <c r="E26" i="1"/>
  <c r="B26" i="1"/>
  <c r="H25" i="1"/>
  <c r="E25" i="1"/>
  <c r="B25" i="1"/>
  <c r="H23" i="1"/>
  <c r="E23" i="1"/>
  <c r="B23" i="1"/>
  <c r="M22" i="1"/>
  <c r="H22" i="1"/>
  <c r="E22" i="1"/>
  <c r="B22" i="1"/>
  <c r="H21" i="1"/>
  <c r="E21" i="1"/>
  <c r="B21" i="1"/>
  <c r="H31" i="1"/>
  <c r="E31" i="1"/>
  <c r="B31" i="1"/>
  <c r="H20" i="1"/>
  <c r="E20" i="1"/>
  <c r="B20" i="1"/>
  <c r="H17" i="1"/>
  <c r="E17" i="1"/>
  <c r="B17" i="1"/>
  <c r="I16" i="1"/>
  <c r="E16" i="1"/>
  <c r="B16" i="1"/>
  <c r="H15" i="1"/>
  <c r="E15" i="1"/>
  <c r="B15" i="1"/>
  <c r="V50" i="1"/>
  <c r="H50" i="1"/>
  <c r="E50" i="1"/>
  <c r="B50" i="1"/>
  <c r="H91" i="1"/>
  <c r="E91" i="1"/>
  <c r="B91" i="1"/>
  <c r="H51" i="1"/>
  <c r="E51" i="1"/>
  <c r="B51" i="1"/>
  <c r="M101" i="1"/>
  <c r="H101" i="1"/>
  <c r="E101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F83" i="1" l="1"/>
  <c r="I1437" i="8"/>
  <c r="K1437" i="8" s="1"/>
  <c r="K1439" i="8" s="1"/>
  <c r="W1469" i="8"/>
  <c r="Y1469" i="8" s="1"/>
  <c r="W1470" i="8" s="1"/>
  <c r="Y1470" i="8" s="1"/>
  <c r="U1469" i="8"/>
  <c r="U315" i="8"/>
  <c r="W315" i="8" s="1"/>
  <c r="Y315" i="8" s="1"/>
  <c r="C864" i="8"/>
  <c r="I444" i="8"/>
  <c r="F84" i="1"/>
  <c r="I732" i="8"/>
  <c r="K732" i="8" s="1"/>
  <c r="U732" i="8"/>
  <c r="W732" i="8" s="1"/>
  <c r="Y732" i="8" s="1"/>
  <c r="U733" i="8" s="1"/>
  <c r="W733" i="8" s="1"/>
  <c r="Y733" i="8" s="1"/>
  <c r="C464" i="8"/>
  <c r="I460" i="8" s="1"/>
  <c r="K460" i="8" s="1"/>
  <c r="K462" i="8" s="1"/>
  <c r="I1405" i="8"/>
  <c r="K1405" i="8" s="1"/>
  <c r="U601" i="8"/>
  <c r="W601" i="8" s="1"/>
  <c r="Y601" i="8" s="1"/>
  <c r="K46" i="8"/>
  <c r="K14" i="1" s="1"/>
  <c r="U1035" i="8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U1229" i="8"/>
  <c r="W1229" i="8" s="1"/>
  <c r="Y1229" i="8" s="1"/>
  <c r="K176" i="8"/>
  <c r="I220" i="8"/>
  <c r="K220" i="8" s="1"/>
  <c r="K222" i="8" s="1"/>
  <c r="K17" i="1" s="1"/>
  <c r="I476" i="8"/>
  <c r="K476" i="8" s="1"/>
  <c r="K478" i="8" s="1"/>
  <c r="I140" i="8"/>
  <c r="I101" i="1" s="1"/>
  <c r="I284" i="8"/>
  <c r="K284" i="8" s="1"/>
  <c r="K286" i="8" s="1"/>
  <c r="K41" i="1" s="1"/>
  <c r="M106" i="1"/>
  <c r="C1393" i="8"/>
  <c r="I1389" i="8" s="1"/>
  <c r="I1213" i="8"/>
  <c r="K1213" i="8" s="1"/>
  <c r="K1215" i="8" s="1"/>
  <c r="K50" i="1" s="1"/>
  <c r="C768" i="8"/>
  <c r="I764" i="8" s="1"/>
  <c r="K764" i="8" s="1"/>
  <c r="K766" i="8" s="1"/>
  <c r="C880" i="8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W333" i="8" s="1"/>
  <c r="Y333" i="8" s="1"/>
  <c r="W334" i="8" s="1"/>
  <c r="Y334" i="8" s="1"/>
  <c r="W335" i="8" s="1"/>
  <c r="Y335" i="8" s="1"/>
  <c r="W336" i="8" s="1"/>
  <c r="Y336" i="8" s="1"/>
  <c r="W337" i="8" s="1"/>
  <c r="Y337" i="8" s="1"/>
  <c r="K926" i="8"/>
  <c r="K86" i="1" s="1"/>
  <c r="I48" i="1"/>
  <c r="Q8" i="1"/>
  <c r="O102" i="1"/>
  <c r="O25" i="1"/>
  <c r="O57" i="1"/>
  <c r="G892" i="8"/>
  <c r="L99" i="1" s="1"/>
  <c r="W914" i="8"/>
  <c r="Y914" i="8" s="1"/>
  <c r="G912" i="8" s="1"/>
  <c r="P57" i="1" s="1"/>
  <c r="O22" i="1"/>
  <c r="O33" i="1"/>
  <c r="O61" i="1"/>
  <c r="K927" i="8"/>
  <c r="C1313" i="8"/>
  <c r="I1309" i="8" s="1"/>
  <c r="K1309" i="8" s="1"/>
  <c r="K1311" i="8" s="1"/>
  <c r="C208" i="8"/>
  <c r="I204" i="8" s="1"/>
  <c r="C1361" i="8"/>
  <c r="I1357" i="8" s="1"/>
  <c r="I29" i="1" s="1"/>
  <c r="C1249" i="8"/>
  <c r="I1245" i="8" s="1"/>
  <c r="I77" i="1" s="1"/>
  <c r="W1371" i="8"/>
  <c r="Y1371" i="8" s="1"/>
  <c r="C304" i="8"/>
  <c r="I300" i="8" s="1"/>
  <c r="F59" i="1"/>
  <c r="I1036" i="8"/>
  <c r="K1036" i="8" s="1"/>
  <c r="K1038" i="8" s="1"/>
  <c r="C848" i="8"/>
  <c r="I844" i="8" s="1"/>
  <c r="K844" i="8" s="1"/>
  <c r="K846" i="8" s="1"/>
  <c r="K65" i="1" s="1"/>
  <c r="C512" i="8"/>
  <c r="I508" i="8" s="1"/>
  <c r="I92" i="1" s="1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G1020" i="8"/>
  <c r="O83" i="1"/>
  <c r="O104" i="1"/>
  <c r="G1006" i="8"/>
  <c r="N76" i="1" s="1"/>
  <c r="I12" i="8"/>
  <c r="K12" i="8" s="1"/>
  <c r="K14" i="8" s="1"/>
  <c r="I1373" i="8"/>
  <c r="K1373" i="8" s="1"/>
  <c r="K1375" i="8" s="1"/>
  <c r="C528" i="8"/>
  <c r="I524" i="8" s="1"/>
  <c r="K524" i="8" s="1"/>
  <c r="K526" i="8" s="1"/>
  <c r="K528" i="8" s="1"/>
  <c r="Q38" i="1" s="1"/>
  <c r="I1277" i="8"/>
  <c r="K1277" i="8" s="1"/>
  <c r="K1279" i="8" s="1"/>
  <c r="C496" i="8"/>
  <c r="I492" i="8" s="1"/>
  <c r="K492" i="8" s="1"/>
  <c r="K494" i="8" s="1"/>
  <c r="C1088" i="8"/>
  <c r="K1084" i="8" s="1"/>
  <c r="K1086" i="8" s="1"/>
  <c r="K20" i="1" s="1"/>
  <c r="C976" i="8"/>
  <c r="I972" i="8" s="1"/>
  <c r="I25" i="1" s="1"/>
  <c r="F40" i="1"/>
  <c r="K268" i="8"/>
  <c r="K270" i="8" s="1"/>
  <c r="F35" i="1"/>
  <c r="F29" i="1"/>
  <c r="C1008" i="8"/>
  <c r="I1004" i="8" s="1"/>
  <c r="K1004" i="8" s="1"/>
  <c r="K1006" i="8" s="1"/>
  <c r="I940" i="8"/>
  <c r="K940" i="8" s="1"/>
  <c r="K942" i="8" s="1"/>
  <c r="C560" i="8"/>
  <c r="I556" i="8" s="1"/>
  <c r="I94" i="1" s="1"/>
  <c r="I636" i="8"/>
  <c r="I67" i="1" s="1"/>
  <c r="W665" i="8"/>
  <c r="K366" i="8"/>
  <c r="K368" i="8" s="1"/>
  <c r="K1118" i="8"/>
  <c r="K1120" i="8" s="1"/>
  <c r="I572" i="8"/>
  <c r="K572" i="8" s="1"/>
  <c r="K574" i="8" s="1"/>
  <c r="O76" i="1"/>
  <c r="G284" i="8"/>
  <c r="L41" i="1" s="1"/>
  <c r="I412" i="8"/>
  <c r="K412" i="8" s="1"/>
  <c r="K414" i="8" s="1"/>
  <c r="I380" i="8"/>
  <c r="K380" i="8" s="1"/>
  <c r="K382" i="8" s="1"/>
  <c r="C624" i="8"/>
  <c r="I620" i="8" s="1"/>
  <c r="I892" i="8"/>
  <c r="I99" i="1" s="1"/>
  <c r="K1020" i="8"/>
  <c r="K1022" i="8" s="1"/>
  <c r="I1148" i="8"/>
  <c r="K1148" i="8" s="1"/>
  <c r="K1150" i="8" s="1"/>
  <c r="I860" i="8"/>
  <c r="K860" i="8" s="1"/>
  <c r="K862" i="8" s="1"/>
  <c r="I74" i="1"/>
  <c r="I1293" i="8"/>
  <c r="K1293" i="8" s="1"/>
  <c r="K1295" i="8" s="1"/>
  <c r="K97" i="1" s="1"/>
  <c r="I1261" i="8"/>
  <c r="I43" i="1" s="1"/>
  <c r="I876" i="8"/>
  <c r="K876" i="8" s="1"/>
  <c r="K878" i="8" s="1"/>
  <c r="K31" i="1" s="1"/>
  <c r="I796" i="8"/>
  <c r="K796" i="8" s="1"/>
  <c r="K798" i="8" s="1"/>
  <c r="K33" i="1" s="1"/>
  <c r="I66" i="1"/>
  <c r="I604" i="8"/>
  <c r="K604" i="8" s="1"/>
  <c r="K606" i="8" s="1"/>
  <c r="I540" i="8"/>
  <c r="K540" i="8" s="1"/>
  <c r="K542" i="8" s="1"/>
  <c r="I428" i="8"/>
  <c r="K428" i="8" s="1"/>
  <c r="K430" i="8" s="1"/>
  <c r="K53" i="1" s="1"/>
  <c r="I236" i="8"/>
  <c r="O89" i="1"/>
  <c r="O78" i="1"/>
  <c r="O24" i="1"/>
  <c r="O85" i="1"/>
  <c r="O8" i="1"/>
  <c r="K943" i="8"/>
  <c r="O68" i="1"/>
  <c r="K1087" i="8"/>
  <c r="O20" i="1"/>
  <c r="K1264" i="8"/>
  <c r="O43" i="1"/>
  <c r="O80" i="1"/>
  <c r="K1376" i="8"/>
  <c r="K1408" i="8"/>
  <c r="O48" i="1"/>
  <c r="K1360" i="8"/>
  <c r="O29" i="1"/>
  <c r="O41" i="1"/>
  <c r="K1344" i="8"/>
  <c r="O32" i="1"/>
  <c r="O31" i="1"/>
  <c r="I348" i="8"/>
  <c r="K348" i="8" s="1"/>
  <c r="K350" i="8" s="1"/>
  <c r="K815" i="8"/>
  <c r="O58" i="1"/>
  <c r="K1328" i="8"/>
  <c r="O30" i="1"/>
  <c r="I92" i="8"/>
  <c r="K92" i="8" s="1"/>
  <c r="K94" i="8" s="1"/>
  <c r="K96" i="8" s="1"/>
  <c r="Q9" i="1" s="1"/>
  <c r="K671" i="8"/>
  <c r="O70" i="1"/>
  <c r="I1100" i="8"/>
  <c r="K1100" i="8" s="1"/>
  <c r="K1102" i="8" s="1"/>
  <c r="K89" i="1" s="1"/>
  <c r="K1312" i="8"/>
  <c r="O26" i="1"/>
  <c r="O15" i="1"/>
  <c r="O23" i="1"/>
  <c r="O74" i="1"/>
  <c r="O40" i="1"/>
  <c r="O56" i="1"/>
  <c r="O84" i="1"/>
  <c r="O95" i="1"/>
  <c r="I316" i="8"/>
  <c r="K316" i="8" s="1"/>
  <c r="K318" i="8" s="1"/>
  <c r="K60" i="1" s="1"/>
  <c r="I396" i="8"/>
  <c r="I15" i="1" s="1"/>
  <c r="K748" i="8"/>
  <c r="K750" i="8" s="1"/>
  <c r="K103" i="1" s="1"/>
  <c r="I828" i="8"/>
  <c r="K828" i="8" s="1"/>
  <c r="K830" i="8" s="1"/>
  <c r="K85" i="1" s="1"/>
  <c r="I1132" i="8"/>
  <c r="K1132" i="8" s="1"/>
  <c r="K1134" i="8" s="1"/>
  <c r="K22" i="1" s="1"/>
  <c r="I1180" i="8"/>
  <c r="K1180" i="8" s="1"/>
  <c r="K1182" i="8" s="1"/>
  <c r="K61" i="1" s="1"/>
  <c r="K1280" i="8"/>
  <c r="O82" i="1"/>
  <c r="I108" i="8"/>
  <c r="K108" i="8" s="1"/>
  <c r="K110" i="8" s="1"/>
  <c r="K112" i="8" s="1"/>
  <c r="Q10" i="1" s="1"/>
  <c r="K332" i="8"/>
  <c r="K334" i="8" s="1"/>
  <c r="I73" i="1"/>
  <c r="I1325" i="8"/>
  <c r="K1325" i="8" s="1"/>
  <c r="K1327" i="8" s="1"/>
  <c r="I1453" i="8"/>
  <c r="K988" i="8"/>
  <c r="K990" i="8" s="1"/>
  <c r="K992" i="8" s="1"/>
  <c r="Q78" i="1" s="1"/>
  <c r="F78" i="1"/>
  <c r="I84" i="1"/>
  <c r="O79" i="1"/>
  <c r="O17" i="1"/>
  <c r="I1196" i="8"/>
  <c r="K1196" i="8" s="1"/>
  <c r="K1198" i="8" s="1"/>
  <c r="K46" i="1" s="1"/>
  <c r="C816" i="8"/>
  <c r="I812" i="8" s="1"/>
  <c r="I58" i="1" s="1"/>
  <c r="C912" i="8"/>
  <c r="I908" i="8" s="1"/>
  <c r="K908" i="8" s="1"/>
  <c r="K910" i="8" s="1"/>
  <c r="K57" i="1" s="1"/>
  <c r="K700" i="8"/>
  <c r="K702" i="8" s="1"/>
  <c r="K24" i="1" s="1"/>
  <c r="O67" i="1"/>
  <c r="O65" i="1"/>
  <c r="C1473" i="8"/>
  <c r="O93" i="1"/>
  <c r="O60" i="1"/>
  <c r="O92" i="1"/>
  <c r="C960" i="8"/>
  <c r="I956" i="8" s="1"/>
  <c r="I96" i="1" s="1"/>
  <c r="I100" i="1"/>
  <c r="K686" i="8"/>
  <c r="K66" i="1" s="1"/>
  <c r="K1054" i="8"/>
  <c r="K1056" i="8" s="1"/>
  <c r="K1166" i="8"/>
  <c r="O13" i="1"/>
  <c r="K207" i="8"/>
  <c r="K1199" i="8"/>
  <c r="O46" i="1"/>
  <c r="K1392" i="8"/>
  <c r="O52" i="1"/>
  <c r="W515" i="8"/>
  <c r="Y515" i="8" s="1"/>
  <c r="G508" i="8"/>
  <c r="L92" i="1" s="1"/>
  <c r="G1166" i="8"/>
  <c r="Y1171" i="8"/>
  <c r="O75" i="1"/>
  <c r="O99" i="1"/>
  <c r="K895" i="8"/>
  <c r="Y1010" i="8"/>
  <c r="G1008" i="8" s="1"/>
  <c r="P76" i="1" s="1"/>
  <c r="G1168" i="8"/>
  <c r="O90" i="1"/>
  <c r="I28" i="8"/>
  <c r="K28" i="8" s="1"/>
  <c r="K30" i="8" s="1"/>
  <c r="K32" i="8" s="1"/>
  <c r="O98" i="1"/>
  <c r="K351" i="8"/>
  <c r="K1039" i="8"/>
  <c r="O59" i="1"/>
  <c r="W883" i="8"/>
  <c r="G876" i="8"/>
  <c r="L31" i="1" s="1"/>
  <c r="O73" i="1"/>
  <c r="O94" i="1"/>
  <c r="G140" i="8"/>
  <c r="L101" i="1" s="1"/>
  <c r="G300" i="8"/>
  <c r="L42" i="1" s="1"/>
  <c r="G1164" i="8"/>
  <c r="O21" i="1"/>
  <c r="O35" i="1"/>
  <c r="O44" i="1"/>
  <c r="O45" i="1"/>
  <c r="O49" i="1"/>
  <c r="L100" i="1"/>
  <c r="G1277" i="8"/>
  <c r="L82" i="1" s="1"/>
  <c r="K716" i="8"/>
  <c r="K718" i="8" s="1"/>
  <c r="O51" i="1"/>
  <c r="O81" i="1"/>
  <c r="K191" i="8"/>
  <c r="O39" i="1"/>
  <c r="K959" i="8"/>
  <c r="O42" i="1"/>
  <c r="O38" i="1"/>
  <c r="O50" i="1"/>
  <c r="J61" i="1"/>
  <c r="J106" i="1" s="1"/>
  <c r="K1232" i="8"/>
  <c r="K687" i="8"/>
  <c r="E106" i="1"/>
  <c r="O47" i="1"/>
  <c r="O97" i="1"/>
  <c r="O77" i="1"/>
  <c r="G1245" i="8"/>
  <c r="L77" i="1" s="1"/>
  <c r="G1068" i="8"/>
  <c r="W1074" i="8"/>
  <c r="Y1074" i="8" s="1"/>
  <c r="G684" i="8"/>
  <c r="L66" i="1" s="1"/>
  <c r="W690" i="8"/>
  <c r="Y690" i="8" s="1"/>
  <c r="G636" i="8"/>
  <c r="L67" i="1" s="1"/>
  <c r="Y514" i="8"/>
  <c r="G510" i="8"/>
  <c r="N92" i="1" s="1"/>
  <c r="G428" i="8"/>
  <c r="L53" i="1" s="1"/>
  <c r="G412" i="8"/>
  <c r="L95" i="1" s="1"/>
  <c r="W418" i="8"/>
  <c r="Y418" i="8" s="1"/>
  <c r="G416" i="8" s="1"/>
  <c r="P95" i="1" s="1"/>
  <c r="K8" i="1"/>
  <c r="Q16" i="1"/>
  <c r="K16" i="1"/>
  <c r="K1407" i="8"/>
  <c r="K256" i="8"/>
  <c r="K1168" i="8"/>
  <c r="I78" i="1"/>
  <c r="K784" i="8"/>
  <c r="W274" i="8"/>
  <c r="G220" i="8"/>
  <c r="L17" i="1" s="1"/>
  <c r="W34" i="8"/>
  <c r="G60" i="8"/>
  <c r="L16" i="1" s="1"/>
  <c r="W82" i="8"/>
  <c r="W130" i="8"/>
  <c r="W178" i="8"/>
  <c r="G172" i="8"/>
  <c r="G188" i="8"/>
  <c r="L91" i="1" s="1"/>
  <c r="W194" i="8"/>
  <c r="W258" i="8"/>
  <c r="G252" i="8"/>
  <c r="G364" i="8"/>
  <c r="W370" i="8"/>
  <c r="I62" i="1"/>
  <c r="K444" i="8"/>
  <c r="K446" i="8" s="1"/>
  <c r="W450" i="8"/>
  <c r="G444" i="8"/>
  <c r="L62" i="1" s="1"/>
  <c r="G476" i="8"/>
  <c r="L45" i="1" s="1"/>
  <c r="W482" i="8"/>
  <c r="W18" i="8"/>
  <c r="W50" i="8"/>
  <c r="Y306" i="8"/>
  <c r="W338" i="8"/>
  <c r="G348" i="8"/>
  <c r="L98" i="1" s="1"/>
  <c r="W354" i="8"/>
  <c r="G780" i="8"/>
  <c r="W786" i="8"/>
  <c r="W866" i="8"/>
  <c r="G860" i="8"/>
  <c r="L56" i="1" s="1"/>
  <c r="W1475" i="8"/>
  <c r="G1469" i="8"/>
  <c r="L35" i="1" s="1"/>
  <c r="O101" i="1"/>
  <c r="W162" i="8"/>
  <c r="W242" i="8"/>
  <c r="G236" i="8"/>
  <c r="L39" i="1" s="1"/>
  <c r="G42" i="1"/>
  <c r="W322" i="8"/>
  <c r="K447" i="8"/>
  <c r="O62" i="1"/>
  <c r="W498" i="8"/>
  <c r="G492" i="8"/>
  <c r="L21" i="1" s="1"/>
  <c r="G572" i="8"/>
  <c r="L81" i="1" s="1"/>
  <c r="W578" i="8"/>
  <c r="W594" i="8"/>
  <c r="G588" i="8"/>
  <c r="L73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396" i="8"/>
  <c r="L15" i="1" s="1"/>
  <c r="G1022" i="8"/>
  <c r="G1070" i="8"/>
  <c r="G1116" i="8"/>
  <c r="W1122" i="8"/>
  <c r="W210" i="8"/>
  <c r="G204" i="8"/>
  <c r="L13" i="1" s="1"/>
  <c r="G460" i="8"/>
  <c r="L75" i="1" s="1"/>
  <c r="W466" i="8"/>
  <c r="G540" i="8"/>
  <c r="L79" i="1" s="1"/>
  <c r="W546" i="8"/>
  <c r="K654" i="8"/>
  <c r="I49" i="1"/>
  <c r="G652" i="8"/>
  <c r="L49" i="1" s="1"/>
  <c r="W658" i="8"/>
  <c r="G686" i="8"/>
  <c r="N66" i="1" s="1"/>
  <c r="G956" i="8"/>
  <c r="L96" i="1" s="1"/>
  <c r="W962" i="8"/>
  <c r="I188" i="8"/>
  <c r="K431" i="8"/>
  <c r="W610" i="8"/>
  <c r="W770" i="8"/>
  <c r="G764" i="8"/>
  <c r="L90" i="1" s="1"/>
  <c r="W946" i="8"/>
  <c r="G940" i="8"/>
  <c r="L68" i="1" s="1"/>
  <c r="Y1020" i="8"/>
  <c r="G1024" i="8" s="1"/>
  <c r="N100" i="1"/>
  <c r="W1090" i="8"/>
  <c r="G1084" i="8"/>
  <c r="L20" i="1" s="1"/>
  <c r="W98" i="8"/>
  <c r="W114" i="8"/>
  <c r="Y290" i="8"/>
  <c r="G288" i="8" s="1"/>
  <c r="P41" i="1" s="1"/>
  <c r="G286" i="8"/>
  <c r="N41" i="1" s="1"/>
  <c r="W530" i="8"/>
  <c r="G524" i="8"/>
  <c r="L38" i="1" s="1"/>
  <c r="W562" i="8"/>
  <c r="G556" i="8"/>
  <c r="L94" i="1" s="1"/>
  <c r="K623" i="8"/>
  <c r="O34" i="1"/>
  <c r="Y626" i="8"/>
  <c r="G624" i="8" s="1"/>
  <c r="P34" i="1" s="1"/>
  <c r="G622" i="8"/>
  <c r="N34" i="1" s="1"/>
  <c r="W674" i="8"/>
  <c r="G668" i="8"/>
  <c r="L70" i="1" s="1"/>
  <c r="G716" i="8"/>
  <c r="L102" i="1" s="1"/>
  <c r="W722" i="8"/>
  <c r="G748" i="8"/>
  <c r="L103" i="1" s="1"/>
  <c r="W754" i="8"/>
  <c r="W850" i="8"/>
  <c r="G844" i="8"/>
  <c r="L65" i="1" s="1"/>
  <c r="G1229" i="8"/>
  <c r="L69" i="1" s="1"/>
  <c r="W706" i="8"/>
  <c r="G700" i="8"/>
  <c r="L24" i="1" s="1"/>
  <c r="G1004" i="8"/>
  <c r="L76" i="1" s="1"/>
  <c r="W1219" i="8"/>
  <c r="G1213" i="8"/>
  <c r="L50" i="1" s="1"/>
  <c r="G812" i="8"/>
  <c r="L58" i="1" s="1"/>
  <c r="W818" i="8"/>
  <c r="G910" i="8"/>
  <c r="N57" i="1" s="1"/>
  <c r="G1421" i="8"/>
  <c r="L74" i="1" s="1"/>
  <c r="W1427" i="8"/>
  <c r="W930" i="8"/>
  <c r="G924" i="8"/>
  <c r="L86" i="1" s="1"/>
  <c r="W978" i="8"/>
  <c r="G972" i="8"/>
  <c r="L25" i="1" s="1"/>
  <c r="W994" i="8"/>
  <c r="G988" i="8"/>
  <c r="L78" i="1" s="1"/>
  <c r="W1042" i="8"/>
  <c r="G1036" i="8"/>
  <c r="L59" i="1" s="1"/>
  <c r="W1058" i="8"/>
  <c r="G1052" i="8"/>
  <c r="G1148" i="8"/>
  <c r="L23" i="1" s="1"/>
  <c r="W1154" i="8"/>
  <c r="W738" i="8"/>
  <c r="G732" i="8"/>
  <c r="L84" i="1" s="1"/>
  <c r="W802" i="8"/>
  <c r="G796" i="8"/>
  <c r="L33" i="1" s="1"/>
  <c r="G828" i="8"/>
  <c r="L85" i="1" s="1"/>
  <c r="W834" i="8"/>
  <c r="Y898" i="8"/>
  <c r="G896" i="8" s="1"/>
  <c r="P99" i="1" s="1"/>
  <c r="G894" i="8"/>
  <c r="N99" i="1" s="1"/>
  <c r="G1180" i="8"/>
  <c r="L61" i="1" s="1"/>
  <c r="W1186" i="8"/>
  <c r="W1202" i="8"/>
  <c r="G1196" i="8"/>
  <c r="L46" i="1" s="1"/>
  <c r="W1267" i="8"/>
  <c r="G1261" i="8"/>
  <c r="L43" i="1" s="1"/>
  <c r="Y1283" i="8"/>
  <c r="W1284" i="8" s="1"/>
  <c r="Y1284" i="8" s="1"/>
  <c r="W1138" i="8"/>
  <c r="G1132" i="8"/>
  <c r="L22" i="1" s="1"/>
  <c r="W1331" i="8"/>
  <c r="G1325" i="8"/>
  <c r="L30" i="1" s="1"/>
  <c r="W1106" i="8"/>
  <c r="G1100" i="8"/>
  <c r="L89" i="1" s="1"/>
  <c r="G1293" i="8"/>
  <c r="L97" i="1" s="1"/>
  <c r="W1299" i="8"/>
  <c r="G1341" i="8"/>
  <c r="L32" i="1" s="1"/>
  <c r="W1347" i="8"/>
  <c r="W1411" i="8"/>
  <c r="G1405" i="8"/>
  <c r="L48" i="1" s="1"/>
  <c r="G1357" i="8"/>
  <c r="L29" i="1" s="1"/>
  <c r="W1363" i="8"/>
  <c r="W1379" i="8"/>
  <c r="W1395" i="8"/>
  <c r="G1389" i="8"/>
  <c r="L52" i="1" s="1"/>
  <c r="G1437" i="8"/>
  <c r="L83" i="1" s="1"/>
  <c r="W1443" i="8"/>
  <c r="W1459" i="8"/>
  <c r="G1453" i="8"/>
  <c r="L104" i="1" s="1"/>
  <c r="W1315" i="8"/>
  <c r="G1309" i="8"/>
  <c r="L26" i="1" s="1"/>
  <c r="U316" i="8" l="1"/>
  <c r="G316" i="8" s="1"/>
  <c r="L60" i="1" s="1"/>
  <c r="I45" i="1"/>
  <c r="U602" i="8"/>
  <c r="W602" i="8" s="1"/>
  <c r="Y602" i="8" s="1"/>
  <c r="K48" i="8"/>
  <c r="Q14" i="1" s="1"/>
  <c r="I90" i="1"/>
  <c r="W1230" i="8"/>
  <c r="Y1230" i="8" s="1"/>
  <c r="W1231" i="8" s="1"/>
  <c r="Y1231" i="8" s="1"/>
  <c r="W1232" i="8" s="1"/>
  <c r="Y1232" i="8" s="1"/>
  <c r="W1233" i="8" s="1"/>
  <c r="Y1233" i="8" s="1"/>
  <c r="I69" i="1"/>
  <c r="K1389" i="8"/>
  <c r="K1391" i="8" s="1"/>
  <c r="K52" i="1" s="1"/>
  <c r="I52" i="1"/>
  <c r="I50" i="1"/>
  <c r="I17" i="1"/>
  <c r="K140" i="8"/>
  <c r="K142" i="8" s="1"/>
  <c r="K101" i="1" s="1"/>
  <c r="W379" i="8"/>
  <c r="Y379" i="8" s="1"/>
  <c r="Y380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U386" i="8" s="1"/>
  <c r="G380" i="8" s="1"/>
  <c r="L47" i="1" s="1"/>
  <c r="U379" i="8"/>
  <c r="O106" i="1"/>
  <c r="K1245" i="8"/>
  <c r="K1247" i="8" s="1"/>
  <c r="K77" i="1" s="1"/>
  <c r="U1372" i="8"/>
  <c r="W1372" i="8" s="1"/>
  <c r="K1040" i="8"/>
  <c r="Q59" i="1" s="1"/>
  <c r="G332" i="8"/>
  <c r="L93" i="1" s="1"/>
  <c r="K1421" i="8"/>
  <c r="K1423" i="8" s="1"/>
  <c r="K74" i="1" s="1"/>
  <c r="K556" i="8"/>
  <c r="K558" i="8" s="1"/>
  <c r="K94" i="1" s="1"/>
  <c r="K928" i="8"/>
  <c r="Q86" i="1" s="1"/>
  <c r="K508" i="8"/>
  <c r="K510" i="8" s="1"/>
  <c r="K92" i="1" s="1"/>
  <c r="I26" i="1"/>
  <c r="I65" i="1"/>
  <c r="Q11" i="1"/>
  <c r="I44" i="1"/>
  <c r="U154" i="8"/>
  <c r="W154" i="8" s="1"/>
  <c r="Y154" i="8" s="1"/>
  <c r="U155" i="8" s="1"/>
  <c r="W155" i="8" s="1"/>
  <c r="Y155" i="8"/>
  <c r="U156" i="8" s="1"/>
  <c r="G156" i="8" s="1"/>
  <c r="L51" i="1" s="1"/>
  <c r="K156" i="8"/>
  <c r="K158" i="8" s="1"/>
  <c r="I82" i="1"/>
  <c r="I95" i="1"/>
  <c r="I81" i="1"/>
  <c r="K1233" i="8"/>
  <c r="Q69" i="1" s="1"/>
  <c r="K396" i="8"/>
  <c r="K398" i="8" s="1"/>
  <c r="K352" i="8"/>
  <c r="Q98" i="1" s="1"/>
  <c r="I68" i="1"/>
  <c r="I80" i="1"/>
  <c r="K1261" i="8"/>
  <c r="K1263" i="8" s="1"/>
  <c r="K43" i="1" s="1"/>
  <c r="K972" i="8"/>
  <c r="K974" i="8" s="1"/>
  <c r="K976" i="8" s="1"/>
  <c r="Q25" i="1" s="1"/>
  <c r="I40" i="1"/>
  <c r="K1469" i="8"/>
  <c r="K1471" i="8" s="1"/>
  <c r="K1473" i="8" s="1"/>
  <c r="Q35" i="1" s="1"/>
  <c r="I76" i="1"/>
  <c r="W666" i="8"/>
  <c r="Y666" i="8" s="1"/>
  <c r="W667" i="8" s="1"/>
  <c r="Y667" i="8" s="1"/>
  <c r="Y665" i="8"/>
  <c r="I70" i="1"/>
  <c r="I41" i="1"/>
  <c r="I97" i="1"/>
  <c r="I47" i="1"/>
  <c r="I79" i="1"/>
  <c r="K892" i="8"/>
  <c r="K894" i="8" s="1"/>
  <c r="K99" i="1" s="1"/>
  <c r="I23" i="1"/>
  <c r="K80" i="1"/>
  <c r="K1377" i="8"/>
  <c r="Q80" i="1" s="1"/>
  <c r="I53" i="1"/>
  <c r="I83" i="1"/>
  <c r="I98" i="1"/>
  <c r="K16" i="8"/>
  <c r="Q5" i="1" s="1"/>
  <c r="I20" i="1"/>
  <c r="K734" i="8"/>
  <c r="K84" i="1" s="1"/>
  <c r="I56" i="1"/>
  <c r="I31" i="1"/>
  <c r="K944" i="8"/>
  <c r="Q68" i="1" s="1"/>
  <c r="K620" i="8"/>
  <c r="K622" i="8" s="1"/>
  <c r="K34" i="1" s="1"/>
  <c r="I34" i="1"/>
  <c r="I24" i="1"/>
  <c r="I93" i="1"/>
  <c r="I22" i="1"/>
  <c r="I21" i="1"/>
  <c r="I61" i="1"/>
  <c r="K812" i="8"/>
  <c r="K814" i="8" s="1"/>
  <c r="K816" i="8" s="1"/>
  <c r="Q58" i="1" s="1"/>
  <c r="D58" i="1" s="1"/>
  <c r="K1357" i="8"/>
  <c r="K1359" i="8" s="1"/>
  <c r="K29" i="1" s="1"/>
  <c r="I33" i="1"/>
  <c r="K588" i="8"/>
  <c r="K590" i="8" s="1"/>
  <c r="K592" i="8" s="1"/>
  <c r="Q73" i="1" s="1"/>
  <c r="I85" i="1"/>
  <c r="I32" i="1"/>
  <c r="K1341" i="8"/>
  <c r="K1343" i="8" s="1"/>
  <c r="K32" i="1" s="1"/>
  <c r="I89" i="1"/>
  <c r="K956" i="8"/>
  <c r="K958" i="8" s="1"/>
  <c r="K96" i="1" s="1"/>
  <c r="I60" i="1"/>
  <c r="K272" i="8"/>
  <c r="Q40" i="1" s="1"/>
  <c r="R123" i="1" s="1"/>
  <c r="W1251" i="8"/>
  <c r="G1247" i="8" s="1"/>
  <c r="N77" i="1" s="1"/>
  <c r="K30" i="1"/>
  <c r="K1329" i="8"/>
  <c r="Q30" i="1" s="1"/>
  <c r="G1072" i="8"/>
  <c r="W1075" i="8"/>
  <c r="Y1075" i="8" s="1"/>
  <c r="I57" i="1"/>
  <c r="I103" i="1"/>
  <c r="K880" i="8"/>
  <c r="Q31" i="1" s="1"/>
  <c r="G688" i="8"/>
  <c r="P66" i="1" s="1"/>
  <c r="W691" i="8"/>
  <c r="Y691" i="8" s="1"/>
  <c r="G304" i="8"/>
  <c r="P42" i="1" s="1"/>
  <c r="W307" i="8"/>
  <c r="Y307" i="8" s="1"/>
  <c r="I38" i="1"/>
  <c r="I59" i="1"/>
  <c r="I104" i="1"/>
  <c r="K1453" i="8"/>
  <c r="K1455" i="8" s="1"/>
  <c r="I46" i="1"/>
  <c r="I30" i="1"/>
  <c r="K432" i="8"/>
  <c r="Q53" i="1" s="1"/>
  <c r="K1200" i="8"/>
  <c r="Q46" i="1" s="1"/>
  <c r="K38" i="1"/>
  <c r="K912" i="8"/>
  <c r="Q57" i="1" s="1"/>
  <c r="Q103" i="1"/>
  <c r="K68" i="1"/>
  <c r="K636" i="8"/>
  <c r="K638" i="8" s="1"/>
  <c r="K640" i="8" s="1"/>
  <c r="Q67" i="1" s="1"/>
  <c r="K688" i="8"/>
  <c r="Q66" i="1" s="1"/>
  <c r="K848" i="8"/>
  <c r="Q65" i="1" s="1"/>
  <c r="I35" i="1"/>
  <c r="K83" i="1"/>
  <c r="K1441" i="8"/>
  <c r="Q83" i="1" s="1"/>
  <c r="Q74" i="1"/>
  <c r="K800" i="8"/>
  <c r="Q33" i="1" s="1"/>
  <c r="G1279" i="8"/>
  <c r="N82" i="1" s="1"/>
  <c r="G1281" i="8"/>
  <c r="P82" i="1" s="1"/>
  <c r="G302" i="8"/>
  <c r="N42" i="1" s="1"/>
  <c r="K1217" i="8"/>
  <c r="Q50" i="1" s="1"/>
  <c r="K832" i="8"/>
  <c r="K1184" i="8"/>
  <c r="Q61" i="1" s="1"/>
  <c r="D61" i="1" s="1"/>
  <c r="K704" i="8"/>
  <c r="Q24" i="1" s="1"/>
  <c r="K720" i="8"/>
  <c r="Q102" i="1" s="1"/>
  <c r="K102" i="1"/>
  <c r="G512" i="8"/>
  <c r="P92" i="1" s="1"/>
  <c r="I102" i="1"/>
  <c r="Y883" i="8"/>
  <c r="G880" i="8" s="1"/>
  <c r="P31" i="1" s="1"/>
  <c r="G878" i="8"/>
  <c r="N31" i="1" s="1"/>
  <c r="K98" i="1"/>
  <c r="K69" i="1"/>
  <c r="Y1251" i="8"/>
  <c r="I75" i="1"/>
  <c r="K40" i="1"/>
  <c r="I13" i="1"/>
  <c r="K204" i="8"/>
  <c r="K206" i="8" s="1"/>
  <c r="K208" i="8" s="1"/>
  <c r="Q13" i="1" s="1"/>
  <c r="K1088" i="8"/>
  <c r="Q20" i="1" s="1"/>
  <c r="K1136" i="8"/>
  <c r="Q22" i="1" s="1"/>
  <c r="K544" i="8"/>
  <c r="Q79" i="1" s="1"/>
  <c r="K79" i="1"/>
  <c r="K320" i="8"/>
  <c r="Q60" i="1" s="1"/>
  <c r="K288" i="8"/>
  <c r="Q41" i="1" s="1"/>
  <c r="I51" i="1"/>
  <c r="K78" i="1"/>
  <c r="K1104" i="8"/>
  <c r="Q89" i="1" s="1"/>
  <c r="K90" i="1"/>
  <c r="K768" i="8"/>
  <c r="Q90" i="1" s="1"/>
  <c r="D90" i="1" s="1"/>
  <c r="K1297" i="8"/>
  <c r="Q97" i="1" s="1"/>
  <c r="K672" i="8"/>
  <c r="Q70" i="1" s="1"/>
  <c r="K70" i="1"/>
  <c r="D7" i="1"/>
  <c r="W642" i="8"/>
  <c r="W434" i="8"/>
  <c r="G414" i="8"/>
  <c r="N95" i="1" s="1"/>
  <c r="G382" i="8"/>
  <c r="N47" i="1" s="1"/>
  <c r="K1024" i="8"/>
  <c r="Q100" i="1" s="1"/>
  <c r="K100" i="1"/>
  <c r="K864" i="8"/>
  <c r="Q56" i="1" s="1"/>
  <c r="K56" i="1"/>
  <c r="K464" i="8"/>
  <c r="Q75" i="1" s="1"/>
  <c r="K75" i="1"/>
  <c r="K384" i="8"/>
  <c r="Q47" i="1" s="1"/>
  <c r="K47" i="1"/>
  <c r="K1152" i="8"/>
  <c r="Q23" i="1" s="1"/>
  <c r="K23" i="1"/>
  <c r="K59" i="1"/>
  <c r="K1313" i="8"/>
  <c r="Q26" i="1" s="1"/>
  <c r="K26" i="1"/>
  <c r="K1281" i="8"/>
  <c r="Q82" i="1" s="1"/>
  <c r="K82" i="1"/>
  <c r="K76" i="1"/>
  <c r="K1008" i="8"/>
  <c r="Q76" i="1" s="1"/>
  <c r="K44" i="1"/>
  <c r="K608" i="8"/>
  <c r="Q44" i="1" s="1"/>
  <c r="K93" i="1"/>
  <c r="K336" i="8"/>
  <c r="Q93" i="1" s="1"/>
  <c r="K496" i="8"/>
  <c r="Q21" i="1" s="1"/>
  <c r="K21" i="1"/>
  <c r="K1409" i="8"/>
  <c r="Q48" i="1" s="1"/>
  <c r="K48" i="1"/>
  <c r="Y1475" i="8"/>
  <c r="G1473" i="8" s="1"/>
  <c r="P35" i="1" s="1"/>
  <c r="G1471" i="8"/>
  <c r="N35" i="1" s="1"/>
  <c r="K480" i="8"/>
  <c r="Q45" i="1" s="1"/>
  <c r="K45" i="1"/>
  <c r="Y338" i="8"/>
  <c r="G334" i="8"/>
  <c r="N93" i="1" s="1"/>
  <c r="G446" i="8"/>
  <c r="N62" i="1" s="1"/>
  <c r="Y450" i="8"/>
  <c r="G448" i="8" s="1"/>
  <c r="P62" i="1" s="1"/>
  <c r="Y130" i="8"/>
  <c r="Y1459" i="8"/>
  <c r="G1457" i="8" s="1"/>
  <c r="P104" i="1" s="1"/>
  <c r="G1455" i="8"/>
  <c r="N104" i="1" s="1"/>
  <c r="Y1395" i="8"/>
  <c r="G1393" i="8" s="1"/>
  <c r="P52" i="1" s="1"/>
  <c r="G1391" i="8"/>
  <c r="N52" i="1" s="1"/>
  <c r="Y1299" i="8"/>
  <c r="G1295" i="8"/>
  <c r="N97" i="1" s="1"/>
  <c r="Y1331" i="8"/>
  <c r="G1329" i="8" s="1"/>
  <c r="P30" i="1" s="1"/>
  <c r="G1327" i="8"/>
  <c r="N30" i="1" s="1"/>
  <c r="Y1202" i="8"/>
  <c r="G1198" i="8"/>
  <c r="N46" i="1" s="1"/>
  <c r="Y1154" i="8"/>
  <c r="G1152" i="8" s="1"/>
  <c r="P23" i="1" s="1"/>
  <c r="G1150" i="8"/>
  <c r="N23" i="1" s="1"/>
  <c r="G702" i="8"/>
  <c r="N24" i="1" s="1"/>
  <c r="Y706" i="8"/>
  <c r="G718" i="8"/>
  <c r="N102" i="1" s="1"/>
  <c r="Y722" i="8"/>
  <c r="G720" i="8" s="1"/>
  <c r="P102" i="1" s="1"/>
  <c r="G526" i="8"/>
  <c r="N38" i="1" s="1"/>
  <c r="Y530" i="8"/>
  <c r="Y114" i="8"/>
  <c r="G1086" i="8"/>
  <c r="N20" i="1" s="1"/>
  <c r="Y1090" i="8"/>
  <c r="G1088" i="8" s="1"/>
  <c r="P20" i="1" s="1"/>
  <c r="G942" i="8"/>
  <c r="N68" i="1" s="1"/>
  <c r="Y946" i="8"/>
  <c r="G944" i="8" s="1"/>
  <c r="P68" i="1" s="1"/>
  <c r="G142" i="8"/>
  <c r="N101" i="1" s="1"/>
  <c r="Y146" i="8"/>
  <c r="G144" i="8" s="1"/>
  <c r="P101" i="1" s="1"/>
  <c r="K656" i="8"/>
  <c r="Q49" i="1" s="1"/>
  <c r="K49" i="1"/>
  <c r="Y210" i="8"/>
  <c r="G206" i="8"/>
  <c r="N13" i="1" s="1"/>
  <c r="G574" i="8"/>
  <c r="N81" i="1" s="1"/>
  <c r="Y578" i="8"/>
  <c r="G494" i="8"/>
  <c r="N21" i="1" s="1"/>
  <c r="Y498" i="8"/>
  <c r="G496" i="8" s="1"/>
  <c r="P21" i="1" s="1"/>
  <c r="Y322" i="8"/>
  <c r="G238" i="8"/>
  <c r="N39" i="1" s="1"/>
  <c r="Y242" i="8"/>
  <c r="G782" i="8"/>
  <c r="Y786" i="8"/>
  <c r="G784" i="8" s="1"/>
  <c r="Y50" i="8"/>
  <c r="G366" i="8"/>
  <c r="Y370" i="8"/>
  <c r="G368" i="8" s="1"/>
  <c r="Y194" i="8"/>
  <c r="G190" i="8"/>
  <c r="N91" i="1" s="1"/>
  <c r="Y34" i="8"/>
  <c r="G1311" i="8"/>
  <c r="N26" i="1" s="1"/>
  <c r="Y1315" i="8"/>
  <c r="G1313" i="8" s="1"/>
  <c r="P26" i="1" s="1"/>
  <c r="Y1443" i="8"/>
  <c r="G1441" i="8" s="1"/>
  <c r="P83" i="1" s="1"/>
  <c r="G1439" i="8"/>
  <c r="N83" i="1" s="1"/>
  <c r="Y1379" i="8"/>
  <c r="Y1106" i="8"/>
  <c r="G1102" i="8"/>
  <c r="N89" i="1" s="1"/>
  <c r="Y1186" i="8"/>
  <c r="G1184" i="8" s="1"/>
  <c r="P61" i="1" s="1"/>
  <c r="G1182" i="8"/>
  <c r="N61" i="1" s="1"/>
  <c r="G798" i="8"/>
  <c r="N33" i="1" s="1"/>
  <c r="Y802" i="8"/>
  <c r="G800" i="8" s="1"/>
  <c r="P33" i="1" s="1"/>
  <c r="G1038" i="8"/>
  <c r="N59" i="1" s="1"/>
  <c r="Y1042" i="8"/>
  <c r="Y978" i="8"/>
  <c r="G976" i="8" s="1"/>
  <c r="P25" i="1" s="1"/>
  <c r="G974" i="8"/>
  <c r="N25" i="1" s="1"/>
  <c r="Y1427" i="8"/>
  <c r="G1425" i="8" s="1"/>
  <c r="P74" i="1" s="1"/>
  <c r="G1423" i="8"/>
  <c r="N74" i="1" s="1"/>
  <c r="G1215" i="8"/>
  <c r="N50" i="1" s="1"/>
  <c r="Y1219" i="8"/>
  <c r="G1217" i="8" s="1"/>
  <c r="P50" i="1" s="1"/>
  <c r="Y850" i="8"/>
  <c r="G846" i="8"/>
  <c r="N65" i="1" s="1"/>
  <c r="Y610" i="8"/>
  <c r="Y962" i="8"/>
  <c r="G958" i="8"/>
  <c r="N96" i="1" s="1"/>
  <c r="Y658" i="8"/>
  <c r="G656" i="8" s="1"/>
  <c r="P49" i="1" s="1"/>
  <c r="G654" i="8"/>
  <c r="N49" i="1" s="1"/>
  <c r="Y546" i="8"/>
  <c r="G542" i="8"/>
  <c r="N79" i="1" s="1"/>
  <c r="G1118" i="8"/>
  <c r="Y1122" i="8"/>
  <c r="G1120" i="8" s="1"/>
  <c r="Y1411" i="8"/>
  <c r="G1409" i="8" s="1"/>
  <c r="P48" i="1" s="1"/>
  <c r="G1407" i="8"/>
  <c r="N48" i="1" s="1"/>
  <c r="G1134" i="8"/>
  <c r="N22" i="1" s="1"/>
  <c r="Y1138" i="8"/>
  <c r="G1136" i="8" s="1"/>
  <c r="P22" i="1" s="1"/>
  <c r="Y1267" i="8"/>
  <c r="G1265" i="8" s="1"/>
  <c r="P43" i="1" s="1"/>
  <c r="G1263" i="8"/>
  <c r="N43" i="1" s="1"/>
  <c r="Y834" i="8"/>
  <c r="G830" i="8"/>
  <c r="N85" i="1" s="1"/>
  <c r="G814" i="8"/>
  <c r="N58" i="1" s="1"/>
  <c r="Y818" i="8"/>
  <c r="Y754" i="8"/>
  <c r="G752" i="8" s="1"/>
  <c r="P103" i="1" s="1"/>
  <c r="G750" i="8"/>
  <c r="N103" i="1" s="1"/>
  <c r="Y562" i="8"/>
  <c r="G558" i="8"/>
  <c r="N94" i="1" s="1"/>
  <c r="K416" i="8"/>
  <c r="Q95" i="1" s="1"/>
  <c r="K95" i="1"/>
  <c r="K236" i="8"/>
  <c r="K238" i="8" s="1"/>
  <c r="I39" i="1"/>
  <c r="Y98" i="8"/>
  <c r="U1021" i="8"/>
  <c r="W1021" i="8" s="1"/>
  <c r="Y1021" i="8" s="1"/>
  <c r="P100" i="1"/>
  <c r="G766" i="8"/>
  <c r="N90" i="1" s="1"/>
  <c r="Y770" i="8"/>
  <c r="Y402" i="8"/>
  <c r="G400" i="8" s="1"/>
  <c r="P15" i="1" s="1"/>
  <c r="G398" i="8"/>
  <c r="N15" i="1" s="1"/>
  <c r="K300" i="8"/>
  <c r="K302" i="8" s="1"/>
  <c r="I42" i="1"/>
  <c r="Y162" i="8"/>
  <c r="Y354" i="8"/>
  <c r="G352" i="8" s="1"/>
  <c r="P98" i="1" s="1"/>
  <c r="G350" i="8"/>
  <c r="N98" i="1" s="1"/>
  <c r="Q17" i="1"/>
  <c r="Y482" i="8"/>
  <c r="G478" i="8"/>
  <c r="N45" i="1" s="1"/>
  <c r="K448" i="8"/>
  <c r="Q62" i="1" s="1"/>
  <c r="K62" i="1"/>
  <c r="Y226" i="8"/>
  <c r="G222" i="8"/>
  <c r="N17" i="1" s="1"/>
  <c r="Y1363" i="8"/>
  <c r="G1359" i="8"/>
  <c r="N29" i="1" s="1"/>
  <c r="Y1347" i="8"/>
  <c r="G1345" i="8" s="1"/>
  <c r="P32" i="1" s="1"/>
  <c r="G1343" i="8"/>
  <c r="N32" i="1" s="1"/>
  <c r="G734" i="8"/>
  <c r="N84" i="1" s="1"/>
  <c r="Y738" i="8"/>
  <c r="G736" i="8" s="1"/>
  <c r="P84" i="1" s="1"/>
  <c r="Y1058" i="8"/>
  <c r="G1056" i="8" s="1"/>
  <c r="G1054" i="8"/>
  <c r="Y994" i="8"/>
  <c r="G990" i="8"/>
  <c r="N78" i="1" s="1"/>
  <c r="Y930" i="8"/>
  <c r="G928" i="8" s="1"/>
  <c r="P86" i="1" s="1"/>
  <c r="G926" i="8"/>
  <c r="N86" i="1" s="1"/>
  <c r="Y1235" i="8"/>
  <c r="G1231" i="8"/>
  <c r="N69" i="1" s="1"/>
  <c r="Y674" i="8"/>
  <c r="K188" i="8"/>
  <c r="K190" i="8" s="1"/>
  <c r="I91" i="1"/>
  <c r="Y466" i="8"/>
  <c r="G462" i="8"/>
  <c r="N75" i="1" s="1"/>
  <c r="Y594" i="8"/>
  <c r="G590" i="8"/>
  <c r="N73" i="1" s="1"/>
  <c r="G862" i="8"/>
  <c r="N56" i="1" s="1"/>
  <c r="Y866" i="8"/>
  <c r="K576" i="8"/>
  <c r="Q81" i="1" s="1"/>
  <c r="K81" i="1"/>
  <c r="Y18" i="8"/>
  <c r="Y258" i="8"/>
  <c r="G256" i="8" s="1"/>
  <c r="G254" i="8"/>
  <c r="G174" i="8"/>
  <c r="Y178" i="8"/>
  <c r="G176" i="8" s="1"/>
  <c r="Y82" i="8"/>
  <c r="Y274" i="8"/>
  <c r="W316" i="8" l="1"/>
  <c r="U603" i="8"/>
  <c r="W603" i="8" s="1"/>
  <c r="Y603" i="8" s="1"/>
  <c r="G672" i="8"/>
  <c r="P70" i="1" s="1"/>
  <c r="R53" i="1"/>
  <c r="K144" i="8"/>
  <c r="Q101" i="1" s="1"/>
  <c r="K15" i="1"/>
  <c r="K400" i="8"/>
  <c r="Q15" i="1" s="1"/>
  <c r="Q18" i="1" s="1"/>
  <c r="W386" i="8"/>
  <c r="Y386" i="8" s="1"/>
  <c r="K1393" i="8"/>
  <c r="Q52" i="1" s="1"/>
  <c r="K1249" i="8"/>
  <c r="Q77" i="1" s="1"/>
  <c r="Y1372" i="8"/>
  <c r="K512" i="8"/>
  <c r="Q92" i="1" s="1"/>
  <c r="D92" i="1" s="1"/>
  <c r="K560" i="8"/>
  <c r="Q94" i="1" s="1"/>
  <c r="K896" i="8"/>
  <c r="Q99" i="1" s="1"/>
  <c r="Q63" i="1"/>
  <c r="Q71" i="1"/>
  <c r="K51" i="1"/>
  <c r="K160" i="8"/>
  <c r="Q51" i="1" s="1"/>
  <c r="G158" i="8"/>
  <c r="N51" i="1" s="1"/>
  <c r="K1265" i="8"/>
  <c r="Q43" i="1" s="1"/>
  <c r="M113" i="1"/>
  <c r="N113" i="1" s="1"/>
  <c r="K25" i="1"/>
  <c r="K35" i="1"/>
  <c r="W668" i="8"/>
  <c r="Y668" i="8" s="1"/>
  <c r="M112" i="1"/>
  <c r="N112" i="1" s="1"/>
  <c r="E7" i="9"/>
  <c r="K624" i="8"/>
  <c r="Q34" i="1" s="1"/>
  <c r="K736" i="8"/>
  <c r="Q84" i="1" s="1"/>
  <c r="K73" i="1"/>
  <c r="K13" i="1"/>
  <c r="K58" i="1"/>
  <c r="K1361" i="8"/>
  <c r="Q29" i="1" s="1"/>
  <c r="K1345" i="8"/>
  <c r="Q32" i="1" s="1"/>
  <c r="Q27" i="1" s="1"/>
  <c r="K960" i="8"/>
  <c r="Q96" i="1" s="1"/>
  <c r="G1233" i="8"/>
  <c r="P69" i="1" s="1"/>
  <c r="U1236" i="8"/>
  <c r="W1236" i="8" s="1"/>
  <c r="Y1236" i="8" s="1"/>
  <c r="G160" i="8"/>
  <c r="P51" i="1" s="1"/>
  <c r="U163" i="8"/>
  <c r="W163" i="8" s="1"/>
  <c r="Y163" i="8" s="1"/>
  <c r="G864" i="8"/>
  <c r="P56" i="1" s="1"/>
  <c r="W867" i="8"/>
  <c r="Y867" i="8" s="1"/>
  <c r="G816" i="8"/>
  <c r="P58" i="1" s="1"/>
  <c r="W819" i="8"/>
  <c r="Y819" i="8" s="1"/>
  <c r="G1040" i="8"/>
  <c r="P59" i="1" s="1"/>
  <c r="W1043" i="8"/>
  <c r="Y1043" i="8" s="1"/>
  <c r="G192" i="8"/>
  <c r="P91" i="1" s="1"/>
  <c r="W195" i="8"/>
  <c r="Y195" i="8" s="1"/>
  <c r="G576" i="8"/>
  <c r="P81" i="1" s="1"/>
  <c r="W579" i="8"/>
  <c r="Y579" i="8" s="1"/>
  <c r="G464" i="8"/>
  <c r="P75" i="1" s="1"/>
  <c r="W467" i="8"/>
  <c r="Y467" i="8" s="1"/>
  <c r="G224" i="8"/>
  <c r="P17" i="1" s="1"/>
  <c r="W227" i="8"/>
  <c r="Y227" i="8" s="1"/>
  <c r="G480" i="8"/>
  <c r="P45" i="1" s="1"/>
  <c r="U483" i="8"/>
  <c r="W483" i="8" s="1"/>
  <c r="Y483" i="8" s="1"/>
  <c r="G560" i="8"/>
  <c r="P94" i="1" s="1"/>
  <c r="W563" i="8"/>
  <c r="Y563" i="8" s="1"/>
  <c r="G544" i="8"/>
  <c r="P79" i="1" s="1"/>
  <c r="W547" i="8"/>
  <c r="Y547" i="8" s="1"/>
  <c r="G960" i="8"/>
  <c r="P96" i="1" s="1"/>
  <c r="W963" i="8"/>
  <c r="Y963" i="8" s="1"/>
  <c r="G848" i="8"/>
  <c r="P65" i="1" s="1"/>
  <c r="W851" i="8"/>
  <c r="Y851" i="8" s="1"/>
  <c r="W323" i="8"/>
  <c r="Y323" i="8" s="1"/>
  <c r="G528" i="8"/>
  <c r="P38" i="1" s="1"/>
  <c r="W531" i="8"/>
  <c r="Y531" i="8" s="1"/>
  <c r="G704" i="8"/>
  <c r="P24" i="1" s="1"/>
  <c r="W707" i="8"/>
  <c r="Y707" i="8" s="1"/>
  <c r="G240" i="8"/>
  <c r="P39" i="1" s="1"/>
  <c r="W243" i="8"/>
  <c r="Y243" i="8" s="1"/>
  <c r="G1200" i="8"/>
  <c r="P46" i="1" s="1"/>
  <c r="W1203" i="8"/>
  <c r="Y1203" i="8" s="1"/>
  <c r="G1297" i="8"/>
  <c r="P97" i="1" s="1"/>
  <c r="W1300" i="8"/>
  <c r="Y1300" i="8" s="1"/>
  <c r="G384" i="8"/>
  <c r="P47" i="1" s="1"/>
  <c r="U387" i="8"/>
  <c r="W387" i="8" s="1"/>
  <c r="Y387" i="8" s="1"/>
  <c r="K1457" i="8"/>
  <c r="Q104" i="1" s="1"/>
  <c r="K104" i="1"/>
  <c r="G592" i="8"/>
  <c r="P73" i="1" s="1"/>
  <c r="W595" i="8"/>
  <c r="Y595" i="8" s="1"/>
  <c r="G992" i="8"/>
  <c r="P78" i="1" s="1"/>
  <c r="W995" i="8"/>
  <c r="Y995" i="8" s="1"/>
  <c r="G1361" i="8"/>
  <c r="P29" i="1" s="1"/>
  <c r="U1364" i="8"/>
  <c r="W1364" i="8" s="1"/>
  <c r="Y1364" i="8" s="1"/>
  <c r="G768" i="8"/>
  <c r="P90" i="1" s="1"/>
  <c r="W771" i="8"/>
  <c r="Y771" i="8" s="1"/>
  <c r="G832" i="8"/>
  <c r="P85" i="1" s="1"/>
  <c r="U835" i="8"/>
  <c r="W835" i="8" s="1"/>
  <c r="Y835" i="8" s="1"/>
  <c r="W611" i="8"/>
  <c r="Y611" i="8" s="1"/>
  <c r="G1104" i="8"/>
  <c r="P89" i="1" s="1"/>
  <c r="W1107" i="8"/>
  <c r="Y1107" i="8" s="1"/>
  <c r="G208" i="8"/>
  <c r="P13" i="1" s="1"/>
  <c r="W211" i="8"/>
  <c r="Y211" i="8" s="1"/>
  <c r="G336" i="8"/>
  <c r="P93" i="1" s="1"/>
  <c r="W339" i="8"/>
  <c r="Y339" i="8" s="1"/>
  <c r="G1249" i="8"/>
  <c r="P77" i="1" s="1"/>
  <c r="W1252" i="8"/>
  <c r="Y1252" i="8" s="1"/>
  <c r="Q85" i="1"/>
  <c r="E8" i="9"/>
  <c r="K39" i="1"/>
  <c r="K240" i="8"/>
  <c r="Q39" i="1" s="1"/>
  <c r="K67" i="1"/>
  <c r="U51" i="8"/>
  <c r="U83" i="8"/>
  <c r="U19" i="8"/>
  <c r="U99" i="8"/>
  <c r="U35" i="8"/>
  <c r="U115" i="8"/>
  <c r="U131" i="8"/>
  <c r="Y642" i="8"/>
  <c r="G638" i="8"/>
  <c r="N67" i="1" s="1"/>
  <c r="G430" i="8"/>
  <c r="N53" i="1" s="1"/>
  <c r="Y434" i="8"/>
  <c r="K304" i="8"/>
  <c r="Q42" i="1" s="1"/>
  <c r="K42" i="1"/>
  <c r="K192" i="8"/>
  <c r="Q91" i="1" s="1"/>
  <c r="K91" i="1"/>
  <c r="Y316" i="8" l="1"/>
  <c r="G318" i="8"/>
  <c r="N60" i="1" s="1"/>
  <c r="U604" i="8"/>
  <c r="G604" i="8" s="1"/>
  <c r="L44" i="1" s="1"/>
  <c r="G670" i="8"/>
  <c r="N70" i="1" s="1"/>
  <c r="Q105" i="1"/>
  <c r="Q87" i="1"/>
  <c r="Q106" i="1" s="1"/>
  <c r="U1373" i="8"/>
  <c r="Q54" i="1"/>
  <c r="Q36" i="1"/>
  <c r="M115" i="1"/>
  <c r="N115" i="1" s="1"/>
  <c r="M118" i="1"/>
  <c r="N118" i="1" s="1"/>
  <c r="D102" i="1"/>
  <c r="W669" i="8"/>
  <c r="Y669" i="8" s="1"/>
  <c r="M119" i="1"/>
  <c r="N119" i="1" s="1"/>
  <c r="G640" i="8"/>
  <c r="P67" i="1" s="1"/>
  <c r="W643" i="8"/>
  <c r="Y643" i="8" s="1"/>
  <c r="G432" i="8"/>
  <c r="P53" i="1" s="1"/>
  <c r="W435" i="8"/>
  <c r="Y435" i="8" s="1"/>
  <c r="E13" i="9"/>
  <c r="E10" i="9"/>
  <c r="P147" i="1"/>
  <c r="E15" i="9"/>
  <c r="W275" i="8"/>
  <c r="G268" i="8"/>
  <c r="L4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R1" i="8"/>
  <c r="M114" i="1"/>
  <c r="N114" i="1" s="1"/>
  <c r="W317" i="8" l="1"/>
  <c r="Y317" i="8" s="1"/>
  <c r="W318" i="8" s="1"/>
  <c r="Y318" i="8" s="1"/>
  <c r="W319" i="8" s="1"/>
  <c r="Y319" i="8" s="1"/>
  <c r="W320" i="8" s="1"/>
  <c r="Y320" i="8" s="1"/>
  <c r="W321" i="8" s="1"/>
  <c r="Y321" i="8" s="1"/>
  <c r="G320" i="8"/>
  <c r="P60" i="1" s="1"/>
  <c r="W604" i="8"/>
  <c r="R108" i="1"/>
  <c r="R111" i="1"/>
  <c r="W1373" i="8"/>
  <c r="G1373" i="8"/>
  <c r="L80" i="1" s="1"/>
  <c r="L106" i="1" s="1"/>
  <c r="R120" i="1"/>
  <c r="R124" i="1" s="1"/>
  <c r="M117" i="1"/>
  <c r="N117" i="1" s="1"/>
  <c r="M116" i="1"/>
  <c r="N116" i="1" s="1"/>
  <c r="D57" i="1"/>
  <c r="E17" i="9"/>
  <c r="E14" i="9"/>
  <c r="M121" i="1"/>
  <c r="E11" i="9"/>
  <c r="E9" i="9"/>
  <c r="R135" i="1"/>
  <c r="R138" i="1" s="1"/>
  <c r="R140" i="1" s="1"/>
  <c r="E12" i="9"/>
  <c r="Y275" i="8"/>
  <c r="G272" i="8" s="1"/>
  <c r="P40" i="1" s="1"/>
  <c r="G270" i="8"/>
  <c r="N40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39" i="1"/>
  <c r="Y604" i="8" l="1"/>
  <c r="G606" i="8"/>
  <c r="N44" i="1" s="1"/>
  <c r="Y1373" i="8"/>
  <c r="G1375" i="8"/>
  <c r="N80" i="1" s="1"/>
  <c r="N121" i="1"/>
  <c r="D14" i="1"/>
  <c r="D75" i="1"/>
  <c r="D65" i="1"/>
  <c r="D34" i="1"/>
  <c r="M120" i="1"/>
  <c r="M122" i="1" s="1"/>
  <c r="E16" i="9"/>
  <c r="E18" i="9" s="1"/>
  <c r="F18" i="9" s="1"/>
  <c r="Q108" i="1"/>
  <c r="N106" i="1" l="1"/>
  <c r="W605" i="8"/>
  <c r="Y605" i="8" s="1"/>
  <c r="W606" i="8" s="1"/>
  <c r="Y606" i="8" s="1"/>
  <c r="W607" i="8" s="1"/>
  <c r="Y607" i="8" s="1"/>
  <c r="W608" i="8" s="1"/>
  <c r="Y608" i="8" s="1"/>
  <c r="W609" i="8" s="1"/>
  <c r="Y609" i="8" s="1"/>
  <c r="G608" i="8"/>
  <c r="P44" i="1" s="1"/>
  <c r="R113" i="1"/>
  <c r="G1377" i="8"/>
  <c r="P80" i="1" s="1"/>
  <c r="U1374" i="8"/>
  <c r="W1374" i="8" s="1"/>
  <c r="Y1374" i="8" s="1"/>
  <c r="U1375" i="8" s="1"/>
  <c r="W1375" i="8" s="1"/>
  <c r="Y1375" i="8" s="1"/>
  <c r="W1376" i="8" s="1"/>
  <c r="Y1376" i="8" s="1"/>
  <c r="W1377" i="8" s="1"/>
  <c r="Y1377" i="8" s="1"/>
  <c r="W1378" i="8" s="1"/>
  <c r="Y1378" i="8" s="1"/>
  <c r="N120" i="1"/>
  <c r="N122" i="1" s="1"/>
  <c r="D106" i="1"/>
  <c r="P106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<sst xmlns="http://schemas.openxmlformats.org/spreadsheetml/2006/main" count="5520" uniqueCount="197">
  <si>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</si>
  <si>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</si>
  <si>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</si>
  <si>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</si>
  <si>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</si>
  <si>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</si>
  <si>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</si>
  <si>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</si>
  <si>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</si>
  <si>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</si>
  <si>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</si>
  <si>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</si>
  <si>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</si>
  <si>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</si>
  <si>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</si>
  <si>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</si>
  <si>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</si>
  <si>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</si>
  <si>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</si>
  <si>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</si>
  <si>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</si>
  <si>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</si>
  <si>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</si>
  <si>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</si>
  <si>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</si>
  <si>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</si>
  <si>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</si>
  <si>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</si>
  <si>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</si>
  <si>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</si>
  <si>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</si>
  <si>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</si>
  <si>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</si>
  <si>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</si>
  <si>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</si>
  <si>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</si>
  <si>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</si>
  <si>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</si>
  <si>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</si>
  <si>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</si>
  <si>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</si>
  <si>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</si>
  <si>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</si>
  <si>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</si>
  <si>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</si>
  <si>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</si>
  <si>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</si>
  <si>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</si>
  <si>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</si>
  <si>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</si>
  <si>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</si>
  <si>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</si>
  <si>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</si>
  <si>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</si>
  <si>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</si>
  <si>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</si>
  <si>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</si>
  <si>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</si>
  <si>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</si>
  <si>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</si>
  <si>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</si>
  <si>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</si>
  <si>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</si>
  <si>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</si>
  <si>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</si>
  <si>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</si>
  <si>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</si>
  <si>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</si>
  <si>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</si>
  <si>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</si>
  <si>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</si>
  <si>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</si>
  <si>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</si>
  <si>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</si>
  <si>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</si>
  <si>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</si>
  <si>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</si>
  <si>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</si>
  <si>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</si>
  <si>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</si>
  <si>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</si>
  <si>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</si>
  <si>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</si>
  <si>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</si>
  <si>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</si>
  <si>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</si>
  <si>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</si>
  <si>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</si>
  <si>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</si>
  <si>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</si>
  <si>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</si>
  <si>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</si>
  <si>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</si>
  <si>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</si>
  <si>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</si>
  <si>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</si>
  <si>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</si>
  <si>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</si>
  <si>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</si>
  <si>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</si>
  <si>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</si>
  <si>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</si>
  <si>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</si>
  <si>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</si>
  <si>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</si>
  <si>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</si>
  <si>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</si>
  <si>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</si>
  <si>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</si>
  <si>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</si>
  <si>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</si>
  <si>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</si>
  <si>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</si>
  <si>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</si>
  <si>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</si>
  <si>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</si>
  <si>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</si>
  <si>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</si>
  <si>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</si>
  <si>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</si>
  <si>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</si>
  <si>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</si>
  <si>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</si>
  <si>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</si>
  <si>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</si>
  <si>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</si>
  <si>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</si>
  <si>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</si>
  <si>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</si>
  <si>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</si>
  <si>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</si>
  <si>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</si>
  <si>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</si>
  <si>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</si>
  <si>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</si>
  <si>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</si>
  <si>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</si>
  <si>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</si>
  <si>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</si>
  <si>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</si>
  <si>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Faisal Masih</t>
  </si>
  <si>
    <t>Asif (EFU)</t>
  </si>
  <si>
    <t>M. Rafeeq</t>
  </si>
  <si>
    <t>Zeelaf Munir Villa</t>
  </si>
  <si>
    <t>Siddiq</t>
  </si>
  <si>
    <t>Faizan</t>
  </si>
  <si>
    <t>Murtaza</t>
  </si>
  <si>
    <t>Ahmed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</si>
  <si>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</si>
  <si>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</si>
  <si>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</si>
  <si>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</si>
  <si>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</si>
  <si>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</si>
  <si>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</si>
  <si>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Abdul Lateef</t>
  </si>
  <si>
    <t>Nue MultiPlex Operation &amp; maintenance</t>
  </si>
  <si>
    <t>Ahsan Razzak</t>
  </si>
  <si>
    <t>Suleman Dilawar</t>
  </si>
  <si>
    <t>Rizwan Saeed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</si>
  <si>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</si>
  <si>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</si>
  <si>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</si>
  <si>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</si>
  <si>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</si>
  <si>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</si>
  <si>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</si>
  <si>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</si>
  <si>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</si>
  <si>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</si>
  <si>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</si>
  <si>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</si>
  <si>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</si>
  <si>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</si>
  <si>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</si>
  <si>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Danish</t>
  </si>
  <si>
    <t>Rohit</t>
  </si>
  <si>
    <t>Adil (FTC)</t>
  </si>
  <si>
    <t>Muneeb Abbas</t>
  </si>
  <si>
    <t>Saqib</t>
  </si>
  <si>
    <t>Adjer</t>
  </si>
  <si>
    <t>Mubarak</t>
  </si>
  <si>
    <t>Abeer</t>
  </si>
  <si>
    <t>Sameer</t>
  </si>
  <si>
    <t>Noman</t>
  </si>
  <si>
    <t>Cash required</t>
  </si>
  <si>
    <t>Sheikh Suleman</t>
  </si>
  <si>
    <t>Nouman Shareef</t>
  </si>
  <si>
    <t>Noman Hussain</t>
  </si>
  <si>
    <t>April 2019</t>
  </si>
  <si>
    <t>Bakhti</t>
  </si>
  <si>
    <t>Shahbaz</t>
  </si>
  <si>
    <t>May 2019</t>
  </si>
  <si>
    <t>Salahuddin</t>
  </si>
  <si>
    <t>Rizwan EFU</t>
  </si>
  <si>
    <t>Mr. Chuttal</t>
  </si>
  <si>
    <t>Imran S/O Feroz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</si>
</sst>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36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0" fontId="7" fillId="10" borderId="1" xfId="0" applyFont="1" applyFill="1" applyBorder="1"/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quotePrefix="1" applyNumberFormat="1" applyFont="1" applyBorder="1" applyAlignment="1">
      <alignment horizontal="center" vertical="center"/>
    </xf>
    <xf numFmtId="0" fontId="5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 applyAlignment="1">
      <alignment horizontal="right"/>
    </xf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0" fontId="7" fillId="14" borderId="1" xfId="0" applyFont="1" applyFill="1" applyBorder="1"/>
    <xf numFmtId="164" fontId="19" fillId="15" borderId="1" xfId="0" applyNumberFormat="1" applyFont="1" applyFill="1" applyBorder="1"/>
    <xf numFmtId="164" fontId="34" fillId="2" borderId="1" xfId="1" applyNumberFormat="1" applyFont="1" applyFill="1" applyBorder="1"/>
    <xf numFmtId="164" fontId="19" fillId="15" borderId="8" xfId="0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0" fontId="7" fillId="15" borderId="1" xfId="0" applyFont="1" applyFill="1" applyBorder="1"/>
    <xf numFmtId="164" fontId="10" fillId="0" borderId="0" xfId="1" applyNumberFormat="1" applyFont="1" applyFill="1" applyBorder="1" applyAlignment="1"/>
    <xf numFmtId="0" fontId="7" fillId="7" borderId="1" xfId="0" applyFont="1" applyFill="1" applyBorder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19" fillId="11" borderId="1" xfId="0" applyNumberFormat="1" applyFont="1" applyFill="1" applyBorder="1"/>
    <xf numFmtId="0" fontId="9" fillId="10" borderId="1" xfId="0" applyFont="1" applyFill="1" applyBorder="1"/>
    <xf numFmtId="0" fontId="19" fillId="10" borderId="1" xfId="0" applyFont="1" applyFill="1" applyBorder="1"/>
    <xf numFmtId="0" fontId="18" fillId="10" borderId="1" xfId="0" applyFont="1" applyFill="1" applyBorder="1"/>
    <xf numFmtId="0" fontId="42" fillId="10" borderId="1" xfId="0" applyFont="1" applyFill="1" applyBorder="1"/>
    <xf numFmtId="0" fontId="23" fillId="10" borderId="5" xfId="0" applyFont="1" applyFill="1" applyBorder="1" applyAlignment="1">
      <alignment vertical="center"/>
    </xf>
    <xf numFmtId="164" fontId="19" fillId="10" borderId="1" xfId="0" applyNumberFormat="1" applyFont="1" applyFill="1" applyBorder="1"/>
    <xf numFmtId="164" fontId="19" fillId="10" borderId="8" xfId="0" applyNumberFormat="1" applyFont="1" applyFill="1" applyBorder="1"/>
    <xf numFmtId="164" fontId="43" fillId="10" borderId="1" xfId="0" applyNumberFormat="1" applyFont="1" applyFill="1" applyBorder="1"/>
    <xf numFmtId="164" fontId="3" fillId="10" borderId="1" xfId="0" applyNumberFormat="1" applyFont="1" applyFill="1" applyBorder="1"/>
    <xf numFmtId="164" fontId="3" fillId="10" borderId="8" xfId="0" applyNumberFormat="1" applyFont="1" applyFill="1" applyBorder="1"/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3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0"/>
  <sheetViews>
    <sheetView tabSelected="1" view="pageBreakPreview" zoomScaleNormal="90" zoomScaleSheetLayoutView="100" workbookViewId="0">
      <pane ySplit="3" topLeftCell="A19" activePane="bottomLeft" state="frozen"/>
      <selection pane="bottomLeft" activeCell="J35" sqref="J35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1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74" t="s">
        <v>110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2" t="str">
        <f>'Salary Record'!J1</f>
        <v>May</v>
      </c>
      <c r="O1" s="272"/>
      <c r="P1" s="272">
        <f>'Salary Record'!K1</f>
        <v>2019</v>
      </c>
      <c r="Q1" s="50"/>
    </row>
    <row r="2" spans="1:17" ht="15.6" customHeight="1" x14ac:dyDescent="0.25">
      <c r="A2" s="27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3"/>
      <c r="O2" s="273"/>
      <c r="P2" s="273"/>
      <c r="Q2" s="51"/>
    </row>
    <row r="3" spans="1:17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17" ht="14.4" x14ac:dyDescent="0.3">
      <c r="A4" s="31">
        <v>1</v>
      </c>
      <c r="B4" s="208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08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7" ht="15.6" x14ac:dyDescent="0.3">
      <c r="A6" s="269" t="s">
        <v>130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1"/>
    </row>
    <row r="7" spans="1:17" ht="15" customHeight="1" x14ac:dyDescent="0.3">
      <c r="A7" s="31">
        <v>1</v>
      </c>
      <c r="B7" s="208" t="s">
        <v>28</v>
      </c>
      <c r="C7" s="278" t="s">
        <v>51</v>
      </c>
      <c r="D7" s="281">
        <f>SUM(Q7:Q10)</f>
        <v>30000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51">
        <f>'Salary Record'!K80</f>
        <v>10000</v>
      </c>
    </row>
    <row r="8" spans="1:17" ht="14.4" x14ac:dyDescent="0.3">
      <c r="A8" s="37">
        <v>2</v>
      </c>
      <c r="B8" s="208" t="str">
        <f>'Salary Record'!C121</f>
        <v>Saeed Lala</v>
      </c>
      <c r="C8" s="279"/>
      <c r="D8" s="282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51">
        <f>'Salary Record'!K128</f>
        <v>0</v>
      </c>
    </row>
    <row r="9" spans="1:17" ht="14.4" x14ac:dyDescent="0.3">
      <c r="A9" s="31">
        <v>3</v>
      </c>
      <c r="B9" s="208" t="s">
        <v>42</v>
      </c>
      <c r="C9" s="279"/>
      <c r="D9" s="282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51">
        <f>'Salary Record'!K96</f>
        <v>10000</v>
      </c>
    </row>
    <row r="10" spans="1:17" ht="14.4" x14ac:dyDescent="0.3">
      <c r="A10" s="37">
        <v>4</v>
      </c>
      <c r="B10" s="208" t="s">
        <v>8</v>
      </c>
      <c r="C10" s="280"/>
      <c r="D10" s="283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51">
        <f>'Salary Record'!K112</f>
        <v>10000</v>
      </c>
    </row>
    <row r="11" spans="1:17" ht="14.4" x14ac:dyDescent="0.3">
      <c r="A11" s="266" t="s">
        <v>2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8"/>
      <c r="Q11" s="192">
        <f>SUM(Q7:Q10)</f>
        <v>30000</v>
      </c>
    </row>
    <row r="12" spans="1:17" ht="15.6" x14ac:dyDescent="0.3">
      <c r="A12" s="269" t="s">
        <v>131</v>
      </c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1"/>
    </row>
    <row r="13" spans="1:17" ht="14.4" x14ac:dyDescent="0.3">
      <c r="A13" s="37">
        <v>1</v>
      </c>
      <c r="B13" s="208" t="s">
        <v>17</v>
      </c>
      <c r="C13" s="165"/>
      <c r="D13" s="161"/>
      <c r="E13" s="40">
        <f>'Salary Record'!K200</f>
        <v>29000</v>
      </c>
      <c r="F13" s="24">
        <f>'Salary Record'!C206</f>
        <v>30</v>
      </c>
      <c r="G13" s="39">
        <f>'Salary Record'!C207</f>
        <v>1</v>
      </c>
      <c r="H13" s="24">
        <f>'Salary Record'!I205</f>
        <v>-7</v>
      </c>
      <c r="I13" s="24">
        <f>'Salary Record'!I204</f>
        <v>31</v>
      </c>
      <c r="J13" s="33">
        <f>'Salary Record'!K205</f>
        <v>-818.54838709677415</v>
      </c>
      <c r="K13" s="24">
        <f>'Salary Record'!K206</f>
        <v>28181.451612903227</v>
      </c>
      <c r="L13" s="15">
        <f>'Salary Record'!G204</f>
        <v>3000</v>
      </c>
      <c r="M13" s="15">
        <f>'Salary Record'!G205</f>
        <v>3000</v>
      </c>
      <c r="N13" s="15">
        <f>'Salary Record'!G206</f>
        <v>6000</v>
      </c>
      <c r="O13" s="15">
        <f>'Salary Record'!G207</f>
        <v>1000</v>
      </c>
      <c r="P13" s="15">
        <f>'Salary Record'!G208</f>
        <v>5000</v>
      </c>
      <c r="Q13" s="226">
        <f>'Salary Record'!K208</f>
        <v>27181.451612903227</v>
      </c>
    </row>
    <row r="14" spans="1:17" ht="15" customHeight="1" x14ac:dyDescent="0.3">
      <c r="A14" s="31">
        <v>2</v>
      </c>
      <c r="B14" s="208" t="s">
        <v>27</v>
      </c>
      <c r="C14" s="164" t="s">
        <v>49</v>
      </c>
      <c r="D14" s="159">
        <f>SUM(Q14:Q54)</f>
        <v>1336449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26">
        <f>'Salary Record'!K48</f>
        <v>35000</v>
      </c>
    </row>
    <row r="15" spans="1:17" ht="14.4" x14ac:dyDescent="0.3">
      <c r="A15" s="37">
        <v>3</v>
      </c>
      <c r="B15" s="208" t="str">
        <f>'Salary Record'!C393</f>
        <v>Bilal</v>
      </c>
      <c r="C15" s="153"/>
      <c r="D15" s="149"/>
      <c r="E15" s="39">
        <f>'Salary Record'!K392</f>
        <v>15500</v>
      </c>
      <c r="F15" s="39">
        <f>'Salary Record'!C398</f>
        <v>29</v>
      </c>
      <c r="G15" s="39">
        <f>'Salary Record'!C399</f>
        <v>2</v>
      </c>
      <c r="H15" s="39">
        <f>'Salary Record'!I397</f>
        <v>0</v>
      </c>
      <c r="I15" s="39">
        <f>'Salary Record'!I396</f>
        <v>31</v>
      </c>
      <c r="J15" s="116">
        <f>'Salary Record'!K397</f>
        <v>0</v>
      </c>
      <c r="K15" s="116">
        <f>'Salary Record'!K398</f>
        <v>15500</v>
      </c>
      <c r="L15" s="117">
        <f>'Salary Record'!G396</f>
        <v>0</v>
      </c>
      <c r="M15" s="138">
        <f>'Salary Record'!G397</f>
        <v>3000</v>
      </c>
      <c r="N15" s="139">
        <f>'Salary Record'!G398</f>
        <v>3000</v>
      </c>
      <c r="O15" s="138">
        <f>'Salary Record'!G399</f>
        <v>3000</v>
      </c>
      <c r="P15" s="139">
        <f>'Salary Record'!G400</f>
        <v>0</v>
      </c>
      <c r="Q15" s="228">
        <f>'Salary Record'!K400</f>
        <v>12500</v>
      </c>
    </row>
    <row r="16" spans="1:17" ht="14.4" x14ac:dyDescent="0.3">
      <c r="A16" s="31">
        <v>4</v>
      </c>
      <c r="B16" s="208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6000</v>
      </c>
      <c r="L16" s="35">
        <f>'Salary Record'!G60</f>
        <v>10800</v>
      </c>
      <c r="M16" s="35">
        <f>'Salary Record'!G61</f>
        <v>0</v>
      </c>
      <c r="N16" s="36">
        <f>'Salary Record'!G62</f>
        <v>10800</v>
      </c>
      <c r="O16" s="35">
        <f>'Salary Record'!G63</f>
        <v>1000</v>
      </c>
      <c r="P16" s="36">
        <f>'Salary Record'!G64</f>
        <v>9800</v>
      </c>
      <c r="Q16" s="226">
        <f>'Salary Record'!K64</f>
        <v>5000</v>
      </c>
    </row>
    <row r="17" spans="1:20" ht="14.4" x14ac:dyDescent="0.3">
      <c r="A17" s="37">
        <v>5</v>
      </c>
      <c r="B17" s="254" t="str">
        <f>'Salary Record'!C217</f>
        <v>Bakhti</v>
      </c>
      <c r="C17" s="165"/>
      <c r="D17" s="161"/>
      <c r="E17" s="24">
        <f>'Salary Record'!K216</f>
        <v>14500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31</v>
      </c>
      <c r="J17" s="21">
        <f>'Salary Record'!K221</f>
        <v>0</v>
      </c>
      <c r="K17" s="21">
        <f>'Salary Record'!K222</f>
        <v>14500</v>
      </c>
      <c r="L17" s="22">
        <f>'Salary Record'!G220</f>
        <v>0</v>
      </c>
      <c r="M17" s="22">
        <f>'Salary Record'!G221</f>
        <v>10000</v>
      </c>
      <c r="N17" s="23">
        <f>'Salary Record'!G222</f>
        <v>10000</v>
      </c>
      <c r="O17" s="22">
        <f>'Salary Record'!G223</f>
        <v>10000</v>
      </c>
      <c r="P17" s="23">
        <f>'Salary Record'!G224</f>
        <v>0</v>
      </c>
      <c r="Q17" s="224">
        <f>'Salary Record'!K224</f>
        <v>4500</v>
      </c>
    </row>
    <row r="18" spans="1:20" ht="14.4" x14ac:dyDescent="0.3">
      <c r="A18" s="266" t="s">
        <v>2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8"/>
      <c r="Q18" s="157">
        <f>SUM(Q13:Q17)</f>
        <v>84181.451612903227</v>
      </c>
    </row>
    <row r="19" spans="1:20" ht="15.6" x14ac:dyDescent="0.3">
      <c r="A19" s="269" t="s">
        <v>156</v>
      </c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1"/>
    </row>
    <row r="20" spans="1:20" ht="15.6" x14ac:dyDescent="0.3">
      <c r="A20" s="31">
        <v>1</v>
      </c>
      <c r="B20" s="252" t="str">
        <f>'Salary Record'!C1081</f>
        <v>Abdul Rafay</v>
      </c>
      <c r="C20" s="158"/>
      <c r="D20" s="136"/>
      <c r="E20" s="15">
        <f>'Salary Record'!K1080</f>
        <v>35000</v>
      </c>
      <c r="F20" s="15">
        <f>'Salary Record'!C1086</f>
        <v>30</v>
      </c>
      <c r="G20" s="41">
        <f>'Salary Record'!C1087</f>
        <v>1</v>
      </c>
      <c r="H20" s="176">
        <f>'Salary Record'!I1085</f>
        <v>69</v>
      </c>
      <c r="I20" s="15">
        <f>'Salary Record'!I1084</f>
        <v>31</v>
      </c>
      <c r="J20" s="33">
        <f>'Salary Record'!K1085</f>
        <v>9737.9032258064508</v>
      </c>
      <c r="K20" s="33">
        <f>'Salary Record'!K1086</f>
        <v>44737.903225806454</v>
      </c>
      <c r="L20" s="15">
        <f>'Salary Record'!G1084</f>
        <v>0</v>
      </c>
      <c r="M20" s="15">
        <f>'Salary Record'!G1085</f>
        <v>0</v>
      </c>
      <c r="N20" s="36">
        <f>'Salary Record'!G1086</f>
        <v>0</v>
      </c>
      <c r="O20" s="15">
        <f>'Salary Record'!G1087</f>
        <v>0</v>
      </c>
      <c r="P20" s="36">
        <f>'Salary Record'!G1088</f>
        <v>0</v>
      </c>
      <c r="Q20" s="257">
        <f>'Salary Record'!K1088</f>
        <v>44737.903225806454</v>
      </c>
    </row>
    <row r="21" spans="1:20" ht="15.6" x14ac:dyDescent="0.3">
      <c r="A21" s="31">
        <v>2</v>
      </c>
      <c r="B21" s="252" t="str">
        <f>'Salary Record'!C489</f>
        <v>Faizan</v>
      </c>
      <c r="C21" s="160"/>
      <c r="D21" s="163"/>
      <c r="E21" s="15">
        <f>'Salary Record'!K488</f>
        <v>15000</v>
      </c>
      <c r="F21" s="15">
        <f>'Salary Record'!C494</f>
        <v>30</v>
      </c>
      <c r="G21" s="41">
        <f>'Salary Record'!C495</f>
        <v>1</v>
      </c>
      <c r="H21" s="176">
        <f>'Salary Record'!I493</f>
        <v>0</v>
      </c>
      <c r="I21" s="15">
        <f>'Salary Record'!I492</f>
        <v>30</v>
      </c>
      <c r="J21" s="33">
        <f>'Salary Record'!K493</f>
        <v>0</v>
      </c>
      <c r="K21" s="24">
        <f>'Salary Record'!K494</f>
        <v>14516.129032258064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257">
        <f>'Salary Record'!K496</f>
        <v>14516.129032258064</v>
      </c>
    </row>
    <row r="22" spans="1:20" ht="15.6" x14ac:dyDescent="0.3">
      <c r="A22" s="31">
        <v>3</v>
      </c>
      <c r="B22" s="253" t="str">
        <f>'Salary Record'!C1129</f>
        <v>Salman Farooq</v>
      </c>
      <c r="C22" s="160"/>
      <c r="D22" s="163"/>
      <c r="E22" s="15">
        <f>'Salary Record'!K1128</f>
        <v>15000</v>
      </c>
      <c r="F22" s="15">
        <f>'Salary Record'!C1134</f>
        <v>31</v>
      </c>
      <c r="G22" s="41">
        <f>'Salary Record'!C1135</f>
        <v>0</v>
      </c>
      <c r="H22" s="176">
        <f>'Salary Record'!I1133</f>
        <v>0</v>
      </c>
      <c r="I22" s="15">
        <f>'Salary Record'!I1132</f>
        <v>31</v>
      </c>
      <c r="J22" s="33">
        <f>'Salary Record'!K1133</f>
        <v>0</v>
      </c>
      <c r="K22" s="24">
        <f>'Salary Record'!K1134</f>
        <v>15000</v>
      </c>
      <c r="L22" s="15">
        <f>'Salary Record'!G1132</f>
        <v>0</v>
      </c>
      <c r="M22" s="15">
        <f>'Salary Record'!G1133</f>
        <v>0</v>
      </c>
      <c r="N22" s="36">
        <f>'Salary Record'!G1134</f>
        <v>0</v>
      </c>
      <c r="O22" s="15">
        <f>'Salary Record'!G1135</f>
        <v>0</v>
      </c>
      <c r="P22" s="36">
        <f>'Salary Record'!G1136</f>
        <v>0</v>
      </c>
      <c r="Q22" s="257">
        <f>'Salary Record'!K1136</f>
        <v>15000</v>
      </c>
    </row>
    <row r="23" spans="1:20" ht="15.6" x14ac:dyDescent="0.3">
      <c r="A23" s="31">
        <v>4</v>
      </c>
      <c r="B23" s="208" t="str">
        <f>'Salary Record'!C1145</f>
        <v>Murtaza</v>
      </c>
      <c r="C23" s="170"/>
      <c r="D23" s="173"/>
      <c r="E23" s="42">
        <f>'Salary Record'!K1144</f>
        <v>20000</v>
      </c>
      <c r="F23" s="42">
        <f>'Salary Record'!C1150</f>
        <v>17</v>
      </c>
      <c r="G23" s="33">
        <f>'Salary Record'!C1151</f>
        <v>14</v>
      </c>
      <c r="H23" s="227">
        <f>'Salary Record'!I1149</f>
        <v>2.88</v>
      </c>
      <c r="I23" s="42">
        <f>'Salary Record'!I1148</f>
        <v>17</v>
      </c>
      <c r="J23" s="33">
        <f>'Salary Record'!K1149</f>
        <v>232.25806451612902</v>
      </c>
      <c r="K23" s="33">
        <f>'Salary Record'!K1150</f>
        <v>11200</v>
      </c>
      <c r="L23" s="15">
        <f>'Salary Record'!G1148</f>
        <v>0</v>
      </c>
      <c r="M23" s="35">
        <f>'Salary Record'!G1149</f>
        <v>0</v>
      </c>
      <c r="N23" s="36">
        <f>'Salary Record'!G1150</f>
        <v>0</v>
      </c>
      <c r="O23" s="35">
        <f>'Salary Record'!G1151</f>
        <v>0</v>
      </c>
      <c r="P23" s="36">
        <f>'Salary Record'!G1152</f>
        <v>0</v>
      </c>
      <c r="Q23" s="257">
        <f>'Salary Record'!K1152</f>
        <v>11200</v>
      </c>
    </row>
    <row r="24" spans="1:20" ht="14.4" x14ac:dyDescent="0.3">
      <c r="A24" s="31">
        <v>5</v>
      </c>
      <c r="B24" s="208" t="str">
        <f>'Salary Record'!C697</f>
        <v>Sheikh Suleman</v>
      </c>
      <c r="C24" s="158"/>
      <c r="D24" s="136"/>
      <c r="E24" s="46">
        <f>'Salary Record'!K696</f>
        <v>16000</v>
      </c>
      <c r="F24" s="46">
        <f>'Salary Record'!C702</f>
        <v>31</v>
      </c>
      <c r="G24" s="39">
        <f>'Salary Record'!C703</f>
        <v>0</v>
      </c>
      <c r="H24" s="46">
        <f>'Salary Record'!I701</f>
        <v>0</v>
      </c>
      <c r="I24" s="46">
        <f>'Salary Record'!I700</f>
        <v>31</v>
      </c>
      <c r="J24" s="33">
        <f>'Salary Record'!K701</f>
        <v>0</v>
      </c>
      <c r="K24" s="33">
        <f>'Salary Record'!K702</f>
        <v>16000</v>
      </c>
      <c r="L24" s="15">
        <f>'Salary Record'!G700</f>
        <v>0</v>
      </c>
      <c r="M24" s="35">
        <f>'Salary Record'!G701</f>
        <v>0</v>
      </c>
      <c r="N24" s="36" t="str">
        <f>'Salary Record'!G702</f>
        <v/>
      </c>
      <c r="O24" s="35">
        <f>'Salary Record'!G703</f>
        <v>0</v>
      </c>
      <c r="P24" s="36" t="str">
        <f>'Salary Record'!G704</f>
        <v/>
      </c>
      <c r="Q24" s="257">
        <f>'Salary Record'!K704</f>
        <v>16000</v>
      </c>
    </row>
    <row r="25" spans="1:20" ht="15.6" x14ac:dyDescent="0.3">
      <c r="A25" s="31">
        <v>6</v>
      </c>
      <c r="B25" s="208" t="str">
        <f>'Salary Record'!C969</f>
        <v>Ali Islam</v>
      </c>
      <c r="C25" s="182"/>
      <c r="D25" s="179"/>
      <c r="E25" s="24">
        <f>'Salary Record'!K968</f>
        <v>15000</v>
      </c>
      <c r="F25" s="24">
        <f>'Salary Record'!C974</f>
        <v>29</v>
      </c>
      <c r="G25" s="39">
        <f>'Salary Record'!C975</f>
        <v>2</v>
      </c>
      <c r="H25" s="145">
        <f>'Salary Record'!I973</f>
        <v>0</v>
      </c>
      <c r="I25" s="24">
        <f>'Salary Record'!I972</f>
        <v>29</v>
      </c>
      <c r="J25" s="33">
        <f>'Salary Record'!K973</f>
        <v>0</v>
      </c>
      <c r="K25" s="33">
        <f>'Salary Record'!K974</f>
        <v>14032.258064516129</v>
      </c>
      <c r="L25" s="15">
        <f>'Salary Record'!G972</f>
        <v>0</v>
      </c>
      <c r="M25" s="35">
        <f>'Salary Record'!G973</f>
        <v>0</v>
      </c>
      <c r="N25" s="36">
        <f>'Salary Record'!G974</f>
        <v>0</v>
      </c>
      <c r="O25" s="35">
        <f>'Salary Record'!G975</f>
        <v>0</v>
      </c>
      <c r="P25" s="36">
        <f>'Salary Record'!G976</f>
        <v>0</v>
      </c>
      <c r="Q25" s="257">
        <f>'Salary Record'!K976</f>
        <v>14032.258064516129</v>
      </c>
    </row>
    <row r="26" spans="1:20" ht="15.6" x14ac:dyDescent="0.3">
      <c r="A26" s="31">
        <v>7</v>
      </c>
      <c r="B26" s="208" t="str">
        <f>'Salary Record'!C1306</f>
        <v>Azher Ali</v>
      </c>
      <c r="C26" s="182"/>
      <c r="D26" s="179"/>
      <c r="E26" s="24">
        <f>'Salary Record'!K1305</f>
        <v>18000</v>
      </c>
      <c r="F26" s="24">
        <f>'Salary Record'!C1311</f>
        <v>31</v>
      </c>
      <c r="G26" s="39">
        <f>'Salary Record'!C1312</f>
        <v>0</v>
      </c>
      <c r="H26" s="145">
        <f>'Salary Record'!I1310</f>
        <v>0</v>
      </c>
      <c r="I26" s="24">
        <f>'Salary Record'!I1309</f>
        <v>31</v>
      </c>
      <c r="J26" s="33">
        <f>'Salary Record'!K1310</f>
        <v>0</v>
      </c>
      <c r="K26" s="33">
        <f>'Salary Record'!K1311</f>
        <v>18000</v>
      </c>
      <c r="L26" s="15">
        <f>'Salary Record'!G1309</f>
        <v>0</v>
      </c>
      <c r="M26" s="35">
        <f>'Salary Record'!G1310</f>
        <v>0</v>
      </c>
      <c r="N26" s="36">
        <f>'Salary Record'!G1311</f>
        <v>0</v>
      </c>
      <c r="O26" s="35">
        <f>'Salary Record'!G1312</f>
        <v>0</v>
      </c>
      <c r="P26" s="36">
        <f>'Salary Record'!G1313</f>
        <v>0</v>
      </c>
      <c r="Q26" s="257">
        <f>'Salary Record'!K1313</f>
        <v>18000</v>
      </c>
    </row>
    <row r="27" spans="1:20" ht="14.4" x14ac:dyDescent="0.3">
      <c r="A27" s="266" t="s">
        <v>2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8"/>
      <c r="Q27" s="157">
        <f>SUM(Q20:Q26)</f>
        <v>133486.29032258064</v>
      </c>
      <c r="R27" s="13"/>
      <c r="T27" s="13"/>
    </row>
    <row r="28" spans="1:20" ht="15.6" x14ac:dyDescent="0.3">
      <c r="A28" s="269" t="s">
        <v>153</v>
      </c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1"/>
    </row>
    <row r="29" spans="1:20" ht="14.4" x14ac:dyDescent="0.3">
      <c r="A29" s="31">
        <v>1</v>
      </c>
      <c r="B29" s="252" t="str">
        <f>'Salary Record'!C1354</f>
        <v>Khalid Mansoor</v>
      </c>
      <c r="C29" s="160"/>
      <c r="D29" s="163"/>
      <c r="E29" s="15">
        <f>'Salary Record'!K1353</f>
        <v>25000</v>
      </c>
      <c r="F29" s="15">
        <f>'Salary Record'!C1359</f>
        <v>31</v>
      </c>
      <c r="G29" s="41">
        <f>'Salary Record'!C1360</f>
        <v>0</v>
      </c>
      <c r="H29" s="15">
        <f>'Salary Record'!I1358</f>
        <v>58</v>
      </c>
      <c r="I29" s="15">
        <f>'Salary Record'!I1357</f>
        <v>31</v>
      </c>
      <c r="J29" s="33">
        <f>'Salary Record'!K1358</f>
        <v>5846.7741935483873</v>
      </c>
      <c r="K29" s="24">
        <f>'Salary Record'!K1359</f>
        <v>30846.774193548386</v>
      </c>
      <c r="L29" s="15">
        <f>'Salary Record'!G1357</f>
        <v>0</v>
      </c>
      <c r="M29" s="15">
        <f>'Salary Record'!G1358</f>
        <v>0</v>
      </c>
      <c r="N29" s="36">
        <f>'Salary Record'!G1359</f>
        <v>0</v>
      </c>
      <c r="O29" s="15">
        <f>'Salary Record'!G1360</f>
        <v>0</v>
      </c>
      <c r="P29" s="36">
        <f>'Salary Record'!G1361</f>
        <v>0</v>
      </c>
      <c r="Q29" s="257">
        <f>'Salary Record'!K1361</f>
        <v>30846.774193548386</v>
      </c>
    </row>
    <row r="30" spans="1:20" ht="14.4" x14ac:dyDescent="0.3">
      <c r="A30" s="31">
        <v>2</v>
      </c>
      <c r="B30" s="252" t="str">
        <f>'Salary Record'!C1322</f>
        <v>Rizwan Saeed</v>
      </c>
      <c r="C30" s="158"/>
      <c r="D30" s="136"/>
      <c r="E30" s="15">
        <f>'Salary Record'!K1321</f>
        <v>22000</v>
      </c>
      <c r="F30" s="15">
        <f>'Salary Record'!C1327</f>
        <v>31</v>
      </c>
      <c r="G30" s="41">
        <f>'Salary Record'!C1328</f>
        <v>0</v>
      </c>
      <c r="H30" s="15">
        <f>'Salary Record'!I1326</f>
        <v>39</v>
      </c>
      <c r="I30" s="15">
        <f>'Salary Record'!I1325</f>
        <v>31</v>
      </c>
      <c r="J30" s="33">
        <f>'Salary Record'!K1326</f>
        <v>3459.6774193548385</v>
      </c>
      <c r="K30" s="33">
        <f>'Salary Record'!K1327</f>
        <v>25459.677419354837</v>
      </c>
      <c r="L30" s="15">
        <f>'Salary Record'!G1325</f>
        <v>0</v>
      </c>
      <c r="M30" s="15">
        <f>'Salary Record'!G1326</f>
        <v>0</v>
      </c>
      <c r="N30" s="36">
        <f>'Salary Record'!G1327</f>
        <v>0</v>
      </c>
      <c r="O30" s="15">
        <f>'Salary Record'!G1328</f>
        <v>0</v>
      </c>
      <c r="P30" s="36">
        <f>'Salary Record'!G1329</f>
        <v>0</v>
      </c>
      <c r="Q30" s="257">
        <f>'Salary Record'!K1329</f>
        <v>25459.677419354837</v>
      </c>
    </row>
    <row r="31" spans="1:20" ht="15.6" x14ac:dyDescent="0.3">
      <c r="A31" s="31">
        <v>3</v>
      </c>
      <c r="B31" s="208" t="str">
        <f>'Salary Record'!C873</f>
        <v>Ahsan</v>
      </c>
      <c r="C31" s="158"/>
      <c r="D31" s="136"/>
      <c r="E31" s="42">
        <f>'Salary Record'!K872</f>
        <v>17000</v>
      </c>
      <c r="F31" s="42">
        <f>'Salary Record'!C878</f>
        <v>31</v>
      </c>
      <c r="G31" s="33">
        <f>'Salary Record'!C879</f>
        <v>0</v>
      </c>
      <c r="H31" s="227">
        <f>'Salary Record'!I877</f>
        <v>49</v>
      </c>
      <c r="I31" s="42">
        <f>'Salary Record'!I876</f>
        <v>31</v>
      </c>
      <c r="J31" s="33">
        <f>'Salary Record'!K877</f>
        <v>3358.8709677419356</v>
      </c>
      <c r="K31" s="24">
        <f>'Salary Record'!K878</f>
        <v>20358.870967741936</v>
      </c>
      <c r="L31" s="15">
        <f>'Salary Record'!G876</f>
        <v>0</v>
      </c>
      <c r="M31" s="35">
        <f>'Salary Record'!G877</f>
        <v>0</v>
      </c>
      <c r="N31" s="36">
        <f>'Salary Record'!G878</f>
        <v>0</v>
      </c>
      <c r="O31" s="35">
        <f>'Salary Record'!G879</f>
        <v>0</v>
      </c>
      <c r="P31" s="36">
        <f>'Salary Record'!G880</f>
        <v>0</v>
      </c>
      <c r="Q31" s="257">
        <f>'Salary Record'!K880</f>
        <v>20358.870967741936</v>
      </c>
    </row>
    <row r="32" spans="1:20" ht="14.4" x14ac:dyDescent="0.3">
      <c r="A32" s="31">
        <v>4</v>
      </c>
      <c r="B32" s="208" t="str">
        <f>'Salary Record'!C1338</f>
        <v>Suleman Dilawar</v>
      </c>
      <c r="C32" s="158"/>
      <c r="D32" s="136"/>
      <c r="E32" s="42">
        <f>'Salary Record'!K1337</f>
        <v>16000</v>
      </c>
      <c r="F32" s="42">
        <f>'Salary Record'!C1343</f>
        <v>31</v>
      </c>
      <c r="G32" s="33">
        <f>'Salary Record'!C1344</f>
        <v>0</v>
      </c>
      <c r="H32" s="42">
        <f>'Salary Record'!I1342</f>
        <v>60</v>
      </c>
      <c r="I32" s="42">
        <f>'Salary Record'!I1341</f>
        <v>31</v>
      </c>
      <c r="J32" s="33">
        <f>'Salary Record'!K1342</f>
        <v>3870.9677419354839</v>
      </c>
      <c r="K32" s="24">
        <f>'Salary Record'!K1343</f>
        <v>19870.967741935485</v>
      </c>
      <c r="L32" s="15">
        <f>'Salary Record'!G1341</f>
        <v>0</v>
      </c>
      <c r="M32" s="35">
        <f>'Salary Record'!G1342</f>
        <v>0</v>
      </c>
      <c r="N32" s="36">
        <f>'Salary Record'!G1343</f>
        <v>0</v>
      </c>
      <c r="O32" s="35">
        <f>'Salary Record'!G1344</f>
        <v>0</v>
      </c>
      <c r="P32" s="36">
        <f>'Salary Record'!G1345</f>
        <v>0</v>
      </c>
      <c r="Q32" s="257">
        <f>'Salary Record'!K1345</f>
        <v>19870.967741935485</v>
      </c>
    </row>
    <row r="33" spans="1:23" ht="14.4" x14ac:dyDescent="0.3">
      <c r="A33" s="31">
        <v>5</v>
      </c>
      <c r="B33" s="208" t="str">
        <f>'Salary Record'!C793</f>
        <v>Ahsan Razzak</v>
      </c>
      <c r="C33" s="154"/>
      <c r="D33" s="147"/>
      <c r="E33" s="24">
        <f>'Salary Record'!K792</f>
        <v>22000</v>
      </c>
      <c r="F33" s="24">
        <f>'Salary Record'!C798</f>
        <v>31</v>
      </c>
      <c r="G33" s="39">
        <f>'Salary Record'!C799</f>
        <v>0</v>
      </c>
      <c r="H33" s="24">
        <f>'Salary Record'!I797</f>
        <v>50</v>
      </c>
      <c r="I33" s="24">
        <f>'Salary Record'!I796</f>
        <v>31</v>
      </c>
      <c r="J33" s="33">
        <f>'Salary Record'!K797</f>
        <v>4435.4838709677415</v>
      </c>
      <c r="K33" s="24">
        <f>'Salary Record'!K798</f>
        <v>26435.483870967742</v>
      </c>
      <c r="L33" s="15">
        <f>'Salary Record'!G796</f>
        <v>0</v>
      </c>
      <c r="M33" s="35">
        <f>'Salary Record'!G797</f>
        <v>0</v>
      </c>
      <c r="N33" s="36">
        <f>'Salary Record'!G798</f>
        <v>0</v>
      </c>
      <c r="O33" s="35">
        <f>'Salary Record'!G799</f>
        <v>0</v>
      </c>
      <c r="P33" s="36">
        <f>'Salary Record'!G800</f>
        <v>0</v>
      </c>
      <c r="Q33" s="257">
        <f>'Salary Record'!K800</f>
        <v>26435.483870967742</v>
      </c>
    </row>
    <row r="34" spans="1:23" ht="15" customHeight="1" x14ac:dyDescent="0.3">
      <c r="A34" s="31">
        <v>8</v>
      </c>
      <c r="B34" s="208" t="str">
        <f>'Salary Record'!C617</f>
        <v>Nouman Shareef</v>
      </c>
      <c r="C34" s="167" t="s">
        <v>123</v>
      </c>
      <c r="D34" s="132">
        <f>SUM(Q25:Q93)</f>
        <v>2197288.0624999991</v>
      </c>
      <c r="E34" s="46">
        <f>'Salary Record'!K616</f>
        <v>16000</v>
      </c>
      <c r="F34" s="46">
        <f>'Salary Record'!C622</f>
        <v>31</v>
      </c>
      <c r="G34" s="39">
        <f>'Salary Record'!C623</f>
        <v>0</v>
      </c>
      <c r="H34" s="46">
        <f>'Salary Record'!I621</f>
        <v>50</v>
      </c>
      <c r="I34" s="46">
        <f>'Salary Record'!I620</f>
        <v>31</v>
      </c>
      <c r="J34" s="33">
        <f>'Salary Record'!K621</f>
        <v>3225.8064516129034</v>
      </c>
      <c r="K34" s="33">
        <f>'Salary Record'!K622</f>
        <v>19225.806451612902</v>
      </c>
      <c r="L34" s="15" t="str">
        <f>'Salary Record'!G620</f>
        <v/>
      </c>
      <c r="M34" s="35">
        <f>'Salary Record'!G621</f>
        <v>0</v>
      </c>
      <c r="N34" s="36" t="str">
        <f>'Salary Record'!G622</f>
        <v/>
      </c>
      <c r="O34" s="35">
        <f>'Salary Record'!G623</f>
        <v>0</v>
      </c>
      <c r="P34" s="36" t="str">
        <f>'Salary Record'!G624</f>
        <v/>
      </c>
      <c r="Q34" s="257">
        <f>'Salary Record'!K624</f>
        <v>19225.806451612902</v>
      </c>
    </row>
    <row r="35" spans="1:23" ht="14.4" x14ac:dyDescent="0.3">
      <c r="A35" s="31">
        <v>9</v>
      </c>
      <c r="B35" s="234" t="str">
        <f>'Salary Record'!C1466</f>
        <v>Owais</v>
      </c>
      <c r="C35" s="154"/>
      <c r="D35" s="147"/>
      <c r="E35" s="24">
        <f>'Salary Record'!K1465</f>
        <v>22000</v>
      </c>
      <c r="F35" s="24">
        <f>'Salary Record'!C1471</f>
        <v>0</v>
      </c>
      <c r="G35" s="39">
        <f>'Salary Record'!C1472</f>
        <v>0</v>
      </c>
      <c r="H35" s="24">
        <f>'Salary Record'!I1470</f>
        <v>0</v>
      </c>
      <c r="I35" s="24">
        <f>'Salary Record'!I1469</f>
        <v>0</v>
      </c>
      <c r="J35" s="33">
        <f>'Salary Record'!K1470</f>
        <v>0</v>
      </c>
      <c r="K35" s="24">
        <f>'Salary Record'!K1471</f>
        <v>0</v>
      </c>
      <c r="L35" s="15">
        <f>'Salary Record'!G1469</f>
        <v>0</v>
      </c>
      <c r="M35" s="35">
        <f>'Salary Record'!G1470</f>
        <v>0</v>
      </c>
      <c r="N35" s="36">
        <f>'Salary Record'!G1471</f>
        <v>0</v>
      </c>
      <c r="O35" s="35">
        <f>'Salary Record'!G1472</f>
        <v>0</v>
      </c>
      <c r="P35" s="36">
        <f>'Salary Record'!G1473</f>
        <v>0</v>
      </c>
      <c r="Q35" s="43">
        <f>'Salary Record'!K1473</f>
        <v>0</v>
      </c>
    </row>
    <row r="36" spans="1:23" ht="14.4" x14ac:dyDescent="0.3">
      <c r="A36" s="266" t="s">
        <v>2</v>
      </c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8"/>
      <c r="Q36" s="157">
        <f>SUM(Q29:Q35)</f>
        <v>142197.5806451613</v>
      </c>
      <c r="R36" s="13"/>
      <c r="T36" s="13"/>
    </row>
    <row r="37" spans="1:23" ht="15.6" x14ac:dyDescent="0.3">
      <c r="A37" s="269" t="s">
        <v>50</v>
      </c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1"/>
      <c r="R37" s="13"/>
    </row>
    <row r="38" spans="1:23" ht="15" customHeight="1" x14ac:dyDescent="0.3">
      <c r="A38" s="37">
        <v>1</v>
      </c>
      <c r="B38" s="208" t="s">
        <v>5</v>
      </c>
      <c r="C38" s="152"/>
      <c r="D38" s="150"/>
      <c r="E38" s="39">
        <f>'Salary Record'!K520</f>
        <v>43000</v>
      </c>
      <c r="F38" s="39">
        <f>'Salary Record'!C526</f>
        <v>31</v>
      </c>
      <c r="G38" s="39">
        <f>'Salary Record'!C527</f>
        <v>0</v>
      </c>
      <c r="H38" s="39">
        <f>'Salary Record'!I525</f>
        <v>9.8019999999999996</v>
      </c>
      <c r="I38" s="39">
        <f>'Salary Record'!I524</f>
        <v>31</v>
      </c>
      <c r="J38" s="33">
        <f>'Salary Record'!K525</f>
        <v>1699.5403225806449</v>
      </c>
      <c r="K38" s="33">
        <f>'Salary Record'!K526</f>
        <v>44699.540322580644</v>
      </c>
      <c r="L38" s="15">
        <f>'Salary Record'!G524</f>
        <v>263000</v>
      </c>
      <c r="M38" s="35">
        <f>'Salary Record'!G525</f>
        <v>0</v>
      </c>
      <c r="N38" s="36">
        <f>'Salary Record'!G526</f>
        <v>263000</v>
      </c>
      <c r="O38" s="35">
        <f>'Salary Record'!G527</f>
        <v>5000</v>
      </c>
      <c r="P38" s="36">
        <f>'Salary Record'!G528</f>
        <v>258000</v>
      </c>
      <c r="Q38" s="257">
        <f>'Salary Record'!K528</f>
        <v>39699.540322580644</v>
      </c>
      <c r="R38" s="13"/>
    </row>
    <row r="39" spans="1:23" ht="15" customHeight="1" x14ac:dyDescent="0.3">
      <c r="A39" s="37">
        <v>2</v>
      </c>
      <c r="B39" s="208" t="s">
        <v>22</v>
      </c>
      <c r="C39" s="151" t="s">
        <v>50</v>
      </c>
      <c r="D39" s="148">
        <f>SUM(Q39:Q72)</f>
        <v>1046543.4112903228</v>
      </c>
      <c r="E39" s="33">
        <f>'Salary Record'!K232</f>
        <v>35000</v>
      </c>
      <c r="F39" s="33">
        <f>'Salary Record'!C238</f>
        <v>28</v>
      </c>
      <c r="G39" s="33">
        <f>'Salary Record'!C239</f>
        <v>3</v>
      </c>
      <c r="H39" s="33">
        <f>'Salary Record'!I237</f>
        <v>0</v>
      </c>
      <c r="I39" s="33">
        <f>'Salary Record'!I236</f>
        <v>31</v>
      </c>
      <c r="J39" s="33">
        <f>'Salary Record'!K237</f>
        <v>0</v>
      </c>
      <c r="K39" s="24">
        <f>'Salary Record'!K238</f>
        <v>35000</v>
      </c>
      <c r="L39" s="15" t="str">
        <f>'Salary Record'!G236</f>
        <v/>
      </c>
      <c r="M39" s="35">
        <f>'Salary Record'!G237</f>
        <v>0</v>
      </c>
      <c r="N39" s="36" t="str">
        <f>'Salary Record'!G238</f>
        <v/>
      </c>
      <c r="O39" s="35">
        <f>'Salary Record'!G239</f>
        <v>0</v>
      </c>
      <c r="P39" s="36" t="str">
        <f>'Salary Record'!G240</f>
        <v/>
      </c>
      <c r="Q39" s="257">
        <f>'Salary Record'!K240</f>
        <v>35000</v>
      </c>
      <c r="R39" s="13"/>
    </row>
    <row r="40" spans="1:23" ht="14.4" x14ac:dyDescent="0.3">
      <c r="A40" s="37">
        <v>3</v>
      </c>
      <c r="B40" s="208" t="str">
        <f>'Salary Record'!C265</f>
        <v>Amir (JPMC)</v>
      </c>
      <c r="C40" s="153"/>
      <c r="D40" s="149"/>
      <c r="E40" s="24">
        <f>'Salary Record'!K264</f>
        <v>27000</v>
      </c>
      <c r="F40" s="24">
        <f>'Salary Record'!C270</f>
        <v>31</v>
      </c>
      <c r="G40" s="39">
        <f>'Salary Record'!C271</f>
        <v>0</v>
      </c>
      <c r="H40" s="24">
        <f>'Salary Record'!I269</f>
        <v>0</v>
      </c>
      <c r="I40" s="24">
        <f>'Salary Record'!I268</f>
        <v>31</v>
      </c>
      <c r="J40" s="33">
        <f>'Salary Record'!K269</f>
        <v>0</v>
      </c>
      <c r="K40" s="33">
        <f>'Salary Record'!K270</f>
        <v>27000</v>
      </c>
      <c r="L40" s="15">
        <f>'Salary Record'!G268</f>
        <v>0</v>
      </c>
      <c r="M40" s="15">
        <f>'Salary Record'!G269</f>
        <v>10000</v>
      </c>
      <c r="N40" s="36">
        <f>'Salary Record'!G270</f>
        <v>10000</v>
      </c>
      <c r="O40" s="15">
        <f>'Salary Record'!G271</f>
        <v>5000</v>
      </c>
      <c r="P40" s="36">
        <f>'Salary Record'!G272</f>
        <v>5000</v>
      </c>
      <c r="Q40" s="257">
        <f>'Salary Record'!K272</f>
        <v>22000</v>
      </c>
    </row>
    <row r="41" spans="1:23" ht="14.4" x14ac:dyDescent="0.3">
      <c r="A41" s="37">
        <v>4</v>
      </c>
      <c r="B41" s="208" t="s">
        <v>34</v>
      </c>
      <c r="C41" s="153"/>
      <c r="D41" s="149"/>
      <c r="E41" s="24">
        <f>'Salary Record'!K280</f>
        <v>22000</v>
      </c>
      <c r="F41" s="24">
        <f>'Salary Record'!C286</f>
        <v>10</v>
      </c>
      <c r="G41" s="39">
        <f>'Salary Record'!C287</f>
        <v>0</v>
      </c>
      <c r="H41" s="24">
        <f>'Salary Record'!I285</f>
        <v>0</v>
      </c>
      <c r="I41" s="24">
        <f>'Salary Record'!I284</f>
        <v>10</v>
      </c>
      <c r="J41" s="33">
        <f>'Salary Record'!K285</f>
        <v>0</v>
      </c>
      <c r="K41" s="24">
        <f>'Salary Record'!K286</f>
        <v>7096.7741935483864</v>
      </c>
      <c r="L41" s="15" t="str">
        <f>'Salary Record'!G284</f>
        <v/>
      </c>
      <c r="M41" s="35">
        <f>'Salary Record'!G285</f>
        <v>0</v>
      </c>
      <c r="N41" s="36" t="str">
        <f>'Salary Record'!G286</f>
        <v/>
      </c>
      <c r="O41" s="35">
        <f>'Salary Record'!G287</f>
        <v>0</v>
      </c>
      <c r="P41" s="36" t="str">
        <f>'Salary Record'!G288</f>
        <v/>
      </c>
      <c r="Q41" s="257">
        <f>'Salary Record'!K288</f>
        <v>7096.7741935483864</v>
      </c>
      <c r="R41" s="13"/>
    </row>
    <row r="42" spans="1:23" ht="14.4" x14ac:dyDescent="0.3">
      <c r="A42" s="37">
        <v>5</v>
      </c>
      <c r="B42" s="208" t="s">
        <v>36</v>
      </c>
      <c r="C42" s="153"/>
      <c r="D42" s="149"/>
      <c r="E42" s="24">
        <f>'Salary Record'!K296</f>
        <v>42000</v>
      </c>
      <c r="F42" s="24">
        <f>'Salary Record'!C302</f>
        <v>31</v>
      </c>
      <c r="G42" s="39">
        <f>'Salary Record'!C303</f>
        <v>0</v>
      </c>
      <c r="H42" s="24">
        <f>'Salary Record'!I301</f>
        <v>15.06</v>
      </c>
      <c r="I42" s="24">
        <f>'Salary Record'!I300</f>
        <v>31</v>
      </c>
      <c r="J42" s="33">
        <f>'Salary Record'!K301</f>
        <v>2550.483870967742</v>
      </c>
      <c r="K42" s="33">
        <f>'Salary Record'!K302</f>
        <v>44550.483870967742</v>
      </c>
      <c r="L42" s="15">
        <f>'Salary Record'!G300</f>
        <v>11000</v>
      </c>
      <c r="M42" s="35">
        <f>'Salary Record'!G301</f>
        <v>0</v>
      </c>
      <c r="N42" s="36">
        <f>'Salary Record'!G302</f>
        <v>11000</v>
      </c>
      <c r="O42" s="35">
        <f>'Salary Record'!G303</f>
        <v>3000</v>
      </c>
      <c r="P42" s="36">
        <f>'Salary Record'!G304</f>
        <v>8000</v>
      </c>
      <c r="Q42" s="257">
        <f>'Salary Record'!K304</f>
        <v>41550.483870967742</v>
      </c>
      <c r="R42" s="13"/>
    </row>
    <row r="43" spans="1:23" ht="15" customHeight="1" x14ac:dyDescent="0.3">
      <c r="A43" s="37">
        <v>6</v>
      </c>
      <c r="B43" s="208" t="str">
        <f>'Salary Record'!C1258</f>
        <v>Nisar</v>
      </c>
      <c r="C43" s="167"/>
      <c r="D43" s="132"/>
      <c r="E43" s="47">
        <f>'Salary Record'!K1257</f>
        <v>30000</v>
      </c>
      <c r="F43" s="47">
        <f>'Salary Record'!C1263</f>
        <v>30</v>
      </c>
      <c r="G43" s="44">
        <f>'Salary Record'!C1264</f>
        <v>1</v>
      </c>
      <c r="H43" s="47">
        <f>'Salary Record'!I1262</f>
        <v>26.04</v>
      </c>
      <c r="I43" s="47">
        <f>'Salary Record'!I1261</f>
        <v>31</v>
      </c>
      <c r="J43" s="33">
        <f>'Salary Record'!K1262</f>
        <v>3150</v>
      </c>
      <c r="K43" s="24">
        <f>'Salary Record'!K1263</f>
        <v>33150</v>
      </c>
      <c r="L43" s="15">
        <f>'Salary Record'!G1261</f>
        <v>0</v>
      </c>
      <c r="M43" s="35">
        <f>'Salary Record'!G1262</f>
        <v>0</v>
      </c>
      <c r="N43" s="36">
        <f>'Salary Record'!G1263</f>
        <v>0</v>
      </c>
      <c r="O43" s="35">
        <f>'Salary Record'!G1264</f>
        <v>0</v>
      </c>
      <c r="P43" s="36">
        <f>'Salary Record'!G1265</f>
        <v>0</v>
      </c>
      <c r="Q43" s="257">
        <f>'Salary Record'!K1265</f>
        <v>33150</v>
      </c>
    </row>
    <row r="44" spans="1:23" ht="14.4" x14ac:dyDescent="0.3">
      <c r="A44" s="37">
        <v>7</v>
      </c>
      <c r="B44" s="208" t="str">
        <f>'Salary Record'!C601</f>
        <v>Shahbaz</v>
      </c>
      <c r="C44" s="201"/>
      <c r="D44" s="202"/>
      <c r="E44" s="24">
        <f>'Salary Record'!K600</f>
        <v>17000</v>
      </c>
      <c r="F44" s="24">
        <f>'Salary Record'!C606</f>
        <v>23</v>
      </c>
      <c r="G44" s="39">
        <f>'Salary Record'!C607</f>
        <v>8</v>
      </c>
      <c r="H44" s="24">
        <f>'Salary Record'!I605</f>
        <v>0</v>
      </c>
      <c r="I44" s="24">
        <f>'Salary Record'!I604</f>
        <v>23</v>
      </c>
      <c r="J44" s="33">
        <f>'Salary Record'!K605</f>
        <v>0</v>
      </c>
      <c r="K44" s="33">
        <f>'Salary Record'!K606</f>
        <v>12612.903225806451</v>
      </c>
      <c r="L44" s="15">
        <f>'Salary Record'!G604</f>
        <v>0</v>
      </c>
      <c r="M44" s="35">
        <f>'Salary Record'!G605</f>
        <v>5000</v>
      </c>
      <c r="N44" s="36">
        <f>'Salary Record'!G606</f>
        <v>5000</v>
      </c>
      <c r="O44" s="35">
        <f>'Salary Record'!G607</f>
        <v>5000</v>
      </c>
      <c r="P44" s="36">
        <f>'Salary Record'!G608</f>
        <v>0</v>
      </c>
      <c r="Q44" s="257">
        <f>'Salary Record'!K608</f>
        <v>7612.9032258064508</v>
      </c>
    </row>
    <row r="45" spans="1:23" ht="14.4" x14ac:dyDescent="0.3">
      <c r="A45" s="37">
        <v>8</v>
      </c>
      <c r="B45" s="208" t="s">
        <v>18</v>
      </c>
      <c r="C45" s="158"/>
      <c r="D45" s="136"/>
      <c r="E45" s="42">
        <f>'Salary Record'!K472</f>
        <v>16000</v>
      </c>
      <c r="F45" s="42">
        <f>'Salary Record'!C478</f>
        <v>18</v>
      </c>
      <c r="G45" s="33">
        <f>'Salary Record'!C479</f>
        <v>13</v>
      </c>
      <c r="H45" s="42">
        <f>'Salary Record'!I477</f>
        <v>0</v>
      </c>
      <c r="I45" s="42">
        <f>'Salary Record'!I476</f>
        <v>18</v>
      </c>
      <c r="J45" s="33">
        <f>'Salary Record'!K477</f>
        <v>0</v>
      </c>
      <c r="K45" s="24">
        <f>'Salary Record'!K478</f>
        <v>9290.322580645161</v>
      </c>
      <c r="L45" s="15">
        <f>'Salary Record'!G476</f>
        <v>0</v>
      </c>
      <c r="M45" s="35">
        <f>'Salary Record'!G477</f>
        <v>0</v>
      </c>
      <c r="N45" s="36" t="str">
        <f>'Salary Record'!G478</f>
        <v/>
      </c>
      <c r="O45" s="35">
        <f>'Salary Record'!G479</f>
        <v>0</v>
      </c>
      <c r="P45" s="36" t="str">
        <f>'Salary Record'!G480</f>
        <v/>
      </c>
      <c r="Q45" s="257">
        <f>'Salary Record'!K480</f>
        <v>9290.322580645161</v>
      </c>
    </row>
    <row r="46" spans="1:23" ht="14.4" x14ac:dyDescent="0.3">
      <c r="A46" s="37">
        <v>9</v>
      </c>
      <c r="B46" s="208" t="str">
        <f>'Salary Record'!C1193</f>
        <v>Aqeel Ahmed</v>
      </c>
      <c r="C46" s="160"/>
      <c r="D46" s="163"/>
      <c r="E46" s="15">
        <f>'Salary Record'!K1192</f>
        <v>13000</v>
      </c>
      <c r="F46" s="15">
        <f>'Salary Record'!C1198</f>
        <v>28</v>
      </c>
      <c r="G46" s="41">
        <f>'Salary Record'!C1199</f>
        <v>3</v>
      </c>
      <c r="H46" s="15">
        <f>'Salary Record'!I1197</f>
        <v>9.1199999999999992</v>
      </c>
      <c r="I46" s="15">
        <f>'Salary Record'!I1196</f>
        <v>28</v>
      </c>
      <c r="J46" s="116">
        <f>'Salary Record'!K1197</f>
        <v>478.06451612903226</v>
      </c>
      <c r="K46" s="116">
        <f>'Salary Record'!K1198</f>
        <v>12220</v>
      </c>
      <c r="L46" s="117">
        <f>'Salary Record'!G1196</f>
        <v>0</v>
      </c>
      <c r="M46" s="117">
        <f>'Salary Record'!G1197</f>
        <v>10500</v>
      </c>
      <c r="N46" s="118">
        <f>'Salary Record'!G1198</f>
        <v>10500</v>
      </c>
      <c r="O46" s="117">
        <f>'Salary Record'!G1199</f>
        <v>10500</v>
      </c>
      <c r="P46" s="118">
        <f>'Salary Record'!G1200</f>
        <v>0</v>
      </c>
      <c r="Q46" s="258">
        <f>'Salary Record'!K1200</f>
        <v>1720</v>
      </c>
      <c r="U46" s="2"/>
      <c r="V46" s="2"/>
      <c r="W46" s="2"/>
    </row>
    <row r="47" spans="1:23" ht="14.4" x14ac:dyDescent="0.3">
      <c r="A47" s="37">
        <v>10</v>
      </c>
      <c r="B47" s="208" t="str">
        <f>'Salary Record'!C377</f>
        <v>Raheel</v>
      </c>
      <c r="C47" s="153"/>
      <c r="D47" s="149"/>
      <c r="E47" s="39">
        <f>'Salary Record'!K376</f>
        <v>16000</v>
      </c>
      <c r="F47" s="39">
        <f>'Salary Record'!C382</f>
        <v>27</v>
      </c>
      <c r="G47" s="39">
        <f>'Salary Record'!C383</f>
        <v>4</v>
      </c>
      <c r="H47" s="39">
        <f>'Salary Record'!I381</f>
        <v>0</v>
      </c>
      <c r="I47" s="39">
        <f>'Salary Record'!I380</f>
        <v>27</v>
      </c>
      <c r="J47" s="116">
        <f>'Salary Record'!K381</f>
        <v>0</v>
      </c>
      <c r="K47" s="116">
        <f>'Salary Record'!K382</f>
        <v>13935.483870967742</v>
      </c>
      <c r="L47" s="117">
        <f>'Salary Record'!G380</f>
        <v>0</v>
      </c>
      <c r="M47" s="138">
        <f>'Salary Record'!G381</f>
        <v>10000</v>
      </c>
      <c r="N47" s="139">
        <f>'Salary Record'!G382</f>
        <v>10000</v>
      </c>
      <c r="O47" s="138">
        <f>'Salary Record'!G383</f>
        <v>10000</v>
      </c>
      <c r="P47" s="139">
        <f>'Salary Record'!G384</f>
        <v>0</v>
      </c>
      <c r="Q47" s="258">
        <f>'Salary Record'!K384</f>
        <v>3935.4838709677424</v>
      </c>
    </row>
    <row r="48" spans="1:23" ht="14.4" x14ac:dyDescent="0.3">
      <c r="A48" s="37">
        <v>11</v>
      </c>
      <c r="B48" s="208" t="str">
        <f>'Salary Record'!C1402</f>
        <v>Saqib</v>
      </c>
      <c r="C48" s="182"/>
      <c r="D48" s="179"/>
      <c r="E48" s="42">
        <f>'Salary Record'!K1401</f>
        <v>18000</v>
      </c>
      <c r="F48" s="42">
        <f>'Salary Record'!C1407</f>
        <v>23</v>
      </c>
      <c r="G48" s="33">
        <f>'Salary Record'!C1408</f>
        <v>8</v>
      </c>
      <c r="H48" s="42">
        <f>'Salary Record'!I1406</f>
        <v>0</v>
      </c>
      <c r="I48" s="42">
        <f>'Salary Record'!I1405</f>
        <v>23</v>
      </c>
      <c r="J48" s="33">
        <f>'Salary Record'!K1406</f>
        <v>0</v>
      </c>
      <c r="K48" s="33">
        <f>'Salary Record'!K1407</f>
        <v>13354.838709677419</v>
      </c>
      <c r="L48" s="15">
        <f>'Salary Record'!G1405</f>
        <v>0</v>
      </c>
      <c r="M48" s="35">
        <f>'Salary Record'!G1406</f>
        <v>0</v>
      </c>
      <c r="N48" s="36">
        <f>'Salary Record'!G1407</f>
        <v>0</v>
      </c>
      <c r="O48" s="35">
        <f>'Salary Record'!G1408</f>
        <v>0</v>
      </c>
      <c r="P48" s="36">
        <f>'Salary Record'!G1409</f>
        <v>0</v>
      </c>
      <c r="Q48" s="257">
        <f>'Salary Record'!K1409</f>
        <v>13354.838709677419</v>
      </c>
    </row>
    <row r="49" spans="1:23" ht="15" customHeight="1" x14ac:dyDescent="0.3">
      <c r="A49" s="37">
        <v>12</v>
      </c>
      <c r="B49" s="208" t="str">
        <f>'Salary Record'!C649</f>
        <v>Noman</v>
      </c>
      <c r="C49" s="171"/>
      <c r="D49" s="174"/>
      <c r="E49" s="35">
        <f>'Salary Record'!K648</f>
        <v>800</v>
      </c>
      <c r="F49" s="35">
        <f>'Salary Record'!C654</f>
        <v>29</v>
      </c>
      <c r="G49" s="44">
        <f>'Salary Record'!C655</f>
        <v>0</v>
      </c>
      <c r="H49" s="35">
        <f>'Salary Record'!I653</f>
        <v>4</v>
      </c>
      <c r="I49" s="35">
        <f>'Salary Record'!I652</f>
        <v>29</v>
      </c>
      <c r="J49" s="33">
        <f>'Salary Record'!K653</f>
        <v>400</v>
      </c>
      <c r="K49" s="33">
        <f>'Salary Record'!K654</f>
        <v>23600</v>
      </c>
      <c r="L49" s="15">
        <f>'Salary Record'!G652</f>
        <v>0</v>
      </c>
      <c r="M49" s="35">
        <f>'Salary Record'!G653</f>
        <v>0</v>
      </c>
      <c r="N49" s="36">
        <f>'Salary Record'!G654</f>
        <v>0</v>
      </c>
      <c r="O49" s="35">
        <f>'Salary Record'!G655</f>
        <v>0</v>
      </c>
      <c r="P49" s="36">
        <f>'Salary Record'!G656</f>
        <v>0</v>
      </c>
      <c r="Q49" s="257">
        <f>'Salary Record'!K656</f>
        <v>23600</v>
      </c>
    </row>
    <row r="50" spans="1:23" ht="14.4" x14ac:dyDescent="0.3">
      <c r="A50" s="37">
        <v>13</v>
      </c>
      <c r="B50" s="208" t="str">
        <f>'Salary Record'!C1210</f>
        <v>Adjer</v>
      </c>
      <c r="C50" s="160"/>
      <c r="D50" s="163"/>
      <c r="E50" s="24">
        <f>'Salary Record'!K1209</f>
        <v>24000</v>
      </c>
      <c r="F50" s="24">
        <f>'Salary Record'!C1215</f>
        <v>30</v>
      </c>
      <c r="G50" s="39">
        <f>'Salary Record'!C1216</f>
        <v>1</v>
      </c>
      <c r="H50" s="24">
        <f>'Salary Record'!I1214</f>
        <v>4.07</v>
      </c>
      <c r="I50" s="24">
        <f>'Salary Record'!I1213</f>
        <v>30</v>
      </c>
      <c r="J50" s="116">
        <f>'Salary Record'!K1214</f>
        <v>393.87096774193554</v>
      </c>
      <c r="K50" s="116">
        <f>'Salary Record'!K1215</f>
        <v>23619.677419354841</v>
      </c>
      <c r="L50" s="117">
        <f>'Salary Record'!G1213</f>
        <v>0</v>
      </c>
      <c r="M50" s="138">
        <f>'Salary Record'!G1214</f>
        <v>7000</v>
      </c>
      <c r="N50" s="139">
        <f>'Salary Record'!G1215</f>
        <v>7000</v>
      </c>
      <c r="O50" s="138">
        <f>'Salary Record'!G1216</f>
        <v>7000</v>
      </c>
      <c r="P50" s="139">
        <f>'Salary Record'!G1217</f>
        <v>0</v>
      </c>
      <c r="Q50" s="258">
        <f>'Salary Record'!K1217</f>
        <v>16619.677419354841</v>
      </c>
      <c r="T50">
        <v>100</v>
      </c>
      <c r="U50">
        <v>8</v>
      </c>
      <c r="V50">
        <f>U50*T50</f>
        <v>800</v>
      </c>
    </row>
    <row r="51" spans="1:23" ht="14.4" x14ac:dyDescent="0.3">
      <c r="A51" s="37">
        <v>14</v>
      </c>
      <c r="B51" s="208" t="str">
        <f>'Salary Record'!C153</f>
        <v>Mubarak</v>
      </c>
      <c r="C51" s="165"/>
      <c r="D51" s="161"/>
      <c r="E51" s="35">
        <f>'Salary Record'!K152</f>
        <v>1400</v>
      </c>
      <c r="F51" s="35">
        <f>'Salary Record'!C158</f>
        <v>25</v>
      </c>
      <c r="G51" s="44">
        <f>'Salary Record'!C159</f>
        <v>0</v>
      </c>
      <c r="H51" s="35">
        <f>'Salary Record'!I157</f>
        <v>35</v>
      </c>
      <c r="I51" s="35">
        <f>'Salary Record'!I156</f>
        <v>25</v>
      </c>
      <c r="J51" s="33">
        <f>'Salary Record'!K157</f>
        <v>6125</v>
      </c>
      <c r="K51" s="33">
        <f>'Salary Record'!K158</f>
        <v>41125</v>
      </c>
      <c r="L51" s="15">
        <f>'Salary Record'!G156</f>
        <v>0</v>
      </c>
      <c r="M51" s="35">
        <f>'Salary Record'!V155</f>
        <v>17000</v>
      </c>
      <c r="N51" s="36">
        <f>'Salary Record'!G158</f>
        <v>10000</v>
      </c>
      <c r="O51" s="35">
        <f>'Salary Record'!G159</f>
        <v>10000</v>
      </c>
      <c r="P51" s="36">
        <f>'Salary Record'!G160</f>
        <v>0</v>
      </c>
      <c r="Q51" s="257">
        <f>'Salary Record'!K160</f>
        <v>31125</v>
      </c>
    </row>
    <row r="52" spans="1:23" ht="14.4" x14ac:dyDescent="0.3">
      <c r="A52" s="37">
        <v>15</v>
      </c>
      <c r="B52" s="253" t="str">
        <f>'Salary Record'!C1386</f>
        <v>Sufyan</v>
      </c>
      <c r="C52" s="160"/>
      <c r="D52" s="163"/>
      <c r="E52" s="15">
        <f>'Salary Record'!K1385</f>
        <v>1000</v>
      </c>
      <c r="F52" s="15">
        <f>'Salary Record'!C1391</f>
        <v>22</v>
      </c>
      <c r="G52" s="41">
        <f>'Salary Record'!C1392</f>
        <v>0</v>
      </c>
      <c r="H52" s="15">
        <f>'Salary Record'!I1390</f>
        <v>35</v>
      </c>
      <c r="I52" s="15">
        <f>'Salary Record'!I1389</f>
        <v>22</v>
      </c>
      <c r="J52" s="33">
        <f>'Salary Record'!K1390</f>
        <v>4375</v>
      </c>
      <c r="K52" s="24">
        <f>'Salary Record'!K1391</f>
        <v>26375</v>
      </c>
      <c r="L52" s="15">
        <f>'Salary Record'!G1389</f>
        <v>9400</v>
      </c>
      <c r="M52" s="15">
        <f>'Salary Record'!G1390</f>
        <v>1000</v>
      </c>
      <c r="N52" s="36">
        <f>'Salary Record'!G1391</f>
        <v>10400</v>
      </c>
      <c r="O52" s="15">
        <f>'Salary Record'!G1392</f>
        <v>3400</v>
      </c>
      <c r="P52" s="36">
        <f>'Salary Record'!G1393</f>
        <v>7000</v>
      </c>
      <c r="Q52" s="257">
        <f>'Salary Record'!K1393</f>
        <v>22975</v>
      </c>
    </row>
    <row r="53" spans="1:23" ht="14.4" x14ac:dyDescent="0.3">
      <c r="A53" s="37">
        <v>16</v>
      </c>
      <c r="B53" s="208" t="str">
        <f>'Salary Record'!C425</f>
        <v>Gul Sher</v>
      </c>
      <c r="C53" s="153"/>
      <c r="D53" s="149"/>
      <c r="E53" s="15">
        <f>'Salary Record'!K424</f>
        <v>17000</v>
      </c>
      <c r="F53" s="15">
        <f>'Salary Record'!C430</f>
        <v>28</v>
      </c>
      <c r="G53" s="41">
        <f>'Salary Record'!C431</f>
        <v>3</v>
      </c>
      <c r="H53" s="15">
        <f>'Salary Record'!I429</f>
        <v>49.09</v>
      </c>
      <c r="I53" s="15">
        <f>'Salary Record'!I428</f>
        <v>28</v>
      </c>
      <c r="J53" s="116">
        <f>'Salary Record'!K429</f>
        <v>3365.0403225806454</v>
      </c>
      <c r="K53" s="116">
        <f>'Salary Record'!K430</f>
        <v>18719.879032258064</v>
      </c>
      <c r="L53" s="117">
        <f>'Salary Record'!G428</f>
        <v>6500</v>
      </c>
      <c r="M53" s="117">
        <f>'Salary Record'!G429</f>
        <v>4500</v>
      </c>
      <c r="N53" s="118">
        <f>'Salary Record'!G430</f>
        <v>11000</v>
      </c>
      <c r="O53" s="117">
        <f>'Salary Record'!G431</f>
        <v>5500</v>
      </c>
      <c r="P53" s="118">
        <f>'Salary Record'!G432</f>
        <v>5500</v>
      </c>
      <c r="Q53" s="258">
        <f>'Salary Record'!K432</f>
        <v>13219.879032258064</v>
      </c>
      <c r="R53" s="13">
        <f>Q53+Q50</f>
        <v>29839.556451612905</v>
      </c>
      <c r="U53" s="2"/>
      <c r="V53" s="2"/>
      <c r="W53" s="2"/>
    </row>
    <row r="54" spans="1:23" ht="14.4" x14ac:dyDescent="0.3">
      <c r="A54" s="266" t="s">
        <v>2</v>
      </c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8"/>
      <c r="Q54" s="157">
        <f>SUM(Q38:Q53)</f>
        <v>321949.90322580643</v>
      </c>
      <c r="R54" s="13"/>
    </row>
    <row r="55" spans="1:23" ht="15.6" x14ac:dyDescent="0.3">
      <c r="A55" s="269" t="s">
        <v>46</v>
      </c>
      <c r="B55" s="270"/>
      <c r="C55" s="270"/>
      <c r="D55" s="270"/>
      <c r="E55" s="270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1"/>
      <c r="T55" s="13"/>
    </row>
    <row r="56" spans="1:23" ht="14.4" x14ac:dyDescent="0.3">
      <c r="A56" s="31">
        <v>1</v>
      </c>
      <c r="B56" s="208" t="s">
        <v>45</v>
      </c>
      <c r="C56" s="160"/>
      <c r="D56" s="161"/>
      <c r="E56" s="39">
        <f>'Salary Record'!K856</f>
        <v>28000</v>
      </c>
      <c r="F56" s="39">
        <f>'Salary Record'!C862</f>
        <v>30</v>
      </c>
      <c r="G56" s="39">
        <f>'Salary Record'!C863</f>
        <v>1</v>
      </c>
      <c r="H56" s="39">
        <f>'Salary Record'!I861</f>
        <v>29</v>
      </c>
      <c r="I56" s="39">
        <f>'Salary Record'!I860</f>
        <v>31</v>
      </c>
      <c r="J56" s="33">
        <f>'Salary Record'!K861</f>
        <v>3274.1935483870971</v>
      </c>
      <c r="K56" s="33">
        <f>'Salary Record'!K862</f>
        <v>31274.193548387098</v>
      </c>
      <c r="L56" s="15">
        <f>'Salary Record'!G860</f>
        <v>11000</v>
      </c>
      <c r="M56" s="35">
        <f>'Salary Record'!G861</f>
        <v>50000</v>
      </c>
      <c r="N56" s="36">
        <f>'Salary Record'!G862</f>
        <v>61000</v>
      </c>
      <c r="O56" s="35">
        <f>'Salary Record'!G863</f>
        <v>3000</v>
      </c>
      <c r="P56" s="36">
        <f>'Salary Record'!G864</f>
        <v>58000</v>
      </c>
      <c r="Q56" s="257">
        <f>'Salary Record'!K864</f>
        <v>28274.193548387098</v>
      </c>
    </row>
    <row r="57" spans="1:23" ht="14.4" x14ac:dyDescent="0.3">
      <c r="A57" s="31">
        <v>2</v>
      </c>
      <c r="B57" s="208" t="s">
        <v>25</v>
      </c>
      <c r="C57" s="188" t="s">
        <v>48</v>
      </c>
      <c r="D57" s="190">
        <f>SUM(Q57:Q86)</f>
        <v>672859.51612903224</v>
      </c>
      <c r="E57" s="35">
        <f>'Salary Record'!K904</f>
        <v>18000</v>
      </c>
      <c r="F57" s="35">
        <f>'Salary Record'!C910</f>
        <v>30</v>
      </c>
      <c r="G57" s="44">
        <f>'Salary Record'!C911</f>
        <v>1</v>
      </c>
      <c r="H57" s="35">
        <f>'Salary Record'!I909</f>
        <v>28</v>
      </c>
      <c r="I57" s="35">
        <f>'Salary Record'!I908</f>
        <v>31</v>
      </c>
      <c r="J57" s="33">
        <f>'Salary Record'!K909</f>
        <v>2032.258064516129</v>
      </c>
      <c r="K57" s="33">
        <f>'Salary Record'!K910</f>
        <v>20032.258064516129</v>
      </c>
      <c r="L57" s="15">
        <f>'Salary Record'!G908</f>
        <v>0</v>
      </c>
      <c r="M57" s="35">
        <f>'Salary Record'!G909</f>
        <v>0</v>
      </c>
      <c r="N57" s="36">
        <f>'Salary Record'!G910</f>
        <v>0</v>
      </c>
      <c r="O57" s="35">
        <f>'Salary Record'!G911</f>
        <v>0</v>
      </c>
      <c r="P57" s="36">
        <f>'Salary Record'!G912</f>
        <v>0</v>
      </c>
      <c r="Q57" s="257">
        <f>'Salary Record'!K912</f>
        <v>20032.258064516129</v>
      </c>
    </row>
    <row r="58" spans="1:23" ht="14.4" x14ac:dyDescent="0.3">
      <c r="A58" s="31">
        <v>3</v>
      </c>
      <c r="B58" s="208" t="s">
        <v>23</v>
      </c>
      <c r="C58" s="141" t="s">
        <v>125</v>
      </c>
      <c r="D58" s="136">
        <f>Q58</f>
        <v>17519.596774193549</v>
      </c>
      <c r="E58" s="24">
        <f>'Salary Record'!K808</f>
        <v>17000</v>
      </c>
      <c r="F58" s="24">
        <f>'Salary Record'!C814</f>
        <v>31</v>
      </c>
      <c r="G58" s="39">
        <f>'Salary Record'!C815</f>
        <v>0</v>
      </c>
      <c r="H58" s="24">
        <f>'Salary Record'!I813</f>
        <v>7.58</v>
      </c>
      <c r="I58" s="24">
        <f>'Salary Record'!I812</f>
        <v>31</v>
      </c>
      <c r="J58" s="33">
        <f>'Salary Record'!K813</f>
        <v>519.59677419354841</v>
      </c>
      <c r="K58" s="24">
        <f>'Salary Record'!K814</f>
        <v>17519.596774193549</v>
      </c>
      <c r="L58" s="15">
        <f>'Salary Record'!G812</f>
        <v>0</v>
      </c>
      <c r="M58" s="35">
        <f>'Salary Record'!G813</f>
        <v>0</v>
      </c>
      <c r="N58" s="36" t="str">
        <f>'Salary Record'!G814</f>
        <v/>
      </c>
      <c r="O58" s="35">
        <f>'Salary Record'!G815</f>
        <v>0</v>
      </c>
      <c r="P58" s="36" t="str">
        <f>'Salary Record'!G816</f>
        <v/>
      </c>
      <c r="Q58" s="257">
        <f>'Salary Record'!K816</f>
        <v>17519.596774193549</v>
      </c>
    </row>
    <row r="59" spans="1:23" ht="14.4" x14ac:dyDescent="0.3">
      <c r="A59" s="31">
        <v>4</v>
      </c>
      <c r="B59" s="208" t="str">
        <f>'Salary Record'!C1033</f>
        <v>Asif (EFU)</v>
      </c>
      <c r="C59" s="160"/>
      <c r="D59" s="163"/>
      <c r="E59" s="33">
        <f>'Salary Record'!K1032</f>
        <v>15000</v>
      </c>
      <c r="F59" s="33">
        <f>'Salary Record'!C1038</f>
        <v>30</v>
      </c>
      <c r="G59" s="39">
        <f>'Salary Record'!C1039</f>
        <v>1</v>
      </c>
      <c r="H59" s="33">
        <f>'Salary Record'!I1037</f>
        <v>2</v>
      </c>
      <c r="I59" s="33">
        <f>'Salary Record'!I1036</f>
        <v>31</v>
      </c>
      <c r="J59" s="33">
        <f>'Salary Record'!K1037</f>
        <v>120.96774193548387</v>
      </c>
      <c r="K59" s="24">
        <f>'Salary Record'!K1038</f>
        <v>15120.967741935483</v>
      </c>
      <c r="L59" s="15">
        <f>'Salary Record'!G1036</f>
        <v>2500</v>
      </c>
      <c r="M59" s="35">
        <f>'Salary Record'!G1037</f>
        <v>2000</v>
      </c>
      <c r="N59" s="36">
        <f>'Salary Record'!G1038</f>
        <v>4500</v>
      </c>
      <c r="O59" s="35">
        <f>'Salary Record'!G1039</f>
        <v>0</v>
      </c>
      <c r="P59" s="36">
        <f>'Salary Record'!G1040</f>
        <v>4500</v>
      </c>
      <c r="Q59" s="260">
        <f>'Salary Record'!K1040</f>
        <v>15120.967741935483</v>
      </c>
    </row>
    <row r="60" spans="1:23" ht="14.4" x14ac:dyDescent="0.3">
      <c r="A60" s="31">
        <v>5</v>
      </c>
      <c r="B60" s="208" t="str">
        <f>'Salary Record'!C313</f>
        <v>Rizwan EFU</v>
      </c>
      <c r="C60" s="153"/>
      <c r="D60" s="149"/>
      <c r="E60" s="24">
        <f>'Salary Record'!K312</f>
        <v>10000</v>
      </c>
      <c r="F60" s="24">
        <f>'Salary Record'!C318</f>
        <v>25</v>
      </c>
      <c r="G60" s="39">
        <f>'Salary Record'!C319</f>
        <v>6</v>
      </c>
      <c r="H60" s="114">
        <f>'Salary Record'!I317</f>
        <v>15.75</v>
      </c>
      <c r="I60" s="24">
        <f>'Salary Record'!I316</f>
        <v>25</v>
      </c>
      <c r="J60" s="33">
        <f>'Salary Record'!K317</f>
        <v>635.08064516129025</v>
      </c>
      <c r="K60" s="33">
        <f>'Salary Record'!K318</f>
        <v>8699.5967741935474</v>
      </c>
      <c r="L60" s="15">
        <f>'Salary Record'!G316</f>
        <v>0</v>
      </c>
      <c r="M60" s="35">
        <f>'Salary Record'!G317</f>
        <v>0</v>
      </c>
      <c r="N60" s="36">
        <f>'Salary Record'!G318</f>
        <v>0</v>
      </c>
      <c r="O60" s="35">
        <f>'Salary Record'!G319</f>
        <v>0</v>
      </c>
      <c r="P60" s="36">
        <f>'Salary Record'!G320</f>
        <v>0</v>
      </c>
      <c r="Q60" s="257">
        <f>'Salary Record'!K320</f>
        <v>8699.5967741935474</v>
      </c>
    </row>
    <row r="61" spans="1:23" ht="14.4" x14ac:dyDescent="0.3">
      <c r="A61" s="31">
        <v>6</v>
      </c>
      <c r="B61" s="208" t="str">
        <f>'Salary Record'!C1177</f>
        <v>Noman Hussain</v>
      </c>
      <c r="C61" s="29" t="s">
        <v>129</v>
      </c>
      <c r="D61" s="132">
        <f>Q61</f>
        <v>12699.637096774195</v>
      </c>
      <c r="E61" s="11">
        <f>'Salary Record'!K1176</f>
        <v>13000</v>
      </c>
      <c r="F61" s="11">
        <f>'Salary Record'!C1182</f>
        <v>30</v>
      </c>
      <c r="G61" s="12">
        <f>'Salary Record'!C1183</f>
        <v>1</v>
      </c>
      <c r="H61" s="11">
        <f>'Salary Record'!I1181</f>
        <v>2.27</v>
      </c>
      <c r="I61" s="11">
        <f>'Salary Record'!I1180</f>
        <v>30</v>
      </c>
      <c r="J61" s="133">
        <f>'Salary Record'!K1181</f>
        <v>118.99193548387098</v>
      </c>
      <c r="K61" s="133">
        <f>'Salary Record'!K1182</f>
        <v>12699.637096774195</v>
      </c>
      <c r="L61" s="134">
        <f>'Salary Record'!G1180</f>
        <v>0</v>
      </c>
      <c r="M61" s="22">
        <f>'Salary Record'!G1181</f>
        <v>0</v>
      </c>
      <c r="N61" s="23">
        <f>'Salary Record'!G1182</f>
        <v>0</v>
      </c>
      <c r="O61" s="22">
        <f>'Salary Record'!G1183</f>
        <v>0</v>
      </c>
      <c r="P61" s="23">
        <f>'Salary Record'!G1184</f>
        <v>0</v>
      </c>
      <c r="Q61" s="261">
        <f>'Salary Record'!K1184</f>
        <v>12699.637096774195</v>
      </c>
    </row>
    <row r="62" spans="1:23" ht="15.6" x14ac:dyDescent="0.3">
      <c r="A62" s="31">
        <v>7</v>
      </c>
      <c r="B62" s="254" t="str">
        <f>'Salary Record'!C441</f>
        <v>Muneeb Abbas</v>
      </c>
      <c r="C62" s="153"/>
      <c r="D62" s="149"/>
      <c r="E62" s="145">
        <f>'Salary Record'!K440</f>
        <v>12000</v>
      </c>
      <c r="F62" s="11">
        <f>'Salary Record'!C446</f>
        <v>29</v>
      </c>
      <c r="G62" s="12">
        <f>'Salary Record'!C447</f>
        <v>2</v>
      </c>
      <c r="H62" s="11">
        <f>'Salary Record'!I445</f>
        <v>0</v>
      </c>
      <c r="I62" s="11">
        <f>'Salary Record'!I444</f>
        <v>29</v>
      </c>
      <c r="J62" s="21">
        <f>'Salary Record'!K445</f>
        <v>0</v>
      </c>
      <c r="K62" s="21">
        <f>'Salary Record'!K446</f>
        <v>11225.806451612903</v>
      </c>
      <c r="L62" s="22">
        <f>'Salary Record'!G444</f>
        <v>0</v>
      </c>
      <c r="M62" s="22">
        <f>'Salary Record'!G445</f>
        <v>0</v>
      </c>
      <c r="N62" s="23">
        <f>'Salary Record'!G446</f>
        <v>0</v>
      </c>
      <c r="O62" s="22">
        <f>'Salary Record'!G447</f>
        <v>0</v>
      </c>
      <c r="P62" s="23">
        <f>'Salary Record'!G448</f>
        <v>0</v>
      </c>
      <c r="Q62" s="261">
        <f>'Salary Record'!K448</f>
        <v>11225.806451612903</v>
      </c>
    </row>
    <row r="63" spans="1:23" ht="14.4" x14ac:dyDescent="0.3">
      <c r="A63" s="266" t="s">
        <v>2</v>
      </c>
      <c r="B63" s="267"/>
      <c r="C63" s="267"/>
      <c r="D63" s="267"/>
      <c r="E63" s="267"/>
      <c r="F63" s="267"/>
      <c r="G63" s="267"/>
      <c r="H63" s="267"/>
      <c r="I63" s="267"/>
      <c r="J63" s="267"/>
      <c r="K63" s="267"/>
      <c r="L63" s="267"/>
      <c r="M63" s="267"/>
      <c r="N63" s="267"/>
      <c r="O63" s="267"/>
      <c r="P63" s="268"/>
      <c r="Q63" s="157">
        <f>SUM(Q56:Q62)</f>
        <v>113572.05645161291</v>
      </c>
    </row>
    <row r="64" spans="1:23" ht="15.6" x14ac:dyDescent="0.3">
      <c r="A64" s="269" t="s">
        <v>132</v>
      </c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1"/>
    </row>
    <row r="65" spans="1:23" ht="15" customHeight="1" x14ac:dyDescent="0.3">
      <c r="A65" s="31">
        <v>1</v>
      </c>
      <c r="B65" s="208" t="s">
        <v>12</v>
      </c>
      <c r="C65" s="169" t="s">
        <v>56</v>
      </c>
      <c r="D65" s="172">
        <f>SUM(Q65:Q94)</f>
        <v>889880.59475806449</v>
      </c>
      <c r="E65" s="35">
        <f>'Salary Record'!K840</f>
        <v>22000</v>
      </c>
      <c r="F65" s="35">
        <f>'Salary Record'!C846</f>
        <v>31</v>
      </c>
      <c r="G65" s="44">
        <f>'Salary Record'!C847</f>
        <v>0</v>
      </c>
      <c r="H65" s="35">
        <f>'Salary Record'!I845</f>
        <v>2.25</v>
      </c>
      <c r="I65" s="35">
        <f>'Salary Record'!I844</f>
        <v>31</v>
      </c>
      <c r="J65" s="33">
        <f>'Salary Record'!K845</f>
        <v>199.59677419354838</v>
      </c>
      <c r="K65" s="33">
        <f>'Salary Record'!K846</f>
        <v>22199.596774193549</v>
      </c>
      <c r="L65" s="15">
        <f>'Salary Record'!G844</f>
        <v>45000</v>
      </c>
      <c r="M65" s="35">
        <f>'Salary Record'!G845</f>
        <v>0</v>
      </c>
      <c r="N65" s="35">
        <f>'Salary Record'!G846</f>
        <v>45000</v>
      </c>
      <c r="O65" s="35">
        <f>'Salary Record'!G847</f>
        <v>0</v>
      </c>
      <c r="P65" s="36">
        <f>'Salary Record'!G848</f>
        <v>45000</v>
      </c>
      <c r="Q65" s="257">
        <f>'Salary Record'!K848</f>
        <v>22199.596774193549</v>
      </c>
      <c r="R65" s="13"/>
    </row>
    <row r="66" spans="1:23" ht="15" customHeight="1" x14ac:dyDescent="0.3">
      <c r="A66" s="37">
        <v>2</v>
      </c>
      <c r="B66" s="208" t="s">
        <v>11</v>
      </c>
      <c r="C66" s="170"/>
      <c r="D66" s="173"/>
      <c r="E66" s="35">
        <f>'Salary Record'!K680</f>
        <v>15000</v>
      </c>
      <c r="F66" s="35">
        <f>'Salary Record'!C686</f>
        <v>27</v>
      </c>
      <c r="G66" s="44">
        <f>'Salary Record'!C687</f>
        <v>4</v>
      </c>
      <c r="H66" s="35">
        <f>'Salary Record'!I685</f>
        <v>0</v>
      </c>
      <c r="I66" s="35">
        <f>'Salary Record'!I684</f>
        <v>31</v>
      </c>
      <c r="J66" s="33">
        <f>'Salary Record'!K685</f>
        <v>0</v>
      </c>
      <c r="K66" s="33">
        <f>'Salary Record'!K686</f>
        <v>15000</v>
      </c>
      <c r="L66" s="15">
        <f>'Salary Record'!G684</f>
        <v>5000</v>
      </c>
      <c r="M66" s="35">
        <f>'Salary Record'!G685</f>
        <v>10000</v>
      </c>
      <c r="N66" s="36">
        <f>'Salary Record'!G686</f>
        <v>15000</v>
      </c>
      <c r="O66" s="35">
        <f>'Salary Record'!G687</f>
        <v>0</v>
      </c>
      <c r="P66" s="36">
        <f>'Salary Record'!G688</f>
        <v>15000</v>
      </c>
      <c r="Q66" s="257">
        <f>'Salary Record'!K688</f>
        <v>15000</v>
      </c>
      <c r="R66" s="13"/>
    </row>
    <row r="67" spans="1:23" ht="14.4" x14ac:dyDescent="0.3">
      <c r="A67" s="31">
        <v>3</v>
      </c>
      <c r="B67" s="208" t="s">
        <v>14</v>
      </c>
      <c r="C67" s="170"/>
      <c r="D67" s="173"/>
      <c r="E67" s="46">
        <f>'Salary Record'!K632</f>
        <v>20000</v>
      </c>
      <c r="F67" s="46">
        <f>'Salary Record'!C638</f>
        <v>26</v>
      </c>
      <c r="G67" s="39">
        <f>'Salary Record'!C639</f>
        <v>5</v>
      </c>
      <c r="H67" s="46">
        <f>'Salary Record'!I637</f>
        <v>0</v>
      </c>
      <c r="I67" s="46">
        <f>'Salary Record'!I636</f>
        <v>31</v>
      </c>
      <c r="J67" s="33">
        <f>'Salary Record'!K637</f>
        <v>0</v>
      </c>
      <c r="K67" s="33">
        <f>'Salary Record'!K638</f>
        <v>20000</v>
      </c>
      <c r="L67" s="15">
        <f>'Salary Record'!G636</f>
        <v>40000</v>
      </c>
      <c r="M67" s="35">
        <f>'Salary Record'!G637</f>
        <v>0</v>
      </c>
      <c r="N67" s="36">
        <f>'Salary Record'!G638</f>
        <v>40000</v>
      </c>
      <c r="O67" s="35">
        <f>'Salary Record'!G639</f>
        <v>0</v>
      </c>
      <c r="P67" s="36">
        <f>'Salary Record'!G640</f>
        <v>40000</v>
      </c>
      <c r="Q67" s="257">
        <f>'Salary Record'!K640</f>
        <v>20000</v>
      </c>
    </row>
    <row r="68" spans="1:23" ht="14.4" x14ac:dyDescent="0.3">
      <c r="A68" s="31">
        <v>4</v>
      </c>
      <c r="B68" s="208" t="str">
        <f>'Salary Record'!C937</f>
        <v>Rohit</v>
      </c>
      <c r="C68" s="160"/>
      <c r="D68" s="163"/>
      <c r="E68" s="15">
        <f>'Salary Record'!K936</f>
        <v>13000</v>
      </c>
      <c r="F68" s="15">
        <f>'Salary Record'!C942</f>
        <v>31</v>
      </c>
      <c r="G68" s="41">
        <f>'Salary Record'!C943</f>
        <v>0</v>
      </c>
      <c r="H68" s="15">
        <f>'Salary Record'!I941</f>
        <v>14.3</v>
      </c>
      <c r="I68" s="15">
        <f>'Salary Record'!I940</f>
        <v>31</v>
      </c>
      <c r="J68" s="33">
        <f>'Salary Record'!K941</f>
        <v>749.59677419354841</v>
      </c>
      <c r="K68" s="24">
        <f>'Salary Record'!K942</f>
        <v>13749.596774193549</v>
      </c>
      <c r="L68" s="15">
        <f>'Salary Record'!G940</f>
        <v>0</v>
      </c>
      <c r="M68" s="15">
        <f>'Salary Record'!G941</f>
        <v>0</v>
      </c>
      <c r="N68" s="15">
        <f>'Salary Record'!G942</f>
        <v>0</v>
      </c>
      <c r="O68" s="15">
        <f>'Salary Record'!G943</f>
        <v>0</v>
      </c>
      <c r="P68" s="15">
        <f>'Salary Record'!G944</f>
        <v>0</v>
      </c>
      <c r="Q68" s="257">
        <f>'Salary Record'!K944</f>
        <v>13749.596774193549</v>
      </c>
      <c r="R68" s="28"/>
    </row>
    <row r="69" spans="1:23" ht="14.4" x14ac:dyDescent="0.3">
      <c r="A69" s="37">
        <v>5</v>
      </c>
      <c r="B69" s="208" t="str">
        <f>'Salary Record'!C1226</f>
        <v>Adil (FTC)</v>
      </c>
      <c r="C69" s="167"/>
      <c r="D69" s="132"/>
      <c r="E69" s="24">
        <f>'Salary Record'!K1225</f>
        <v>16000</v>
      </c>
      <c r="F69" s="24">
        <f>'Salary Record'!C1231</f>
        <v>28</v>
      </c>
      <c r="G69" s="39">
        <f>'Salary Record'!C1232</f>
        <v>3</v>
      </c>
      <c r="H69" s="24">
        <f>'Salary Record'!I1230</f>
        <v>2.2999999999999998</v>
      </c>
      <c r="I69" s="24">
        <f>'Salary Record'!I1229</f>
        <v>28</v>
      </c>
      <c r="J69" s="33">
        <f>'Salary Record'!K1230</f>
        <v>148.38709677419354</v>
      </c>
      <c r="K69" s="33">
        <f>'Salary Record'!K1231</f>
        <v>14600</v>
      </c>
      <c r="L69" s="15">
        <f>'Salary Record'!G1229</f>
        <v>8000</v>
      </c>
      <c r="M69" s="35">
        <f>'Salary Record'!G1230</f>
        <v>0</v>
      </c>
      <c r="N69" s="36">
        <f>'Salary Record'!G1231</f>
        <v>8000</v>
      </c>
      <c r="O69" s="35">
        <f>'Salary Record'!G1232</f>
        <v>0</v>
      </c>
      <c r="P69" s="36">
        <f>'Salary Record'!G1233</f>
        <v>8000</v>
      </c>
      <c r="Q69" s="257">
        <f>'Salary Record'!K1233</f>
        <v>14600</v>
      </c>
    </row>
    <row r="70" spans="1:23" ht="14.4" x14ac:dyDescent="0.3">
      <c r="A70" s="31">
        <v>6</v>
      </c>
      <c r="B70" s="208" t="str">
        <f>'Salary Record'!C665</f>
        <v>Adeel</v>
      </c>
      <c r="C70" s="167"/>
      <c r="D70" s="132"/>
      <c r="E70" s="24">
        <f>'Salary Record'!K664</f>
        <v>16000</v>
      </c>
      <c r="F70" s="24">
        <f>'Salary Record'!C670</f>
        <v>30</v>
      </c>
      <c r="G70" s="39">
        <f>'Salary Record'!C671</f>
        <v>1</v>
      </c>
      <c r="H70" s="24">
        <f>'Salary Record'!I669</f>
        <v>93.78</v>
      </c>
      <c r="I70" s="24">
        <f>'Salary Record'!I668</f>
        <v>31</v>
      </c>
      <c r="J70" s="33">
        <f>'Salary Record'!K669</f>
        <v>6050.322580645161</v>
      </c>
      <c r="K70" s="33">
        <f>'Salary Record'!K670</f>
        <v>22050.322580645159</v>
      </c>
      <c r="L70" s="15">
        <f>'Salary Record'!G668</f>
        <v>14000</v>
      </c>
      <c r="M70" s="35">
        <f>'Salary Record'!G669</f>
        <v>0</v>
      </c>
      <c r="N70" s="36">
        <f>'Salary Record'!G670</f>
        <v>14000</v>
      </c>
      <c r="O70" s="35">
        <f>'Salary Record'!G671</f>
        <v>0</v>
      </c>
      <c r="P70" s="36">
        <f>'Salary Record'!G672</f>
        <v>14000</v>
      </c>
      <c r="Q70" s="257">
        <f>'Salary Record'!K672</f>
        <v>22050.322580645159</v>
      </c>
    </row>
    <row r="71" spans="1:23" ht="14.4" x14ac:dyDescent="0.3">
      <c r="A71" s="266" t="s">
        <v>2</v>
      </c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8"/>
      <c r="Q71" s="157">
        <f>SUM(Q65:Q70)</f>
        <v>107599.51612903224</v>
      </c>
      <c r="R71" s="13"/>
    </row>
    <row r="72" spans="1:23" ht="15.6" x14ac:dyDescent="0.3">
      <c r="A72" s="269" t="s">
        <v>133</v>
      </c>
      <c r="B72" s="270"/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1"/>
    </row>
    <row r="73" spans="1:23" ht="14.4" x14ac:dyDescent="0.3">
      <c r="A73" s="31">
        <v>1</v>
      </c>
      <c r="B73" s="255" t="s">
        <v>19</v>
      </c>
      <c r="C73" s="238"/>
      <c r="D73" s="239"/>
      <c r="E73" s="240">
        <f>'Salary Record'!K584</f>
        <v>34000</v>
      </c>
      <c r="F73" s="240">
        <f>'Salary Record'!C590</f>
        <v>30</v>
      </c>
      <c r="G73" s="241">
        <f>'Salary Record'!C591</f>
        <v>1</v>
      </c>
      <c r="H73" s="240">
        <f>'Salary Record'!I589</f>
        <v>62.73</v>
      </c>
      <c r="I73" s="240">
        <f>'Salary Record'!I588</f>
        <v>31</v>
      </c>
      <c r="J73" s="242">
        <f>'Salary Record'!K589</f>
        <v>8600.0806451612898</v>
      </c>
      <c r="K73" s="242">
        <f>'Salary Record'!K590</f>
        <v>42600.080645161288</v>
      </c>
      <c r="L73" s="243">
        <f>'Salary Record'!G588</f>
        <v>0</v>
      </c>
      <c r="M73" s="244">
        <f>'Salary Record'!G589</f>
        <v>10000</v>
      </c>
      <c r="N73" s="245">
        <f>'Salary Record'!G590</f>
        <v>10000</v>
      </c>
      <c r="O73" s="244">
        <f>'Salary Record'!G591</f>
        <v>0</v>
      </c>
      <c r="P73" s="245">
        <f>'Salary Record'!G592</f>
        <v>10000</v>
      </c>
      <c r="Q73" s="259">
        <f>'Salary Record'!K592</f>
        <v>42600.080645161288</v>
      </c>
    </row>
    <row r="74" spans="1:23" ht="14.4" x14ac:dyDescent="0.3">
      <c r="A74" s="31">
        <v>2</v>
      </c>
      <c r="B74" s="208" t="str">
        <f>'Salary Record'!C1418</f>
        <v>Mr. Chuttal</v>
      </c>
      <c r="C74" s="154"/>
      <c r="D74" s="147"/>
      <c r="E74" s="24">
        <f>'Salary Record'!K1417</f>
        <v>0</v>
      </c>
      <c r="F74" s="24">
        <f>'Salary Record'!C1423</f>
        <v>24</v>
      </c>
      <c r="G74" s="39">
        <f>'Salary Record'!C1424</f>
        <v>7</v>
      </c>
      <c r="H74" s="24">
        <f>'Salary Record'!I1422</f>
        <v>0</v>
      </c>
      <c r="I74" s="24">
        <f>'Salary Record'!I1421</f>
        <v>24</v>
      </c>
      <c r="J74" s="33">
        <f>'Salary Record'!K1422</f>
        <v>0</v>
      </c>
      <c r="K74" s="24">
        <f>'Salary Record'!K1423</f>
        <v>0</v>
      </c>
      <c r="L74" s="15">
        <f>'Salary Record'!G1421</f>
        <v>0</v>
      </c>
      <c r="M74" s="35">
        <f>'Salary Record'!G1422</f>
        <v>0</v>
      </c>
      <c r="N74" s="36">
        <f>'Salary Record'!G1423</f>
        <v>0</v>
      </c>
      <c r="O74" s="35">
        <f>'Salary Record'!G1424</f>
        <v>0</v>
      </c>
      <c r="P74" s="36">
        <f>'Salary Record'!G1425</f>
        <v>0</v>
      </c>
      <c r="Q74" s="257">
        <f>'Salary Record'!K1425</f>
        <v>15000</v>
      </c>
    </row>
    <row r="75" spans="1:23" ht="15" customHeight="1" x14ac:dyDescent="0.3">
      <c r="A75" s="37">
        <v>3</v>
      </c>
      <c r="B75" s="255" t="s">
        <v>16</v>
      </c>
      <c r="C75" s="246" t="s">
        <v>47</v>
      </c>
      <c r="D75" s="247">
        <f>SUM(Q21:Q105)</f>
        <v>2545755.2701612888</v>
      </c>
      <c r="E75" s="248">
        <f>'Salary Record'!K456</f>
        <v>26000</v>
      </c>
      <c r="F75" s="248">
        <f>'Salary Record'!C462</f>
        <v>30</v>
      </c>
      <c r="G75" s="249">
        <f>'Salary Record'!C463</f>
        <v>1</v>
      </c>
      <c r="H75" s="248">
        <f>'Salary Record'!I461</f>
        <v>54.85</v>
      </c>
      <c r="I75" s="248">
        <f>'Salary Record'!I460</f>
        <v>31</v>
      </c>
      <c r="J75" s="242">
        <f>'Salary Record'!K461</f>
        <v>5750.4032258064517</v>
      </c>
      <c r="K75" s="248">
        <f>'Salary Record'!K462</f>
        <v>31750.403225806451</v>
      </c>
      <c r="L75" s="243">
        <f>'Salary Record'!G460</f>
        <v>30000</v>
      </c>
      <c r="M75" s="243">
        <f>'Salary Record'!G461</f>
        <v>0</v>
      </c>
      <c r="N75" s="245">
        <f>'Salary Record'!G462</f>
        <v>30000</v>
      </c>
      <c r="O75" s="244">
        <f>'Salary Record'!G463</f>
        <v>5000</v>
      </c>
      <c r="P75" s="245">
        <f>'Salary Record'!G464</f>
        <v>25000</v>
      </c>
      <c r="Q75" s="259">
        <f>'Salary Record'!K464</f>
        <v>26750.403225806451</v>
      </c>
    </row>
    <row r="76" spans="1:23" ht="15.75" customHeight="1" x14ac:dyDescent="0.3">
      <c r="A76" s="31">
        <v>4</v>
      </c>
      <c r="B76" s="208" t="s">
        <v>4</v>
      </c>
      <c r="C76" s="160"/>
      <c r="D76" s="163"/>
      <c r="E76" s="39">
        <f>'Salary Record'!K1000</f>
        <v>27000</v>
      </c>
      <c r="F76" s="39">
        <f>'Salary Record'!C1006</f>
        <v>31</v>
      </c>
      <c r="G76" s="39">
        <f>'Salary Record'!C1007</f>
        <v>0</v>
      </c>
      <c r="H76" s="39">
        <f>'Salary Record'!I1005</f>
        <v>85.88</v>
      </c>
      <c r="I76" s="39">
        <f>'Salary Record'!I1004</f>
        <v>31</v>
      </c>
      <c r="J76" s="33">
        <f>'Salary Record'!K1005</f>
        <v>9349.8387096774186</v>
      </c>
      <c r="K76" s="24">
        <f>'Salary Record'!K1006</f>
        <v>36349.838709677417</v>
      </c>
      <c r="L76" s="15">
        <f>'Salary Record'!G1004</f>
        <v>0</v>
      </c>
      <c r="M76" s="35">
        <f>'Salary Record'!G1005</f>
        <v>0</v>
      </c>
      <c r="N76" s="36">
        <f>'Salary Record'!G1006</f>
        <v>0</v>
      </c>
      <c r="O76" s="35">
        <f>'Salary Record'!G1007</f>
        <v>0</v>
      </c>
      <c r="P76" s="36">
        <f>'Salary Record'!G1008</f>
        <v>0</v>
      </c>
      <c r="Q76" s="257">
        <f>'Salary Record'!K1008</f>
        <v>36349.838709677417</v>
      </c>
    </row>
    <row r="77" spans="1:23" ht="14.4" x14ac:dyDescent="0.3">
      <c r="A77" s="31">
        <v>5</v>
      </c>
      <c r="B77" s="208" t="str">
        <f>'Salary Record'!C1242</f>
        <v>Shaheryar</v>
      </c>
      <c r="C77" s="29"/>
      <c r="D77" s="129"/>
      <c r="E77" s="15">
        <f>'Salary Record'!K1241</f>
        <v>19000</v>
      </c>
      <c r="F77" s="15">
        <f>'Salary Record'!C1247</f>
        <v>31</v>
      </c>
      <c r="G77" s="41">
        <f>'Salary Record'!C1248</f>
        <v>0</v>
      </c>
      <c r="H77" s="15">
        <f>'Salary Record'!I1246</f>
        <v>65</v>
      </c>
      <c r="I77" s="15">
        <f>'Salary Record'!I1245</f>
        <v>31</v>
      </c>
      <c r="J77" s="33">
        <f>'Salary Record'!K1246</f>
        <v>4979.8387096774195</v>
      </c>
      <c r="K77" s="33">
        <f>'Salary Record'!K1247</f>
        <v>23979.83870967742</v>
      </c>
      <c r="L77" s="15">
        <f>'Salary Record'!G1245</f>
        <v>0</v>
      </c>
      <c r="M77" s="117">
        <f>'Salary Record'!G1246</f>
        <v>10000</v>
      </c>
      <c r="N77" s="118">
        <f>'Salary Record'!G1247</f>
        <v>10000</v>
      </c>
      <c r="O77" s="117">
        <f>'Salary Record'!G1248</f>
        <v>2000</v>
      </c>
      <c r="P77" s="118">
        <f>'Salary Record'!G1249</f>
        <v>8000</v>
      </c>
      <c r="Q77" s="258">
        <f>'Salary Record'!K1249</f>
        <v>21979.83870967742</v>
      </c>
      <c r="U77" s="2"/>
      <c r="W77" s="2"/>
    </row>
    <row r="78" spans="1:23" ht="14.4" x14ac:dyDescent="0.3">
      <c r="A78" s="37">
        <v>6</v>
      </c>
      <c r="B78" s="208" t="s">
        <v>43</v>
      </c>
      <c r="C78" s="160"/>
      <c r="D78" s="163"/>
      <c r="E78" s="42">
        <f>'Salary Record'!K984</f>
        <v>21000</v>
      </c>
      <c r="F78" s="42">
        <f>'Salary Record'!C990</f>
        <v>8</v>
      </c>
      <c r="G78" s="33">
        <f>'Salary Record'!C991</f>
        <v>0</v>
      </c>
      <c r="H78" s="42">
        <f>'Salary Record'!I989</f>
        <v>0</v>
      </c>
      <c r="I78" s="42">
        <f>'Salary Record'!I988</f>
        <v>8</v>
      </c>
      <c r="J78" s="33">
        <f>'Salary Record'!K989</f>
        <v>0</v>
      </c>
      <c r="K78" s="33">
        <f>'Salary Record'!K990</f>
        <v>5419.3548387096771</v>
      </c>
      <c r="L78" s="15">
        <f>'Salary Record'!G988</f>
        <v>91500</v>
      </c>
      <c r="M78" s="35">
        <f>'Salary Record'!G989</f>
        <v>5000</v>
      </c>
      <c r="N78" s="36">
        <f>'Salary Record'!G990</f>
        <v>96500</v>
      </c>
      <c r="O78" s="35">
        <f>'Salary Record'!G991</f>
        <v>0</v>
      </c>
      <c r="P78" s="36">
        <f>'Salary Record'!G992</f>
        <v>96500</v>
      </c>
      <c r="Q78" s="257">
        <f>'Salary Record'!K992</f>
        <v>5419.3548387096771</v>
      </c>
    </row>
    <row r="79" spans="1:23" ht="14.4" x14ac:dyDescent="0.3">
      <c r="A79" s="31">
        <v>7</v>
      </c>
      <c r="B79" s="208" t="str">
        <f>'Salary Record'!C537</f>
        <v>Abeer</v>
      </c>
      <c r="C79" s="158"/>
      <c r="D79" s="136"/>
      <c r="E79" s="24">
        <f>'Salary Record'!K536</f>
        <v>15000</v>
      </c>
      <c r="F79" s="24">
        <f>'Salary Record'!C542</f>
        <v>29</v>
      </c>
      <c r="G79" s="39">
        <f>'Salary Record'!C543</f>
        <v>2</v>
      </c>
      <c r="H79" s="24">
        <f>'Salary Record'!I541</f>
        <v>11.04</v>
      </c>
      <c r="I79" s="24">
        <f>'Salary Record'!I540</f>
        <v>29</v>
      </c>
      <c r="J79" s="33">
        <f>'Salary Record'!K541</f>
        <v>667.74193548387098</v>
      </c>
      <c r="K79" s="33">
        <f>'Salary Record'!K542</f>
        <v>14700</v>
      </c>
      <c r="L79" s="15">
        <f>'Salary Record'!G540</f>
        <v>0</v>
      </c>
      <c r="M79" s="35">
        <f>'Salary Record'!G541</f>
        <v>0</v>
      </c>
      <c r="N79" s="36" t="str">
        <f>'Salary Record'!G542</f>
        <v/>
      </c>
      <c r="O79" s="35">
        <f>'Salary Record'!G543</f>
        <v>0</v>
      </c>
      <c r="P79" s="36" t="str">
        <f>'Salary Record'!G544</f>
        <v/>
      </c>
      <c r="Q79" s="257">
        <f>'Salary Record'!K544</f>
        <v>14700</v>
      </c>
    </row>
    <row r="80" spans="1:23" ht="14.4" x14ac:dyDescent="0.3">
      <c r="A80" s="31">
        <v>8</v>
      </c>
      <c r="B80" s="253" t="str">
        <f>'Salary Record'!C1370</f>
        <v>Sameer</v>
      </c>
      <c r="C80" s="160"/>
      <c r="D80" s="163"/>
      <c r="E80" s="15">
        <f>'Salary Record'!K1369</f>
        <v>15000</v>
      </c>
      <c r="F80" s="15">
        <f>'Salary Record'!C1375</f>
        <v>29</v>
      </c>
      <c r="G80" s="41">
        <f>'Salary Record'!C1376</f>
        <v>2</v>
      </c>
      <c r="H80" s="15">
        <f>'Salary Record'!I1374</f>
        <v>11.2</v>
      </c>
      <c r="I80" s="15">
        <f>'Salary Record'!I1373</f>
        <v>29</v>
      </c>
      <c r="J80" s="33">
        <f>'Salary Record'!K1374</f>
        <v>677.41935483870964</v>
      </c>
      <c r="K80" s="24">
        <f>'Salary Record'!K1375</f>
        <v>14709.677419354839</v>
      </c>
      <c r="L80" s="15">
        <f>'Salary Record'!G1373</f>
        <v>0</v>
      </c>
      <c r="M80" s="15">
        <f>'Salary Record'!G1374</f>
        <v>0</v>
      </c>
      <c r="N80" s="36">
        <f>'Salary Record'!G1375</f>
        <v>0</v>
      </c>
      <c r="O80" s="15">
        <f>'Salary Record'!G1376</f>
        <v>0</v>
      </c>
      <c r="P80" s="36">
        <f>'Salary Record'!G1377</f>
        <v>0</v>
      </c>
      <c r="Q80" s="257">
        <f>'Salary Record'!K1377</f>
        <v>14709.677419354839</v>
      </c>
    </row>
    <row r="81" spans="1:18" ht="15" customHeight="1" x14ac:dyDescent="0.3">
      <c r="A81" s="37">
        <v>9</v>
      </c>
      <c r="B81" s="208" t="s">
        <v>44</v>
      </c>
      <c r="C81" s="167"/>
      <c r="D81" s="132"/>
      <c r="E81" s="47">
        <f>'Salary Record'!K568</f>
        <v>18000</v>
      </c>
      <c r="F81" s="47">
        <f>'Salary Record'!C574</f>
        <v>29</v>
      </c>
      <c r="G81" s="44">
        <f>'Salary Record'!C575</f>
        <v>2</v>
      </c>
      <c r="H81" s="47">
        <f>'Salary Record'!I573</f>
        <v>37</v>
      </c>
      <c r="I81" s="47">
        <f>'Salary Record'!I572</f>
        <v>31</v>
      </c>
      <c r="J81" s="33">
        <f>'Salary Record'!K573</f>
        <v>2685.483870967742</v>
      </c>
      <c r="K81" s="24">
        <f>'Salary Record'!K574</f>
        <v>20685.483870967742</v>
      </c>
      <c r="L81" s="15">
        <f>'Salary Record'!G572</f>
        <v>0</v>
      </c>
      <c r="M81" s="35">
        <f>'Salary Record'!G573</f>
        <v>25000</v>
      </c>
      <c r="N81" s="36">
        <f>'Salary Record'!G574</f>
        <v>25000</v>
      </c>
      <c r="O81" s="35">
        <f>'Salary Record'!G575</f>
        <v>0</v>
      </c>
      <c r="P81" s="36">
        <f>'Salary Record'!G576</f>
        <v>25000</v>
      </c>
      <c r="Q81" s="257">
        <f>'Salary Record'!K576</f>
        <v>20685.483870967742</v>
      </c>
    </row>
    <row r="82" spans="1:18" ht="14.4" x14ac:dyDescent="0.3">
      <c r="A82" s="31">
        <v>10</v>
      </c>
      <c r="B82" s="208" t="str">
        <f>'Salary Record'!C1274</f>
        <v>Shahrukh</v>
      </c>
      <c r="C82" s="154"/>
      <c r="D82" s="147"/>
      <c r="E82" s="39">
        <f>'Salary Record'!K1273</f>
        <v>14000</v>
      </c>
      <c r="F82" s="39">
        <f>'Salary Record'!C1279</f>
        <v>29</v>
      </c>
      <c r="G82" s="39">
        <f>'Salary Record'!C1280</f>
        <v>2</v>
      </c>
      <c r="H82" s="39">
        <f>'Salary Record'!I1278</f>
        <v>8.02</v>
      </c>
      <c r="I82" s="39">
        <f>'Salary Record'!I1277</f>
        <v>29</v>
      </c>
      <c r="J82" s="33">
        <f>'Salary Record'!K1278</f>
        <v>452.74193548387098</v>
      </c>
      <c r="K82" s="33">
        <f>'Salary Record'!K1279</f>
        <v>13549.516129032259</v>
      </c>
      <c r="L82" s="15">
        <f>'Salary Record'!G1277</f>
        <v>12500</v>
      </c>
      <c r="M82" s="35">
        <f>'Salary Record'!G1278</f>
        <v>0</v>
      </c>
      <c r="N82" s="36">
        <f>'Salary Record'!G1279</f>
        <v>12500</v>
      </c>
      <c r="O82" s="35">
        <f>'Salary Record'!G1280</f>
        <v>0</v>
      </c>
      <c r="P82" s="36">
        <f>'Salary Record'!G1281</f>
        <v>12500</v>
      </c>
      <c r="Q82" s="257">
        <f>'Salary Record'!K1281</f>
        <v>13549.516129032259</v>
      </c>
      <c r="R82" s="13"/>
    </row>
    <row r="83" spans="1:18" ht="14.4" x14ac:dyDescent="0.3">
      <c r="A83" s="31">
        <v>11</v>
      </c>
      <c r="B83" s="208" t="str">
        <f>'Salary Record'!C1434</f>
        <v>Imran S/O Feroz</v>
      </c>
      <c r="C83" s="154"/>
      <c r="D83" s="147"/>
      <c r="E83" s="24">
        <f>'Salary Record'!K1433</f>
        <v>25000</v>
      </c>
      <c r="F83" s="24">
        <f>'Salary Record'!C1439</f>
        <v>16</v>
      </c>
      <c r="G83" s="39">
        <f>'Salary Record'!C1440</f>
        <v>15</v>
      </c>
      <c r="H83" s="24">
        <f>'Salary Record'!I1438</f>
        <v>2.94</v>
      </c>
      <c r="I83" s="24">
        <f>'Salary Record'!I1437</f>
        <v>16</v>
      </c>
      <c r="J83" s="33">
        <f>'Salary Record'!K1438</f>
        <v>296.37096774193549</v>
      </c>
      <c r="K83" s="24">
        <f>'Salary Record'!K1439</f>
        <v>13199.596774193549</v>
      </c>
      <c r="L83" s="15">
        <f>'Salary Record'!G1437</f>
        <v>0</v>
      </c>
      <c r="M83" s="35">
        <f>'Salary Record'!G1438</f>
        <v>0</v>
      </c>
      <c r="N83" s="36">
        <f>'Salary Record'!G1439</f>
        <v>0</v>
      </c>
      <c r="O83" s="35">
        <f>'Salary Record'!G1440</f>
        <v>0</v>
      </c>
      <c r="P83" s="36">
        <f>'Salary Record'!G1441</f>
        <v>0</v>
      </c>
      <c r="Q83" s="257">
        <f>'Salary Record'!K1441</f>
        <v>13199.596774193549</v>
      </c>
    </row>
    <row r="84" spans="1:18" ht="14.4" x14ac:dyDescent="0.3">
      <c r="A84" s="37">
        <v>12</v>
      </c>
      <c r="B84" s="208" t="str">
        <f>'Salary Record'!C729</f>
        <v>Salahuddin</v>
      </c>
      <c r="C84" s="183"/>
      <c r="D84" s="180"/>
      <c r="E84" s="24">
        <f>'Salary Record'!K728</f>
        <v>18000</v>
      </c>
      <c r="F84" s="24">
        <f>'Salary Record'!C734</f>
        <v>27</v>
      </c>
      <c r="G84" s="39">
        <f>'Salary Record'!C735</f>
        <v>4</v>
      </c>
      <c r="H84" s="24">
        <f>'Salary Record'!I733</f>
        <v>13</v>
      </c>
      <c r="I84" s="24">
        <f>'Salary Record'!I732</f>
        <v>27</v>
      </c>
      <c r="J84" s="33">
        <f>'Salary Record'!K733</f>
        <v>943.54838709677415</v>
      </c>
      <c r="K84" s="33">
        <f>'Salary Record'!K734</f>
        <v>16620.967741935481</v>
      </c>
      <c r="L84" s="15">
        <f>'Salary Record'!G732</f>
        <v>0</v>
      </c>
      <c r="M84" s="35">
        <f>'Salary Record'!G733</f>
        <v>0</v>
      </c>
      <c r="N84" s="36">
        <f>'Salary Record'!G734</f>
        <v>0</v>
      </c>
      <c r="O84" s="35">
        <f>'Salary Record'!G735</f>
        <v>0</v>
      </c>
      <c r="P84" s="36">
        <f>'Salary Record'!G736</f>
        <v>0</v>
      </c>
      <c r="Q84" s="257">
        <f>'Salary Record'!K736</f>
        <v>16620.967741935481</v>
      </c>
    </row>
    <row r="85" spans="1:18" ht="14.4" x14ac:dyDescent="0.3">
      <c r="A85" s="31">
        <v>13</v>
      </c>
      <c r="B85" s="208" t="str">
        <f>'Salary Record'!C825</f>
        <v>Ahmed</v>
      </c>
      <c r="C85" s="167"/>
      <c r="D85" s="132"/>
      <c r="E85" s="15">
        <f>'Salary Record'!K824</f>
        <v>16000</v>
      </c>
      <c r="F85" s="15">
        <f>'Salary Record'!C830</f>
        <v>29</v>
      </c>
      <c r="G85" s="41">
        <f>'Salary Record'!C831</f>
        <v>2</v>
      </c>
      <c r="H85" s="15">
        <f>'Salary Record'!I829</f>
        <v>35</v>
      </c>
      <c r="I85" s="15">
        <f>'Salary Record'!I828</f>
        <v>29</v>
      </c>
      <c r="J85" s="33">
        <f>'Salary Record'!K829</f>
        <v>2258.0645161290322</v>
      </c>
      <c r="K85" s="33">
        <f>'Salary Record'!K830</f>
        <v>17225.806451612902</v>
      </c>
      <c r="L85" s="15">
        <f>'Salary Record'!G828</f>
        <v>0</v>
      </c>
      <c r="M85" s="15">
        <f>'Salary Record'!G829</f>
        <v>0</v>
      </c>
      <c r="N85" s="36" t="str">
        <f>'Salary Record'!G830</f>
        <v/>
      </c>
      <c r="O85" s="15">
        <f>'Salary Record'!G831</f>
        <v>0</v>
      </c>
      <c r="P85" s="36" t="str">
        <f>'Salary Record'!G832</f>
        <v/>
      </c>
      <c r="Q85" s="257">
        <f>'Salary Record'!K832</f>
        <v>17225.806451612902</v>
      </c>
      <c r="R85" s="13"/>
    </row>
    <row r="86" spans="1:18" ht="14.4" hidden="1" x14ac:dyDescent="0.3">
      <c r="A86" s="31">
        <v>14</v>
      </c>
      <c r="B86" s="38">
        <f>'Salary Record'!C921</f>
        <v>0</v>
      </c>
      <c r="C86" s="189"/>
      <c r="D86" s="191"/>
      <c r="E86" s="35">
        <f>'Salary Record'!K920</f>
        <v>0</v>
      </c>
      <c r="F86" s="35">
        <f>'Salary Record'!C926</f>
        <v>0</v>
      </c>
      <c r="G86" s="44">
        <f>'Salary Record'!C927</f>
        <v>0</v>
      </c>
      <c r="H86" s="35">
        <f>'Salary Record'!I925</f>
        <v>0</v>
      </c>
      <c r="I86" s="35">
        <f>'Salary Record'!I924</f>
        <v>0</v>
      </c>
      <c r="J86" s="33">
        <f>'Salary Record'!K925</f>
        <v>0</v>
      </c>
      <c r="K86" s="33">
        <f>'Salary Record'!K926</f>
        <v>0</v>
      </c>
      <c r="L86" s="15">
        <f>'Salary Record'!G924</f>
        <v>0</v>
      </c>
      <c r="M86" s="35">
        <f>'Salary Record'!G925</f>
        <v>0</v>
      </c>
      <c r="N86" s="36">
        <f>'Salary Record'!G926</f>
        <v>0</v>
      </c>
      <c r="O86" s="35">
        <f>'Salary Record'!G927</f>
        <v>0</v>
      </c>
      <c r="P86" s="36">
        <f>'Salary Record'!G928</f>
        <v>0</v>
      </c>
      <c r="Q86" s="193">
        <f>'Salary Record'!K928</f>
        <v>0</v>
      </c>
    </row>
    <row r="87" spans="1:18" ht="14.4" x14ac:dyDescent="0.3">
      <c r="A87" s="266" t="s">
        <v>2</v>
      </c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8"/>
      <c r="Q87" s="157">
        <f>SUM(Q73:Q86)</f>
        <v>258790.56451612906</v>
      </c>
      <c r="R87" s="13"/>
    </row>
    <row r="88" spans="1:18" ht="15.6" x14ac:dyDescent="0.3">
      <c r="A88" s="269" t="s">
        <v>143</v>
      </c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1"/>
    </row>
    <row r="89" spans="1:18" ht="14.4" x14ac:dyDescent="0.3">
      <c r="A89" s="37">
        <v>1</v>
      </c>
      <c r="B89" s="208" t="str">
        <f>'Salary Record'!C1097</f>
        <v>M. Rafeeq</v>
      </c>
      <c r="C89" s="165"/>
      <c r="D89" s="161"/>
      <c r="E89" s="35">
        <f>'Salary Record'!K1096</f>
        <v>40000</v>
      </c>
      <c r="F89" s="35">
        <f>'Salary Record'!C1102</f>
        <v>31</v>
      </c>
      <c r="G89" s="44">
        <f>'Salary Record'!C1103</f>
        <v>0</v>
      </c>
      <c r="H89" s="35">
        <f>'Salary Record'!I1101</f>
        <v>0</v>
      </c>
      <c r="I89" s="35">
        <f>'Salary Record'!I1100</f>
        <v>31</v>
      </c>
      <c r="J89" s="33">
        <f>'Salary Record'!K1101</f>
        <v>0</v>
      </c>
      <c r="K89" s="33">
        <f>'Salary Record'!K1102</f>
        <v>40000</v>
      </c>
      <c r="L89" s="15">
        <f>'Salary Record'!G1100</f>
        <v>0</v>
      </c>
      <c r="M89" s="35">
        <f>'Salary Record'!G1101</f>
        <v>0</v>
      </c>
      <c r="N89" s="36" t="str">
        <f>'Salary Record'!G1102</f>
        <v/>
      </c>
      <c r="O89" s="35">
        <f>'Salary Record'!G1103</f>
        <v>0</v>
      </c>
      <c r="P89" s="36" t="str">
        <f>'Salary Record'!G1104</f>
        <v/>
      </c>
      <c r="Q89" s="257">
        <f>'Salary Record'!K1104</f>
        <v>40000</v>
      </c>
      <c r="R89" s="13"/>
    </row>
    <row r="90" spans="1:18" ht="15" customHeight="1" x14ac:dyDescent="0.3">
      <c r="A90" s="37">
        <v>2</v>
      </c>
      <c r="B90" s="208" t="s">
        <v>13</v>
      </c>
      <c r="C90" s="135" t="s">
        <v>122</v>
      </c>
      <c r="D90" s="136">
        <f>SUM(Q90:Q90)</f>
        <v>28749.677419354837</v>
      </c>
      <c r="E90" s="24">
        <f>'Salary Record'!K760</f>
        <v>28000</v>
      </c>
      <c r="F90" s="24">
        <f>'Salary Record'!C766</f>
        <v>28</v>
      </c>
      <c r="G90" s="39">
        <f>'Salary Record'!C767</f>
        <v>3</v>
      </c>
      <c r="H90" s="24">
        <f>'Salary Record'!I765</f>
        <v>6.64</v>
      </c>
      <c r="I90" s="24">
        <f>'Salary Record'!I764</f>
        <v>31</v>
      </c>
      <c r="J90" s="33">
        <f>'Salary Record'!K765</f>
        <v>749.67741935483866</v>
      </c>
      <c r="K90" s="24">
        <f>'Salary Record'!K766</f>
        <v>28749.677419354837</v>
      </c>
      <c r="L90" s="15">
        <f>'Salary Record'!G764</f>
        <v>139000</v>
      </c>
      <c r="M90" s="35">
        <f>'Salary Record'!G765</f>
        <v>0</v>
      </c>
      <c r="N90" s="36">
        <f>'Salary Record'!G766</f>
        <v>139000</v>
      </c>
      <c r="O90" s="24">
        <f>'Salary Record'!G767</f>
        <v>0</v>
      </c>
      <c r="P90" s="36">
        <f>'Salary Record'!G768</f>
        <v>139000</v>
      </c>
      <c r="Q90" s="257">
        <f>'Salary Record'!K768</f>
        <v>28749.677419354837</v>
      </c>
      <c r="R90" s="13"/>
    </row>
    <row r="91" spans="1:18" ht="14.4" x14ac:dyDescent="0.3">
      <c r="A91" s="37">
        <v>3</v>
      </c>
      <c r="B91" s="208" t="str">
        <f>'Salary Record'!C185</f>
        <v>Talha</v>
      </c>
      <c r="C91" s="165"/>
      <c r="D91" s="161"/>
      <c r="E91" s="35">
        <f>'Salary Record'!K184</f>
        <v>27500</v>
      </c>
      <c r="F91" s="35">
        <f>'Salary Record'!C190</f>
        <v>29</v>
      </c>
      <c r="G91" s="44">
        <f>'Salary Record'!C191</f>
        <v>2</v>
      </c>
      <c r="H91" s="35">
        <f>'Salary Record'!I189</f>
        <v>7.2149999999999999</v>
      </c>
      <c r="I91" s="35">
        <f>'Salary Record'!I188</f>
        <v>31</v>
      </c>
      <c r="J91" s="33">
        <f>'Salary Record'!K189</f>
        <v>800.05040322580646</v>
      </c>
      <c r="K91" s="33">
        <f>'Salary Record'!K190</f>
        <v>28300.050403225807</v>
      </c>
      <c r="L91" s="15">
        <f>'Salary Record'!G188</f>
        <v>0</v>
      </c>
      <c r="M91" s="35">
        <f>'Salary Record'!G189</f>
        <v>3000</v>
      </c>
      <c r="N91" s="36">
        <f>'Salary Record'!G190</f>
        <v>3000</v>
      </c>
      <c r="O91" s="35">
        <f>'Salary Record'!G191</f>
        <v>0</v>
      </c>
      <c r="P91" s="36">
        <f>'Salary Record'!G192</f>
        <v>3000</v>
      </c>
      <c r="Q91" s="257">
        <f>'Salary Record'!K192</f>
        <v>28300.050403225807</v>
      </c>
    </row>
    <row r="92" spans="1:18" ht="14.4" x14ac:dyDescent="0.3">
      <c r="A92" s="37">
        <v>4</v>
      </c>
      <c r="B92" s="252" t="str">
        <f>'Salary Record'!C505</f>
        <v>Haneef</v>
      </c>
      <c r="C92" s="154" t="s">
        <v>125</v>
      </c>
      <c r="D92" s="136">
        <f>Q92</f>
        <v>24500.322580645163</v>
      </c>
      <c r="E92" s="24">
        <f>'Salary Record'!K504</f>
        <v>24000</v>
      </c>
      <c r="F92" s="24">
        <f>'Salary Record'!C510</f>
        <v>29</v>
      </c>
      <c r="G92" s="39">
        <f>'Salary Record'!C511</f>
        <v>2</v>
      </c>
      <c r="H92" s="24">
        <f>'Salary Record'!I509</f>
        <v>5.17</v>
      </c>
      <c r="I92" s="24">
        <f>'Salary Record'!I508</f>
        <v>31</v>
      </c>
      <c r="J92" s="33">
        <f>'Salary Record'!K509</f>
        <v>500.32258064516134</v>
      </c>
      <c r="K92" s="24">
        <f>'Salary Record'!K510</f>
        <v>24500.322580645163</v>
      </c>
      <c r="L92" s="15">
        <f>'Salary Record'!G508</f>
        <v>50000</v>
      </c>
      <c r="M92" s="35">
        <f>'Salary Record'!G509</f>
        <v>1000</v>
      </c>
      <c r="N92" s="36">
        <f>'Salary Record'!G510</f>
        <v>51000</v>
      </c>
      <c r="O92" s="35">
        <f>'Salary Record'!G511</f>
        <v>0</v>
      </c>
      <c r="P92" s="36">
        <f>'Salary Record'!G512</f>
        <v>51000</v>
      </c>
      <c r="Q92" s="257">
        <f>'Salary Record'!K512</f>
        <v>24500.322580645163</v>
      </c>
    </row>
    <row r="93" spans="1:18" ht="14.4" x14ac:dyDescent="0.3">
      <c r="A93" s="37">
        <v>5</v>
      </c>
      <c r="B93" s="208" t="s">
        <v>9</v>
      </c>
      <c r="C93" s="153"/>
      <c r="D93" s="149"/>
      <c r="E93" s="39">
        <f>'Salary Record'!K328</f>
        <v>21500</v>
      </c>
      <c r="F93" s="39">
        <f>'Salary Record'!C334</f>
        <v>29</v>
      </c>
      <c r="G93" s="39">
        <f>'Salary Record'!C335</f>
        <v>2</v>
      </c>
      <c r="H93" s="39">
        <f>'Salary Record'!I333</f>
        <v>5.77</v>
      </c>
      <c r="I93" s="39">
        <f>'Salary Record'!I332</f>
        <v>31</v>
      </c>
      <c r="J93" s="33">
        <f>'Salary Record'!K333</f>
        <v>500.2217741935483</v>
      </c>
      <c r="K93" s="33">
        <f>'Salary Record'!K334</f>
        <v>22000.221774193549</v>
      </c>
      <c r="L93" s="15">
        <f>'Salary Record'!G332</f>
        <v>30000</v>
      </c>
      <c r="M93" s="35">
        <f>'Salary Record'!G333</f>
        <v>1000</v>
      </c>
      <c r="N93" s="36">
        <f>'Salary Record'!G334</f>
        <v>31000</v>
      </c>
      <c r="O93" s="35">
        <f>'Salary Record'!G335</f>
        <v>0</v>
      </c>
      <c r="P93" s="36">
        <f>'Salary Record'!G336</f>
        <v>31000</v>
      </c>
      <c r="Q93" s="257">
        <f>'Salary Record'!K336</f>
        <v>22000.221774193549</v>
      </c>
    </row>
    <row r="94" spans="1:18" ht="14.4" x14ac:dyDescent="0.3">
      <c r="A94" s="37">
        <v>6</v>
      </c>
      <c r="B94" s="208" t="s">
        <v>20</v>
      </c>
      <c r="C94" s="158"/>
      <c r="D94" s="136"/>
      <c r="E94" s="35">
        <f>'Salary Record'!K552</f>
        <v>18000</v>
      </c>
      <c r="F94" s="35">
        <f>'Salary Record'!C558</f>
        <v>30</v>
      </c>
      <c r="G94" s="44">
        <f>'Salary Record'!C559</f>
        <v>1</v>
      </c>
      <c r="H94" s="35">
        <f>'Salary Record'!I557</f>
        <v>7.58</v>
      </c>
      <c r="I94" s="35">
        <f>'Salary Record'!I556</f>
        <v>31</v>
      </c>
      <c r="J94" s="33">
        <f>'Salary Record'!K557</f>
        <v>550.16129032258061</v>
      </c>
      <c r="K94" s="33">
        <f>'Salary Record'!K558</f>
        <v>18550.16129032258</v>
      </c>
      <c r="L94" s="15">
        <f>'Salary Record'!G556</f>
        <v>0</v>
      </c>
      <c r="M94" s="35">
        <f>'Salary Record'!G557</f>
        <v>5000</v>
      </c>
      <c r="N94" s="36">
        <f>'Salary Record'!G558</f>
        <v>5000</v>
      </c>
      <c r="O94" s="35">
        <f>'Salary Record'!G559</f>
        <v>5000</v>
      </c>
      <c r="P94" s="36">
        <f>'Salary Record'!G560</f>
        <v>0</v>
      </c>
      <c r="Q94" s="257">
        <f>'Salary Record'!K560</f>
        <v>13550.16129032258</v>
      </c>
    </row>
    <row r="95" spans="1:18" ht="14.4" x14ac:dyDescent="0.3">
      <c r="A95" s="37">
        <v>7</v>
      </c>
      <c r="B95" s="208" t="str">
        <f>'Salary Record'!C409</f>
        <v>Danish</v>
      </c>
      <c r="C95" s="154"/>
      <c r="D95" s="147"/>
      <c r="E95" s="39">
        <f>'Salary Record'!K408</f>
        <v>16000</v>
      </c>
      <c r="F95" s="39">
        <f>'Salary Record'!C414</f>
        <v>28</v>
      </c>
      <c r="G95" s="39">
        <f>'Salary Record'!C415</f>
        <v>3</v>
      </c>
      <c r="H95" s="39">
        <f>'Salary Record'!I413</f>
        <v>7.73</v>
      </c>
      <c r="I95" s="39">
        <f>'Salary Record'!I412</f>
        <v>28</v>
      </c>
      <c r="J95" s="33">
        <f>'Salary Record'!K413</f>
        <v>498.70967741935488</v>
      </c>
      <c r="K95" s="33">
        <f>'Salary Record'!K414</f>
        <v>14950.322580645161</v>
      </c>
      <c r="L95" s="15">
        <f>'Salary Record'!G412</f>
        <v>0</v>
      </c>
      <c r="M95" s="35">
        <f>'Salary Record'!G413</f>
        <v>0</v>
      </c>
      <c r="N95" s="36" t="str">
        <f>'Salary Record'!G414</f>
        <v/>
      </c>
      <c r="O95" s="35">
        <f>'Salary Record'!G415</f>
        <v>0</v>
      </c>
      <c r="P95" s="36" t="str">
        <f>'Salary Record'!G416</f>
        <v/>
      </c>
      <c r="Q95" s="257">
        <f>'Salary Record'!K416</f>
        <v>14950.322580645161</v>
      </c>
    </row>
    <row r="96" spans="1:18" ht="14.4" x14ac:dyDescent="0.3">
      <c r="A96" s="37">
        <v>8</v>
      </c>
      <c r="B96" s="208" t="str">
        <f>'Salary Record'!C953</f>
        <v>Abdul Lateef</v>
      </c>
      <c r="C96" s="158"/>
      <c r="D96" s="136"/>
      <c r="E96" s="24">
        <f>'Salary Record'!K952</f>
        <v>22000</v>
      </c>
      <c r="F96" s="24">
        <f>'Salary Record'!C958</f>
        <v>31</v>
      </c>
      <c r="G96" s="39">
        <f>'Salary Record'!C959</f>
        <v>0</v>
      </c>
      <c r="H96" s="24">
        <f>'Salary Record'!I957</f>
        <v>7.33</v>
      </c>
      <c r="I96" s="24">
        <f>'Salary Record'!I956</f>
        <v>31</v>
      </c>
      <c r="J96" s="33">
        <f>'Salary Record'!K957</f>
        <v>650.24193548387098</v>
      </c>
      <c r="K96" s="33">
        <f>'Salary Record'!K958</f>
        <v>22650.241935483871</v>
      </c>
      <c r="L96" s="15">
        <f>'Salary Record'!G956</f>
        <v>0</v>
      </c>
      <c r="M96" s="15">
        <f>'Salary Record'!G957</f>
        <v>1000</v>
      </c>
      <c r="N96" s="36">
        <f>'Salary Record'!G958</f>
        <v>1000</v>
      </c>
      <c r="O96" s="15">
        <f>'Salary Record'!G959</f>
        <v>1000</v>
      </c>
      <c r="P96" s="36">
        <f>'Salary Record'!G960</f>
        <v>0</v>
      </c>
      <c r="Q96" s="257">
        <f>'Salary Record'!K960</f>
        <v>21650.241935483871</v>
      </c>
      <c r="R96" s="13"/>
    </row>
    <row r="97" spans="1:23" ht="14.4" x14ac:dyDescent="0.3">
      <c r="A97" s="37">
        <v>9</v>
      </c>
      <c r="B97" s="208" t="str">
        <f>'Salary Record'!C1290</f>
        <v>Amir (Plumber)</v>
      </c>
      <c r="C97" s="154"/>
      <c r="D97" s="147"/>
      <c r="E97" s="39">
        <f>'Salary Record'!K1289</f>
        <v>23000</v>
      </c>
      <c r="F97" s="39">
        <f>'Salary Record'!C1295</f>
        <v>31</v>
      </c>
      <c r="G97" s="39">
        <f>'Salary Record'!C1296</f>
        <v>0</v>
      </c>
      <c r="H97" s="39">
        <f>'Salary Record'!I1294</f>
        <v>10.24</v>
      </c>
      <c r="I97" s="39">
        <f>'Salary Record'!I1293</f>
        <v>31</v>
      </c>
      <c r="J97" s="33">
        <f>'Salary Record'!K1294</f>
        <v>949.67741935483866</v>
      </c>
      <c r="K97" s="33">
        <f>'Salary Record'!K1295</f>
        <v>23949.677419354837</v>
      </c>
      <c r="L97" s="15">
        <f>'Salary Record'!G1293</f>
        <v>0</v>
      </c>
      <c r="M97" s="35">
        <f>'Salary Record'!G1294</f>
        <v>20000</v>
      </c>
      <c r="N97" s="36">
        <f>'Salary Record'!G1295</f>
        <v>20000</v>
      </c>
      <c r="O97" s="35">
        <f>'Salary Record'!G1296</f>
        <v>0</v>
      </c>
      <c r="P97" s="36">
        <f>'Salary Record'!G1297</f>
        <v>20000</v>
      </c>
      <c r="Q97" s="257">
        <f>'Salary Record'!K1297</f>
        <v>23949.677419354837</v>
      </c>
      <c r="R97" s="13"/>
    </row>
    <row r="98" spans="1:23" ht="14.4" hidden="1" x14ac:dyDescent="0.3">
      <c r="A98" s="31">
        <v>6</v>
      </c>
      <c r="B98" s="225">
        <f>'Salary Record'!C345</f>
        <v>0</v>
      </c>
      <c r="C98" s="153"/>
      <c r="D98" s="149"/>
      <c r="E98" s="24">
        <f>'Salary Record'!K344</f>
        <v>0</v>
      </c>
      <c r="F98" s="24">
        <f>'Salary Record'!C350</f>
        <v>0</v>
      </c>
      <c r="G98" s="39">
        <f>'Salary Record'!C351</f>
        <v>0</v>
      </c>
      <c r="H98" s="24">
        <f>'Salary Record'!I349</f>
        <v>0</v>
      </c>
      <c r="I98" s="24">
        <f>'Salary Record'!I348</f>
        <v>31</v>
      </c>
      <c r="J98" s="116">
        <f>'Salary Record'!K349</f>
        <v>0</v>
      </c>
      <c r="K98" s="116">
        <f>'Salary Record'!K350</f>
        <v>0</v>
      </c>
      <c r="L98" s="117">
        <f>'Salary Record'!G348</f>
        <v>0</v>
      </c>
      <c r="M98" s="138">
        <f>'Salary Record'!G349</f>
        <v>0</v>
      </c>
      <c r="N98" s="139">
        <f>'Salary Record'!G350</f>
        <v>0</v>
      </c>
      <c r="O98" s="138">
        <f>'Salary Record'!G351</f>
        <v>0</v>
      </c>
      <c r="P98" s="139">
        <f>'Salary Record'!G352</f>
        <v>0</v>
      </c>
      <c r="Q98" s="223">
        <f>'Salary Record'!K352</f>
        <v>0</v>
      </c>
    </row>
    <row r="99" spans="1:23" ht="14.4" hidden="1" x14ac:dyDescent="0.3">
      <c r="A99" s="31">
        <v>7</v>
      </c>
      <c r="B99" s="225">
        <f>'Salary Record'!C889</f>
        <v>0</v>
      </c>
      <c r="C99" s="167"/>
      <c r="D99" s="132"/>
      <c r="E99" s="24">
        <f>'Salary Record'!K888</f>
        <v>0</v>
      </c>
      <c r="F99" s="24">
        <f>'Salary Record'!C894</f>
        <v>0</v>
      </c>
      <c r="G99" s="39">
        <f>'Salary Record'!C895</f>
        <v>0</v>
      </c>
      <c r="H99" s="24">
        <f>'Salary Record'!I893</f>
        <v>2</v>
      </c>
      <c r="I99" s="24">
        <f>'Salary Record'!I892</f>
        <v>0</v>
      </c>
      <c r="J99" s="33">
        <f>'Salary Record'!K893</f>
        <v>0</v>
      </c>
      <c r="K99" s="33">
        <f>'Salary Record'!K894</f>
        <v>0</v>
      </c>
      <c r="L99" s="15">
        <f>'Salary Record'!G892</f>
        <v>0</v>
      </c>
      <c r="M99" s="15">
        <f>'Salary Record'!G893</f>
        <v>0</v>
      </c>
      <c r="N99" s="36">
        <f>'Salary Record'!G894</f>
        <v>0</v>
      </c>
      <c r="O99" s="15">
        <f>'Salary Record'!G895</f>
        <v>0</v>
      </c>
      <c r="P99" s="36">
        <f>'Salary Record'!G896</f>
        <v>0</v>
      </c>
      <c r="Q99" s="43">
        <f>'Salary Record'!K896</f>
        <v>0</v>
      </c>
    </row>
    <row r="100" spans="1:23" ht="14.4" hidden="1" x14ac:dyDescent="0.3">
      <c r="A100" s="37">
        <v>4</v>
      </c>
      <c r="B100" s="38">
        <f>'Salary Record'!C1017</f>
        <v>0</v>
      </c>
      <c r="C100" s="29" t="s">
        <v>52</v>
      </c>
      <c r="D100" s="129">
        <f>E100</f>
        <v>0</v>
      </c>
      <c r="E100" s="15">
        <f>'Salary Record'!K1016</f>
        <v>0</v>
      </c>
      <c r="F100" s="15">
        <f>'Salary Record'!C1022</f>
        <v>0</v>
      </c>
      <c r="G100" s="41">
        <f>'Salary Record'!C1023</f>
        <v>0</v>
      </c>
      <c r="H100" s="15">
        <f>'Salary Record'!I1021</f>
        <v>0</v>
      </c>
      <c r="I100" s="15">
        <f>'Salary Record'!I1020</f>
        <v>0</v>
      </c>
      <c r="J100" s="33">
        <f>'Salary Record'!K1021</f>
        <v>0</v>
      </c>
      <c r="K100" s="33">
        <f>'Salary Record'!K1022</f>
        <v>0</v>
      </c>
      <c r="L100" s="15">
        <f>'Salary Record'!U1020</f>
        <v>0</v>
      </c>
      <c r="M100" s="15">
        <f>'Salary Record'!V1020</f>
        <v>0</v>
      </c>
      <c r="N100" s="48">
        <f>'Salary Record'!W1020</f>
        <v>0</v>
      </c>
      <c r="O100" s="15">
        <f>'Salary Record'!X1020</f>
        <v>0</v>
      </c>
      <c r="P100" s="48">
        <f>'Salary Record'!Y1020</f>
        <v>0</v>
      </c>
      <c r="Q100" s="43">
        <f>'Salary Record'!K1024</f>
        <v>0</v>
      </c>
      <c r="U100" s="2"/>
      <c r="V100" s="2"/>
      <c r="W100" s="2"/>
    </row>
    <row r="101" spans="1:23" ht="14.4" hidden="1" x14ac:dyDescent="0.3">
      <c r="A101" s="37">
        <v>5</v>
      </c>
      <c r="B101" s="38">
        <f>'Salary Record'!C137</f>
        <v>0</v>
      </c>
      <c r="C101" s="165"/>
      <c r="D101" s="161"/>
      <c r="E101" s="40">
        <f>'Salary Record'!K136</f>
        <v>0</v>
      </c>
      <c r="F101" s="24">
        <f>'Salary Record'!C142</f>
        <v>0</v>
      </c>
      <c r="G101" s="39">
        <f>'Salary Record'!C143</f>
        <v>0</v>
      </c>
      <c r="H101" s="24">
        <f>'Salary Record'!I141</f>
        <v>0</v>
      </c>
      <c r="I101" s="24">
        <f>'Salary Record'!I140</f>
        <v>0</v>
      </c>
      <c r="J101" s="33">
        <f>'Salary Record'!K141</f>
        <v>0</v>
      </c>
      <c r="K101" s="24">
        <f>'Salary Record'!K142</f>
        <v>0</v>
      </c>
      <c r="L101" s="15">
        <f>'Salary Record'!G140</f>
        <v>0</v>
      </c>
      <c r="M101" s="15">
        <f>'Salary Record'!G141</f>
        <v>0</v>
      </c>
      <c r="N101" s="15" t="str">
        <f>'Salary Record'!G142</f>
        <v/>
      </c>
      <c r="O101" s="15">
        <f>'Salary Record'!G143</f>
        <v>0</v>
      </c>
      <c r="P101" s="15" t="str">
        <f>'Salary Record'!G144</f>
        <v/>
      </c>
      <c r="Q101" s="43">
        <f>'Salary Record'!K144</f>
        <v>0</v>
      </c>
    </row>
    <row r="102" spans="1:23" ht="15" hidden="1" customHeight="1" x14ac:dyDescent="0.3">
      <c r="A102" s="31">
        <v>1</v>
      </c>
      <c r="B102" s="208" t="s">
        <v>15</v>
      </c>
      <c r="C102" s="181" t="s">
        <v>55</v>
      </c>
      <c r="D102" s="178">
        <f>SUM(Q102:Q103)</f>
        <v>0</v>
      </c>
      <c r="E102" s="45">
        <f>'Salary Record'!K712</f>
        <v>18000</v>
      </c>
      <c r="F102" s="45">
        <f>'Salary Record'!C718</f>
        <v>0</v>
      </c>
      <c r="G102" s="33">
        <f>'Salary Record'!C719</f>
        <v>0</v>
      </c>
      <c r="H102" s="45">
        <f>'Salary Record'!I717</f>
        <v>0</v>
      </c>
      <c r="I102" s="45">
        <f>'Salary Record'!I716</f>
        <v>0</v>
      </c>
      <c r="J102" s="33">
        <f>'Salary Record'!K717</f>
        <v>0</v>
      </c>
      <c r="K102" s="33">
        <f>'Salary Record'!K718</f>
        <v>0</v>
      </c>
      <c r="L102" s="15">
        <f>'Salary Record'!G716</f>
        <v>0</v>
      </c>
      <c r="M102" s="35">
        <f>'Salary Record'!G717</f>
        <v>0</v>
      </c>
      <c r="N102" s="36">
        <f>'Salary Record'!G718</f>
        <v>0</v>
      </c>
      <c r="O102" s="35">
        <f>'Salary Record'!G719</f>
        <v>0</v>
      </c>
      <c r="P102" s="36">
        <f>'Salary Record'!G720</f>
        <v>0</v>
      </c>
      <c r="Q102" s="226">
        <f>'Salary Record'!K720</f>
        <v>0</v>
      </c>
    </row>
    <row r="103" spans="1:23" ht="14.4" hidden="1" x14ac:dyDescent="0.3">
      <c r="A103" s="37">
        <v>2</v>
      </c>
      <c r="B103" s="208" t="str">
        <f>'Salary Record'!C745</f>
        <v>Siddiq</v>
      </c>
      <c r="C103" s="182"/>
      <c r="D103" s="179"/>
      <c r="E103" s="15">
        <f>'Salary Record'!K744</f>
        <v>12000</v>
      </c>
      <c r="F103" s="15">
        <f>'Salary Record'!C750</f>
        <v>0</v>
      </c>
      <c r="G103" s="41">
        <f>'Salary Record'!C751</f>
        <v>0</v>
      </c>
      <c r="H103" s="15">
        <f>'Salary Record'!I749</f>
        <v>0</v>
      </c>
      <c r="I103" s="15">
        <f>'Salary Record'!I748</f>
        <v>0</v>
      </c>
      <c r="J103" s="33">
        <f>'Salary Record'!K749</f>
        <v>0</v>
      </c>
      <c r="K103" s="33">
        <f>'Salary Record'!K750</f>
        <v>0</v>
      </c>
      <c r="L103" s="15">
        <f>'Salary Record'!G748</f>
        <v>0</v>
      </c>
      <c r="M103" s="15">
        <f>'Salary Record'!G749</f>
        <v>0</v>
      </c>
      <c r="N103" s="36">
        <f>'Salary Record'!G750</f>
        <v>0</v>
      </c>
      <c r="O103" s="15">
        <f>'Salary Record'!G751</f>
        <v>0</v>
      </c>
      <c r="P103" s="36">
        <f>'Salary Record'!G752</f>
        <v>0</v>
      </c>
      <c r="Q103" s="226">
        <f>'Salary Record'!K752</f>
        <v>0</v>
      </c>
    </row>
    <row r="104" spans="1:23" ht="14.4" hidden="1" x14ac:dyDescent="0.3">
      <c r="A104" s="31">
        <v>8</v>
      </c>
      <c r="B104" s="232">
        <f>'Salary Record'!C1450</f>
        <v>0</v>
      </c>
      <c r="C104" s="154"/>
      <c r="D104" s="147"/>
      <c r="E104" s="24">
        <f>'Salary Record'!K1449</f>
        <v>0</v>
      </c>
      <c r="F104" s="24">
        <f>'Salary Record'!C1455</f>
        <v>0</v>
      </c>
      <c r="G104" s="39">
        <f>'Salary Record'!C1456</f>
        <v>0</v>
      </c>
      <c r="H104" s="24">
        <f>'Salary Record'!I1454</f>
        <v>0</v>
      </c>
      <c r="I104" s="24">
        <f>'Salary Record'!I1453</f>
        <v>0</v>
      </c>
      <c r="J104" s="33">
        <f>'Salary Record'!K1454</f>
        <v>0</v>
      </c>
      <c r="K104" s="24">
        <f>'Salary Record'!K1455</f>
        <v>0</v>
      </c>
      <c r="L104" s="15">
        <f>'Salary Record'!G1453</f>
        <v>0</v>
      </c>
      <c r="M104" s="35">
        <f>'Salary Record'!G1454</f>
        <v>0</v>
      </c>
      <c r="N104" s="36">
        <f>'Salary Record'!G1455</f>
        <v>0</v>
      </c>
      <c r="O104" s="35">
        <f>'Salary Record'!G1456</f>
        <v>0</v>
      </c>
      <c r="P104" s="36">
        <f>'Salary Record'!G1457</f>
        <v>0</v>
      </c>
      <c r="Q104" s="43">
        <f>'Salary Record'!K1457</f>
        <v>0</v>
      </c>
    </row>
    <row r="105" spans="1:23" ht="14.4" x14ac:dyDescent="0.3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157">
        <f>SUM(Q89:Q97)</f>
        <v>217650.67540322582</v>
      </c>
      <c r="R105" s="13"/>
      <c r="T105" s="13"/>
    </row>
    <row r="106" spans="1:23" s="9" customFormat="1" ht="17.399999999999999" x14ac:dyDescent="0.3">
      <c r="A106" s="17"/>
      <c r="B106" s="6" t="s">
        <v>2</v>
      </c>
      <c r="C106" s="6"/>
      <c r="D106" s="19">
        <f>SUM(D4:D105)</f>
        <v>8902245.0887096748</v>
      </c>
      <c r="E106" s="19">
        <f>SUM(E4:E87)</f>
        <v>1299700</v>
      </c>
      <c r="F106" s="14"/>
      <c r="G106" s="18"/>
      <c r="H106" s="14"/>
      <c r="I106" s="14"/>
      <c r="J106" s="20">
        <f>SUM(J4:J87)</f>
        <v>106396.71774193547</v>
      </c>
      <c r="K106" s="20"/>
      <c r="L106" s="20">
        <f>SUM(L4:L105)</f>
        <v>782200</v>
      </c>
      <c r="M106" s="20">
        <f>SUM(M4:M105)</f>
        <v>224000</v>
      </c>
      <c r="N106" s="20">
        <f>SUM(N4:N105)</f>
        <v>999200</v>
      </c>
      <c r="O106" s="20">
        <f>SUM(O4:O105)</f>
        <v>95400</v>
      </c>
      <c r="P106" s="16">
        <f>SUM(P4:P105)</f>
        <v>903800</v>
      </c>
      <c r="Q106" s="168">
        <f>Q4+Q5+Q11+Q18+Q27+Q36+Q54+Q63+Q71+Q87+Q105</f>
        <v>1509428.0383064514</v>
      </c>
      <c r="R106" s="10"/>
      <c r="S106" s="30"/>
      <c r="T106" s="10"/>
      <c r="U106" s="30"/>
      <c r="V106" s="30"/>
      <c r="W106" s="2"/>
    </row>
    <row r="107" spans="1:23" ht="15.6" x14ac:dyDescent="0.3">
      <c r="J107" s="187"/>
      <c r="K107" s="262" t="s">
        <v>135</v>
      </c>
      <c r="L107" s="262"/>
      <c r="M107" s="262"/>
      <c r="N107" s="262"/>
      <c r="O107" s="262"/>
      <c r="P107" s="262"/>
      <c r="Q107" s="176">
        <f>Q4</f>
        <v>50000</v>
      </c>
      <c r="U107" s="2"/>
      <c r="V107" s="2"/>
      <c r="W107" s="2"/>
    </row>
    <row r="108" spans="1:23" ht="15.6" x14ac:dyDescent="0.3">
      <c r="B108" s="229"/>
      <c r="C108" s="215"/>
      <c r="D108" s="215"/>
      <c r="E108" s="264"/>
      <c r="F108" s="265"/>
      <c r="G108" s="265"/>
      <c r="H108" s="265"/>
      <c r="I108" s="210"/>
      <c r="J108" s="187"/>
      <c r="K108" s="262" t="s">
        <v>111</v>
      </c>
      <c r="L108" s="262"/>
      <c r="M108" s="262"/>
      <c r="N108" s="262"/>
      <c r="O108" s="262"/>
      <c r="P108" s="262"/>
      <c r="Q108" s="207">
        <f>Q106-Q107</f>
        <v>1459428.0383064514</v>
      </c>
      <c r="R108" s="13">
        <f>Q5+Q11+Q54-Q40+Q71</f>
        <v>487549.41935483867</v>
      </c>
      <c r="U108" s="2"/>
      <c r="V108" s="2"/>
      <c r="W108" s="2"/>
    </row>
    <row r="109" spans="1:23" ht="16.8" customHeight="1" x14ac:dyDescent="0.35">
      <c r="B109" s="220"/>
      <c r="C109" s="215"/>
      <c r="D109" s="215"/>
      <c r="E109" s="264"/>
      <c r="F109" s="265"/>
      <c r="G109" s="265"/>
      <c r="H109" s="265"/>
      <c r="I109" s="210"/>
      <c r="K109" s="262" t="s">
        <v>185</v>
      </c>
      <c r="L109" s="262"/>
      <c r="M109" s="262"/>
      <c r="N109" s="262"/>
      <c r="O109" s="262"/>
      <c r="P109" s="262"/>
      <c r="Q109" s="231"/>
    </row>
    <row r="110" spans="1:23" ht="13.8" x14ac:dyDescent="0.25">
      <c r="B110" s="220"/>
      <c r="C110" s="215"/>
      <c r="D110" s="215"/>
      <c r="E110" s="264"/>
      <c r="F110" s="265"/>
      <c r="G110" s="265"/>
      <c r="H110" s="265"/>
      <c r="I110" s="210"/>
      <c r="K110" s="263" t="s">
        <v>160</v>
      </c>
      <c r="L110" s="263"/>
      <c r="M110" s="263"/>
      <c r="N110" s="263"/>
      <c r="P110" s="28"/>
      <c r="Q110" s="13"/>
      <c r="S110"/>
    </row>
    <row r="111" spans="1:23" ht="13.8" x14ac:dyDescent="0.25">
      <c r="B111" s="220"/>
      <c r="C111" s="215"/>
      <c r="D111" s="215"/>
      <c r="E111" s="264"/>
      <c r="F111" s="265"/>
      <c r="G111" s="265"/>
      <c r="H111" s="265"/>
      <c r="I111" s="210"/>
      <c r="K111" s="48" t="s">
        <v>161</v>
      </c>
      <c r="L111" s="222" t="s">
        <v>189</v>
      </c>
      <c r="M111" s="222" t="s">
        <v>192</v>
      </c>
      <c r="N111" s="48" t="s">
        <v>174</v>
      </c>
      <c r="P111" s="28"/>
      <c r="Q111" s="2"/>
      <c r="R111" s="13">
        <f>Q105+Q87+Q63+Q40+Q36+Q27+Q18</f>
        <v>971878.61895161297</v>
      </c>
      <c r="S111"/>
    </row>
    <row r="112" spans="1:23" x14ac:dyDescent="0.25">
      <c r="B112" s="220"/>
      <c r="C112" s="215"/>
      <c r="D112" s="215"/>
      <c r="E112" s="264"/>
      <c r="F112" s="265"/>
      <c r="G112" s="265"/>
      <c r="H112" s="265"/>
      <c r="I112" s="210"/>
      <c r="K112" s="210" t="s">
        <v>162</v>
      </c>
      <c r="L112" s="218">
        <v>100000</v>
      </c>
      <c r="M112" s="218">
        <f>Q4+Q5</f>
        <v>100000</v>
      </c>
      <c r="N112" s="210">
        <f t="shared" ref="N112:N121" si="0">M112-L112</f>
        <v>0</v>
      </c>
      <c r="P112" s="28"/>
      <c r="Q112" s="2"/>
      <c r="R112" s="13"/>
      <c r="S112"/>
    </row>
    <row r="113" spans="2:19" x14ac:dyDescent="0.25">
      <c r="B113" s="220"/>
      <c r="C113" s="215"/>
      <c r="D113" s="215"/>
      <c r="E113" s="264"/>
      <c r="F113" s="265"/>
      <c r="G113" s="265"/>
      <c r="H113" s="265"/>
      <c r="I113" s="210"/>
      <c r="K113" s="237" t="s">
        <v>51</v>
      </c>
      <c r="L113" s="218">
        <v>50000</v>
      </c>
      <c r="M113" s="218">
        <f>Q11</f>
        <v>30000</v>
      </c>
      <c r="N113" s="210">
        <f t="shared" si="0"/>
        <v>-20000</v>
      </c>
      <c r="P113" s="205"/>
      <c r="Q113" s="2">
        <f>Q5+Q18+Q36+Q54+Q63+Q71+Q87+Q105</f>
        <v>1295941.747983871</v>
      </c>
      <c r="R113" s="13">
        <f>Q108-R111</f>
        <v>487549.41935483844</v>
      </c>
      <c r="S113"/>
    </row>
    <row r="114" spans="2:19" x14ac:dyDescent="0.25">
      <c r="B114" s="215"/>
      <c r="C114" s="215"/>
      <c r="D114" s="215"/>
      <c r="E114" s="264"/>
      <c r="F114" s="265"/>
      <c r="G114" s="265"/>
      <c r="H114" s="265"/>
      <c r="I114" s="218"/>
      <c r="K114" s="210" t="s">
        <v>49</v>
      </c>
      <c r="L114" s="218">
        <v>81500.291666666672</v>
      </c>
      <c r="M114" s="218">
        <f>Q18</f>
        <v>84181.451612903227</v>
      </c>
      <c r="N114" s="210">
        <f t="shared" si="0"/>
        <v>2681.1599462365557</v>
      </c>
      <c r="P114" s="205"/>
      <c r="Q114" s="2"/>
      <c r="R114" s="13"/>
      <c r="S114"/>
    </row>
    <row r="115" spans="2:19" x14ac:dyDescent="0.25">
      <c r="B115" s="215"/>
      <c r="C115" s="215"/>
      <c r="D115" s="215"/>
      <c r="E115" s="264"/>
      <c r="F115" s="265"/>
      <c r="G115" s="265"/>
      <c r="H115" s="265"/>
      <c r="I115" s="218"/>
      <c r="K115" s="210" t="s">
        <v>163</v>
      </c>
      <c r="L115" s="218">
        <v>137909.79166666669</v>
      </c>
      <c r="M115" s="218">
        <f>Q27</f>
        <v>133486.29032258064</v>
      </c>
      <c r="N115" s="210">
        <f t="shared" si="0"/>
        <v>-4423.5013440860494</v>
      </c>
      <c r="P115" s="28"/>
      <c r="Q115" s="2"/>
      <c r="S115"/>
    </row>
    <row r="116" spans="2:19" ht="13.8" x14ac:dyDescent="0.25">
      <c r="B116" s="215"/>
      <c r="C116" s="215"/>
      <c r="D116" s="215"/>
      <c r="E116" s="264"/>
      <c r="F116" s="265"/>
      <c r="G116" s="265"/>
      <c r="H116" s="265"/>
      <c r="I116" s="218"/>
      <c r="K116" s="210" t="s">
        <v>164</v>
      </c>
      <c r="L116" s="218">
        <v>161603.66666666669</v>
      </c>
      <c r="M116" s="218">
        <f>Q36</f>
        <v>142197.5806451613</v>
      </c>
      <c r="N116" s="210">
        <f t="shared" si="0"/>
        <v>-19406.086021505384</v>
      </c>
      <c r="P116" s="28"/>
      <c r="Q116" s="250"/>
      <c r="S116"/>
    </row>
    <row r="117" spans="2:19" x14ac:dyDescent="0.25">
      <c r="B117" s="215"/>
      <c r="C117" s="215"/>
      <c r="D117" s="215"/>
      <c r="E117" s="264"/>
      <c r="F117" s="265"/>
      <c r="G117" s="265"/>
      <c r="H117" s="265"/>
      <c r="I117" s="221"/>
      <c r="K117" s="210" t="s">
        <v>50</v>
      </c>
      <c r="L117" s="218">
        <v>329747.5</v>
      </c>
      <c r="M117" s="218">
        <f>Q54</f>
        <v>321949.90322580643</v>
      </c>
      <c r="N117" s="210">
        <f t="shared" si="0"/>
        <v>-7797.5967741935747</v>
      </c>
      <c r="O117" s="205"/>
      <c r="P117" s="28"/>
      <c r="Q117" s="2"/>
      <c r="S117"/>
    </row>
    <row r="118" spans="2:19" x14ac:dyDescent="0.25">
      <c r="B118" s="215"/>
      <c r="C118" s="219"/>
      <c r="D118" s="219"/>
      <c r="E118" s="264"/>
      <c r="F118" s="265"/>
      <c r="G118" s="265"/>
      <c r="H118" s="265"/>
      <c r="I118" s="218"/>
      <c r="K118" s="210" t="s">
        <v>165</v>
      </c>
      <c r="L118" s="218">
        <v>95872.916666666672</v>
      </c>
      <c r="M118" s="218">
        <f>Q63</f>
        <v>113572.05645161291</v>
      </c>
      <c r="N118" s="210">
        <f t="shared" si="0"/>
        <v>17699.139784946237</v>
      </c>
      <c r="O118" s="205"/>
      <c r="P118" s="28"/>
      <c r="Q118" s="2"/>
      <c r="S118"/>
    </row>
    <row r="119" spans="2:19" x14ac:dyDescent="0.25">
      <c r="B119"/>
      <c r="C119"/>
      <c r="D119"/>
      <c r="E119"/>
      <c r="F119"/>
      <c r="G119"/>
      <c r="H119"/>
      <c r="I119"/>
      <c r="K119" s="210" t="s">
        <v>167</v>
      </c>
      <c r="L119" s="218">
        <v>106838.33333333334</v>
      </c>
      <c r="M119" s="218">
        <f>Q71</f>
        <v>107599.51612903224</v>
      </c>
      <c r="N119" s="210">
        <f t="shared" si="0"/>
        <v>761.18279569890001</v>
      </c>
      <c r="O119" s="205"/>
      <c r="P119" s="28"/>
      <c r="Q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10" t="s">
        <v>168</v>
      </c>
      <c r="L120" s="218">
        <v>195494</v>
      </c>
      <c r="M120" s="218">
        <f>Q87</f>
        <v>258790.56451612906</v>
      </c>
      <c r="N120" s="210">
        <f t="shared" si="0"/>
        <v>63296.564516129059</v>
      </c>
      <c r="O120" s="205"/>
      <c r="P120" s="28"/>
      <c r="R120" s="13">
        <f>Q27+Q36</f>
        <v>275683.87096774194</v>
      </c>
      <c r="S120"/>
    </row>
    <row r="121" spans="2:19" x14ac:dyDescent="0.25">
      <c r="B121"/>
      <c r="C121"/>
      <c r="D121"/>
      <c r="E121"/>
      <c r="F121"/>
      <c r="G121"/>
      <c r="H121"/>
      <c r="I121"/>
      <c r="K121" s="210" t="s">
        <v>169</v>
      </c>
      <c r="L121" s="134">
        <v>187513.08333333334</v>
      </c>
      <c r="M121" s="210">
        <f>Q105</f>
        <v>217650.67540322582</v>
      </c>
      <c r="N121" s="210">
        <f t="shared" si="0"/>
        <v>30137.592069892475</v>
      </c>
      <c r="P121" s="28"/>
      <c r="Q121" s="13"/>
      <c r="R121" s="13">
        <v>40000</v>
      </c>
      <c r="S121"/>
    </row>
    <row r="122" spans="2:19" x14ac:dyDescent="0.25">
      <c r="B122"/>
      <c r="C122"/>
      <c r="D122"/>
      <c r="E122"/>
      <c r="F122"/>
      <c r="G122"/>
      <c r="H122"/>
      <c r="I122"/>
      <c r="J122"/>
      <c r="K122" s="210" t="s">
        <v>173</v>
      </c>
      <c r="L122" s="235">
        <f>SUM(L112:L121)</f>
        <v>1446479.5833333333</v>
      </c>
      <c r="M122" s="235">
        <f>SUM(M112:M121)</f>
        <v>1509428.0383064514</v>
      </c>
      <c r="N122" s="236">
        <f>SUM(N112:N121)</f>
        <v>62948.45497311822</v>
      </c>
      <c r="P122"/>
      <c r="R122" s="2">
        <v>30000</v>
      </c>
      <c r="S122"/>
    </row>
    <row r="123" spans="2:19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3"/>
      <c r="P123"/>
      <c r="R123" s="2">
        <f>Q40</f>
        <v>22000</v>
      </c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3"/>
      <c r="P124"/>
      <c r="R124" s="13">
        <f>SUM(R120:R123)</f>
        <v>367683.87096774194</v>
      </c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3"/>
      <c r="P125" s="28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28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13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"/>
    </row>
    <row r="132" spans="2:19" ht="13.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206">
        <f>SUM(O110:O129)</f>
        <v>0</v>
      </c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 s="13"/>
      <c r="R135" s="13">
        <f>Q13+Q15+Q17+Q36+Q54+Q63+Q73+Q75-Q39+Q76</f>
        <v>692601.31451612909</v>
      </c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  <c r="R136" s="2">
        <v>10000</v>
      </c>
      <c r="S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 s="2">
        <v>1700</v>
      </c>
      <c r="S137"/>
    </row>
    <row r="138" spans="2:19" x14ac:dyDescent="0.25">
      <c r="J138"/>
      <c r="K138"/>
      <c r="L138"/>
      <c r="M138"/>
      <c r="N138"/>
      <c r="O138"/>
      <c r="P138"/>
      <c r="R138" s="13">
        <f>SUM(R135:R137)</f>
        <v>704301.31451612909</v>
      </c>
      <c r="S138"/>
    </row>
    <row r="139" spans="2:19" x14ac:dyDescent="0.25">
      <c r="J139"/>
      <c r="K139"/>
      <c r="L139"/>
      <c r="M139"/>
      <c r="N139"/>
      <c r="O139"/>
      <c r="P139"/>
      <c r="R139">
        <v>2000</v>
      </c>
      <c r="S139"/>
    </row>
    <row r="140" spans="2:19" x14ac:dyDescent="0.25">
      <c r="J140"/>
      <c r="K140"/>
      <c r="L140"/>
      <c r="M140"/>
      <c r="N140"/>
      <c r="O140"/>
      <c r="P140"/>
      <c r="R140" s="13">
        <f>R139+R138</f>
        <v>706301.31451612909</v>
      </c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K144"/>
      <c r="L144"/>
      <c r="M144"/>
      <c r="N144"/>
      <c r="O144"/>
      <c r="P144"/>
    </row>
    <row r="145" spans="16:16" x14ac:dyDescent="0.25">
      <c r="P145"/>
    </row>
    <row r="146" spans="16:16" x14ac:dyDescent="0.25">
      <c r="P146"/>
    </row>
    <row r="147" spans="16:16" x14ac:dyDescent="0.25">
      <c r="P147" s="3">
        <f>Q71+Q11</f>
        <v>137599.51612903224</v>
      </c>
    </row>
    <row r="148" spans="16:16" x14ac:dyDescent="0.25">
      <c r="P148" s="3">
        <v>14580</v>
      </c>
    </row>
    <row r="149" spans="16:16" x14ac:dyDescent="0.25">
      <c r="P149" s="3">
        <v>20000</v>
      </c>
    </row>
    <row r="150" spans="16:16" x14ac:dyDescent="0.25">
      <c r="P150" s="3">
        <v>4150</v>
      </c>
    </row>
  </sheetData>
  <autoFilter ref="A3:W108"/>
  <mergeCells count="37">
    <mergeCell ref="N1:O2"/>
    <mergeCell ref="A1:M2"/>
    <mergeCell ref="P1:P2"/>
    <mergeCell ref="A6:Q6"/>
    <mergeCell ref="C7:C10"/>
    <mergeCell ref="D7:D10"/>
    <mergeCell ref="A55:Q55"/>
    <mergeCell ref="A63:P63"/>
    <mergeCell ref="A64:Q64"/>
    <mergeCell ref="A71:P71"/>
    <mergeCell ref="K108:P108"/>
    <mergeCell ref="K107:P107"/>
    <mergeCell ref="A72:Q72"/>
    <mergeCell ref="A87:P87"/>
    <mergeCell ref="A88:Q88"/>
    <mergeCell ref="A11:P11"/>
    <mergeCell ref="A18:P18"/>
    <mergeCell ref="A12:Q12"/>
    <mergeCell ref="A37:Q37"/>
    <mergeCell ref="A54:P54"/>
    <mergeCell ref="A19:Q19"/>
    <mergeCell ref="A27:P27"/>
    <mergeCell ref="A28:Q28"/>
    <mergeCell ref="A36:P36"/>
    <mergeCell ref="K109:P109"/>
    <mergeCell ref="K110:N110"/>
    <mergeCell ref="E117:H117"/>
    <mergeCell ref="E118:H118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6" max="16" man="1"/>
    <brk id="71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1069" zoomScale="70" zoomScaleNormal="60" zoomScaleSheetLayoutView="70" workbookViewId="0">
      <selection activeCell="W1085" sqref="W108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08" t="s">
        <v>83</v>
      </c>
      <c r="D1" s="308"/>
      <c r="E1" s="308"/>
      <c r="F1" s="308"/>
      <c r="G1" s="308"/>
      <c r="H1" s="308"/>
      <c r="I1" s="308"/>
      <c r="J1" s="27" t="s">
        <v>65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1509428.0383064516</v>
      </c>
    </row>
    <row r="2" spans="1:27" ht="18" x14ac:dyDescent="0.35">
      <c r="J2" s="25" t="s">
        <v>77</v>
      </c>
      <c r="K2" s="4">
        <v>31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00" t="s">
        <v>57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2"/>
      <c r="M6" s="124"/>
      <c r="N6" s="93"/>
      <c r="O6" s="290" t="s">
        <v>59</v>
      </c>
      <c r="P6" s="291"/>
      <c r="Q6" s="291"/>
      <c r="R6" s="292"/>
      <c r="S6" s="94"/>
      <c r="T6" s="290" t="s">
        <v>60</v>
      </c>
      <c r="U6" s="291"/>
      <c r="V6" s="291"/>
      <c r="W6" s="291"/>
      <c r="X6" s="291"/>
      <c r="Y6" s="307"/>
      <c r="Z6" s="122"/>
      <c r="AA6" s="54"/>
    </row>
    <row r="7" spans="1:27" s="55" customFormat="1" ht="21" customHeight="1" x14ac:dyDescent="0.25">
      <c r="A7" s="56"/>
      <c r="B7" s="57"/>
      <c r="C7" s="293" t="s">
        <v>116</v>
      </c>
      <c r="D7" s="293"/>
      <c r="E7" s="293"/>
      <c r="F7" s="293"/>
      <c r="G7" s="58" t="str">
        <f>$J$1</f>
        <v>May</v>
      </c>
      <c r="H7" s="294">
        <f>$K$1</f>
        <v>2019</v>
      </c>
      <c r="I7" s="294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95" t="s">
        <v>60</v>
      </c>
      <c r="G10" s="295"/>
      <c r="H10" s="57"/>
      <c r="I10" s="295" t="s">
        <v>61</v>
      </c>
      <c r="J10" s="295"/>
      <c r="K10" s="295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96" t="s">
        <v>59</v>
      </c>
      <c r="C12" s="297"/>
      <c r="D12" s="57"/>
      <c r="E12" s="57"/>
      <c r="F12" s="75" t="s">
        <v>81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82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98" t="s">
        <v>86</v>
      </c>
      <c r="J14" s="299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98" t="s">
        <v>87</v>
      </c>
      <c r="J15" s="299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84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84" t="s">
        <v>80</v>
      </c>
      <c r="J16" s="285"/>
      <c r="K16" s="84">
        <f>K14-K15</f>
        <v>50000</v>
      </c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00" t="s">
        <v>57</v>
      </c>
      <c r="B22" s="301"/>
      <c r="C22" s="301"/>
      <c r="D22" s="301"/>
      <c r="E22" s="301"/>
      <c r="F22" s="301"/>
      <c r="G22" s="301"/>
      <c r="H22" s="301"/>
      <c r="I22" s="301"/>
      <c r="J22" s="301"/>
      <c r="K22" s="301"/>
      <c r="L22" s="302"/>
      <c r="M22" s="54"/>
      <c r="N22" s="93"/>
      <c r="O22" s="290" t="s">
        <v>59</v>
      </c>
      <c r="P22" s="291"/>
      <c r="Q22" s="291"/>
      <c r="R22" s="292"/>
      <c r="S22" s="94"/>
      <c r="T22" s="290" t="s">
        <v>60</v>
      </c>
      <c r="U22" s="291"/>
      <c r="V22" s="291"/>
      <c r="W22" s="291"/>
      <c r="X22" s="291"/>
      <c r="Y22" s="292"/>
      <c r="Z22" s="95"/>
      <c r="AA22" s="54"/>
    </row>
    <row r="23" spans="1:27" s="55" customFormat="1" ht="21" customHeight="1" x14ac:dyDescent="0.25">
      <c r="A23" s="56"/>
      <c r="B23" s="57"/>
      <c r="C23" s="293" t="s">
        <v>116</v>
      </c>
      <c r="D23" s="293"/>
      <c r="E23" s="293"/>
      <c r="F23" s="293"/>
      <c r="G23" s="58" t="str">
        <f>$J$1</f>
        <v>May</v>
      </c>
      <c r="H23" s="294">
        <f>$K$1</f>
        <v>2019</v>
      </c>
      <c r="I23" s="294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95" t="s">
        <v>60</v>
      </c>
      <c r="G26" s="295"/>
      <c r="H26" s="57"/>
      <c r="I26" s="295" t="s">
        <v>61</v>
      </c>
      <c r="J26" s="295"/>
      <c r="K26" s="295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96" t="s">
        <v>59</v>
      </c>
      <c r="C28" s="297"/>
      <c r="D28" s="57"/>
      <c r="E28" s="57"/>
      <c r="F28" s="75" t="s">
        <v>81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82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98" t="s">
        <v>86</v>
      </c>
      <c r="J30" s="299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98" t="s">
        <v>87</v>
      </c>
      <c r="J31" s="299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84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84" t="s">
        <v>80</v>
      </c>
      <c r="J32" s="285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00" t="s">
        <v>57</v>
      </c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2"/>
      <c r="M38" s="54"/>
      <c r="N38" s="93"/>
      <c r="O38" s="290" t="s">
        <v>59</v>
      </c>
      <c r="P38" s="291"/>
      <c r="Q38" s="291"/>
      <c r="R38" s="292"/>
      <c r="S38" s="94"/>
      <c r="T38" s="290" t="s">
        <v>60</v>
      </c>
      <c r="U38" s="291"/>
      <c r="V38" s="291"/>
      <c r="W38" s="291"/>
      <c r="X38" s="291"/>
      <c r="Y38" s="292"/>
      <c r="Z38" s="95"/>
      <c r="AA38" s="54"/>
    </row>
    <row r="39" spans="1:27" s="55" customFormat="1" ht="21" customHeight="1" x14ac:dyDescent="0.25">
      <c r="A39" s="56"/>
      <c r="B39" s="57"/>
      <c r="C39" s="293" t="s">
        <v>116</v>
      </c>
      <c r="D39" s="293"/>
      <c r="E39" s="293"/>
      <c r="F39" s="293"/>
      <c r="G39" s="58" t="str">
        <f>$J$1</f>
        <v>May</v>
      </c>
      <c r="H39" s="294">
        <f>$K$1</f>
        <v>2019</v>
      </c>
      <c r="I39" s="294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35000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/>
      <c r="Q41" s="101"/>
      <c r="R41" s="101" t="str">
        <f t="shared" ref="R41:R51" si="6">IF(Q41="","",R40-Q41)</f>
        <v/>
      </c>
      <c r="S41" s="105"/>
      <c r="T41" s="101" t="s">
        <v>88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95" t="s">
        <v>60</v>
      </c>
      <c r="G42" s="295"/>
      <c r="H42" s="57"/>
      <c r="I42" s="295" t="s">
        <v>61</v>
      </c>
      <c r="J42" s="295"/>
      <c r="K42" s="295"/>
      <c r="L42" s="73"/>
      <c r="M42" s="57"/>
      <c r="N42" s="100"/>
      <c r="O42" s="101" t="s">
        <v>63</v>
      </c>
      <c r="P42" s="101"/>
      <c r="Q42" s="101"/>
      <c r="R42" s="101" t="str">
        <f t="shared" si="6"/>
        <v/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/>
      <c r="Q43" s="101"/>
      <c r="R43" s="101" t="str">
        <f t="shared" si="6"/>
        <v/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96" t="s">
        <v>59</v>
      </c>
      <c r="C44" s="297"/>
      <c r="D44" s="57"/>
      <c r="E44" s="57"/>
      <c r="F44" s="75" t="s">
        <v>81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78</v>
      </c>
      <c r="K44" s="78">
        <f>K40/$K$2*I44</f>
        <v>35000</v>
      </c>
      <c r="L44" s="79"/>
      <c r="M44" s="57"/>
      <c r="N44" s="100"/>
      <c r="O44" s="101" t="s">
        <v>65</v>
      </c>
      <c r="P44" s="101"/>
      <c r="Q44" s="101"/>
      <c r="R44" s="101" t="str">
        <f t="shared" si="6"/>
        <v/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/>
      <c r="Q45" s="101"/>
      <c r="R45" s="101" t="str">
        <f t="shared" si="6"/>
        <v/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82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98" t="s">
        <v>86</v>
      </c>
      <c r="J46" s="299"/>
      <c r="K46" s="80">
        <f>K44+K45</f>
        <v>35000</v>
      </c>
      <c r="L46" s="81"/>
      <c r="M46" s="57"/>
      <c r="N46" s="100"/>
      <c r="O46" s="101" t="s">
        <v>67</v>
      </c>
      <c r="P46" s="101"/>
      <c r="Q46" s="101"/>
      <c r="R46" s="101" t="str">
        <f t="shared" si="6"/>
        <v/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98" t="s">
        <v>87</v>
      </c>
      <c r="J47" s="299"/>
      <c r="K47" s="70">
        <f>G47</f>
        <v>0</v>
      </c>
      <c r="L47" s="82"/>
      <c r="M47" s="57"/>
      <c r="N47" s="100"/>
      <c r="O47" s="101" t="s">
        <v>68</v>
      </c>
      <c r="P47" s="101"/>
      <c r="Q47" s="101"/>
      <c r="R47" s="101" t="str">
        <f t="shared" si="6"/>
        <v/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84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84" t="s">
        <v>80</v>
      </c>
      <c r="J48" s="285"/>
      <c r="K48" s="84">
        <f>K46-K47</f>
        <v>35000</v>
      </c>
      <c r="L48" s="85"/>
      <c r="M48" s="57"/>
      <c r="N48" s="100"/>
      <c r="O48" s="101" t="s">
        <v>73</v>
      </c>
      <c r="P48" s="101"/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/>
      <c r="Q49" s="101"/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86" t="s">
        <v>118</v>
      </c>
      <c r="C50" s="286"/>
      <c r="D50" s="286"/>
      <c r="E50" s="286"/>
      <c r="F50" s="286"/>
      <c r="G50" s="286"/>
      <c r="H50" s="286"/>
      <c r="I50" s="286"/>
      <c r="J50" s="286"/>
      <c r="K50" s="286"/>
      <c r="L50" s="73"/>
      <c r="M50" s="57"/>
      <c r="N50" s="100"/>
      <c r="O50" s="101" t="s">
        <v>74</v>
      </c>
      <c r="P50" s="101"/>
      <c r="Q50" s="101"/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73"/>
      <c r="M51" s="57"/>
      <c r="N51" s="100"/>
      <c r="O51" s="101" t="s">
        <v>75</v>
      </c>
      <c r="P51" s="101"/>
      <c r="Q51" s="101"/>
      <c r="R51" s="101" t="str">
        <f t="shared" si="6"/>
        <v/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09" t="s">
        <v>57</v>
      </c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1"/>
      <c r="M54" s="54"/>
      <c r="N54" s="104"/>
      <c r="O54" s="312" t="s">
        <v>59</v>
      </c>
      <c r="P54" s="313"/>
      <c r="Q54" s="313"/>
      <c r="R54" s="314"/>
      <c r="S54" s="105"/>
      <c r="T54" s="312" t="s">
        <v>60</v>
      </c>
      <c r="U54" s="313"/>
      <c r="V54" s="313"/>
      <c r="W54" s="313"/>
      <c r="X54" s="313"/>
      <c r="Y54" s="314"/>
      <c r="Z54" s="122"/>
      <c r="AA54" s="54"/>
    </row>
    <row r="55" spans="1:27" s="55" customFormat="1" ht="21" customHeight="1" x14ac:dyDescent="0.25">
      <c r="A55" s="56"/>
      <c r="B55" s="57"/>
      <c r="C55" s="293" t="s">
        <v>116</v>
      </c>
      <c r="D55" s="293"/>
      <c r="E55" s="293"/>
      <c r="F55" s="293"/>
      <c r="G55" s="58" t="str">
        <f>$J$1</f>
        <v>May</v>
      </c>
      <c r="H55" s="294">
        <f>$K$1</f>
        <v>2019</v>
      </c>
      <c r="I55" s="294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140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95" t="s">
        <v>60</v>
      </c>
      <c r="G58" s="295"/>
      <c r="H58" s="57"/>
      <c r="I58" s="295" t="s">
        <v>61</v>
      </c>
      <c r="J58" s="295"/>
      <c r="K58" s="295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>
        <f>Y56</f>
        <v>5800</v>
      </c>
      <c r="V58" s="103">
        <v>2000</v>
      </c>
      <c r="W58" s="177">
        <f t="shared" ref="W58:W67" si="10">IF(U58="","",U58+V58)</f>
        <v>7800</v>
      </c>
      <c r="X58" s="103">
        <v>2000</v>
      </c>
      <c r="Y58" s="177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>
        <f>Y58</f>
        <v>5800</v>
      </c>
      <c r="V59" s="103">
        <v>6000</v>
      </c>
      <c r="W59" s="177">
        <f>V59+U59</f>
        <v>11800</v>
      </c>
      <c r="X59" s="103">
        <v>1000</v>
      </c>
      <c r="Y59" s="177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296" t="s">
        <v>59</v>
      </c>
      <c r="C60" s="297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>
        <f>Y59</f>
        <v>10800</v>
      </c>
      <c r="V60" s="103"/>
      <c r="W60" s="177">
        <f t="shared" si="10"/>
        <v>10800</v>
      </c>
      <c r="X60" s="103">
        <v>1000</v>
      </c>
      <c r="Y60" s="177">
        <f t="shared" si="11"/>
        <v>9800</v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10800</v>
      </c>
      <c r="H62" s="74"/>
      <c r="I62" s="298" t="s">
        <v>86</v>
      </c>
      <c r="J62" s="299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/>
      <c r="W62" s="177">
        <f>V62</f>
        <v>0</v>
      </c>
      <c r="X62" s="103"/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98" t="s">
        <v>87</v>
      </c>
      <c r="J63" s="299"/>
      <c r="K63" s="70">
        <f>X59</f>
        <v>1000</v>
      </c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/>
      <c r="W63" s="177">
        <f>V63</f>
        <v>0</v>
      </c>
      <c r="X63" s="103"/>
      <c r="Y63" s="177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9800</v>
      </c>
      <c r="H64" s="57"/>
      <c r="I64" s="284" t="s">
        <v>80</v>
      </c>
      <c r="J64" s="285"/>
      <c r="K64" s="84">
        <f>K62-K63</f>
        <v>5000</v>
      </c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0</v>
      </c>
      <c r="V64" s="103"/>
      <c r="W64" s="177">
        <f t="shared" si="10"/>
        <v>0</v>
      </c>
      <c r="X64" s="103"/>
      <c r="Y64" s="177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0</v>
      </c>
      <c r="V65" s="103"/>
      <c r="W65" s="177">
        <f t="shared" si="10"/>
        <v>0</v>
      </c>
      <c r="X65" s="103"/>
      <c r="Y65" s="177">
        <f t="shared" si="11"/>
        <v>0</v>
      </c>
      <c r="Z65" s="106"/>
      <c r="AA65" s="57"/>
    </row>
    <row r="66" spans="1:27" s="55" customFormat="1" ht="21" customHeight="1" x14ac:dyDescent="0.25">
      <c r="A66" s="56"/>
      <c r="B66" s="286" t="s">
        <v>118</v>
      </c>
      <c r="C66" s="286"/>
      <c r="D66" s="286"/>
      <c r="E66" s="286"/>
      <c r="F66" s="286"/>
      <c r="G66" s="286"/>
      <c r="H66" s="286"/>
      <c r="I66" s="286"/>
      <c r="J66" s="286"/>
      <c r="K66" s="286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0</v>
      </c>
      <c r="V66" s="103"/>
      <c r="W66" s="177">
        <f t="shared" si="10"/>
        <v>0</v>
      </c>
      <c r="X66" s="103"/>
      <c r="Y66" s="177">
        <f t="shared" si="11"/>
        <v>0</v>
      </c>
      <c r="Z66" s="106"/>
      <c r="AA66" s="57"/>
    </row>
    <row r="67" spans="1:27" s="55" customFormat="1" ht="21" customHeight="1" x14ac:dyDescent="0.25">
      <c r="A67" s="5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09" t="s">
        <v>57</v>
      </c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1"/>
      <c r="M70" s="54"/>
      <c r="N70" s="104"/>
      <c r="O70" s="312" t="s">
        <v>59</v>
      </c>
      <c r="P70" s="313"/>
      <c r="Q70" s="313"/>
      <c r="R70" s="314"/>
      <c r="S70" s="105"/>
      <c r="T70" s="312" t="s">
        <v>60</v>
      </c>
      <c r="U70" s="313"/>
      <c r="V70" s="313"/>
      <c r="W70" s="313"/>
      <c r="X70" s="313"/>
      <c r="Y70" s="314"/>
      <c r="Z70" s="122"/>
      <c r="AA70" s="54"/>
    </row>
    <row r="71" spans="1:27" s="55" customFormat="1" ht="21" customHeight="1" x14ac:dyDescent="0.25">
      <c r="A71" s="56"/>
      <c r="B71" s="57"/>
      <c r="C71" s="293" t="s">
        <v>116</v>
      </c>
      <c r="D71" s="293"/>
      <c r="E71" s="293"/>
      <c r="F71" s="293"/>
      <c r="G71" s="58" t="str">
        <f>$J$1</f>
        <v>May</v>
      </c>
      <c r="H71" s="294">
        <f>$K$1</f>
        <v>2019</v>
      </c>
      <c r="I71" s="294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95" t="s">
        <v>60</v>
      </c>
      <c r="G74" s="295"/>
      <c r="H74" s="57"/>
      <c r="I74" s="295" t="s">
        <v>61</v>
      </c>
      <c r="J74" s="295"/>
      <c r="K74" s="295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96" t="s">
        <v>59</v>
      </c>
      <c r="C76" s="297"/>
      <c r="D76" s="57"/>
      <c r="E76" s="57"/>
      <c r="F76" s="75" t="s">
        <v>81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98" t="s">
        <v>86</v>
      </c>
      <c r="J78" s="299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98" t="s">
        <v>87</v>
      </c>
      <c r="J79" s="299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84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84" t="s">
        <v>80</v>
      </c>
      <c r="J80" s="285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86" t="s">
        <v>118</v>
      </c>
      <c r="C82" s="286"/>
      <c r="D82" s="286"/>
      <c r="E82" s="286"/>
      <c r="F82" s="286"/>
      <c r="G82" s="286"/>
      <c r="H82" s="286"/>
      <c r="I82" s="286"/>
      <c r="J82" s="286"/>
      <c r="K82" s="286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00" t="s">
        <v>57</v>
      </c>
      <c r="B86" s="301"/>
      <c r="C86" s="301"/>
      <c r="D86" s="301"/>
      <c r="E86" s="301"/>
      <c r="F86" s="301"/>
      <c r="G86" s="301"/>
      <c r="H86" s="301"/>
      <c r="I86" s="301"/>
      <c r="J86" s="301"/>
      <c r="K86" s="301"/>
      <c r="L86" s="302"/>
      <c r="M86" s="54"/>
      <c r="N86" s="93"/>
      <c r="O86" s="290" t="s">
        <v>59</v>
      </c>
      <c r="P86" s="291"/>
      <c r="Q86" s="291"/>
      <c r="R86" s="292"/>
      <c r="S86" s="94"/>
      <c r="T86" s="290" t="s">
        <v>60</v>
      </c>
      <c r="U86" s="291"/>
      <c r="V86" s="291"/>
      <c r="W86" s="291"/>
      <c r="X86" s="291"/>
      <c r="Y86" s="292"/>
      <c r="Z86" s="95"/>
      <c r="AA86" s="54"/>
    </row>
    <row r="87" spans="1:27" s="55" customFormat="1" ht="21" customHeight="1" x14ac:dyDescent="0.25">
      <c r="A87" s="56"/>
      <c r="B87" s="57"/>
      <c r="C87" s="293" t="s">
        <v>116</v>
      </c>
      <c r="D87" s="293"/>
      <c r="E87" s="293"/>
      <c r="F87" s="293"/>
      <c r="G87" s="58" t="str">
        <f>$J$1</f>
        <v>May</v>
      </c>
      <c r="H87" s="294">
        <f>$K$1</f>
        <v>2019</v>
      </c>
      <c r="I87" s="294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95" t="s">
        <v>60</v>
      </c>
      <c r="G90" s="295"/>
      <c r="H90" s="57"/>
      <c r="I90" s="295" t="s">
        <v>61</v>
      </c>
      <c r="J90" s="295"/>
      <c r="K90" s="295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96" t="s">
        <v>59</v>
      </c>
      <c r="C92" s="297"/>
      <c r="D92" s="57"/>
      <c r="E92" s="57"/>
      <c r="F92" s="75" t="s">
        <v>81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98" t="s">
        <v>86</v>
      </c>
      <c r="J94" s="299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98" t="s">
        <v>87</v>
      </c>
      <c r="J95" s="299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84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84" t="s">
        <v>80</v>
      </c>
      <c r="J96" s="285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86" t="s">
        <v>118</v>
      </c>
      <c r="C98" s="286"/>
      <c r="D98" s="286"/>
      <c r="E98" s="286"/>
      <c r="F98" s="286"/>
      <c r="G98" s="286"/>
      <c r="H98" s="286"/>
      <c r="I98" s="286"/>
      <c r="J98" s="286"/>
      <c r="K98" s="286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00" t="s">
        <v>57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2"/>
      <c r="M102" s="54"/>
      <c r="N102" s="93"/>
      <c r="O102" s="290" t="s">
        <v>59</v>
      </c>
      <c r="P102" s="291"/>
      <c r="Q102" s="291"/>
      <c r="R102" s="292"/>
      <c r="S102" s="94"/>
      <c r="T102" s="290" t="s">
        <v>60</v>
      </c>
      <c r="U102" s="291"/>
      <c r="V102" s="291"/>
      <c r="W102" s="291"/>
      <c r="X102" s="291"/>
      <c r="Y102" s="292"/>
      <c r="Z102" s="95"/>
      <c r="AA102" s="54"/>
    </row>
    <row r="103" spans="1:27" s="55" customFormat="1" ht="21" customHeight="1" x14ac:dyDescent="0.25">
      <c r="A103" s="56"/>
      <c r="B103" s="57"/>
      <c r="C103" s="293" t="s">
        <v>116</v>
      </c>
      <c r="D103" s="293"/>
      <c r="E103" s="293"/>
      <c r="F103" s="293"/>
      <c r="G103" s="58" t="str">
        <f>$J$1</f>
        <v>May</v>
      </c>
      <c r="H103" s="294">
        <f>$K$1</f>
        <v>2019</v>
      </c>
      <c r="I103" s="294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95" t="s">
        <v>60</v>
      </c>
      <c r="G106" s="295"/>
      <c r="H106" s="57"/>
      <c r="I106" s="295" t="s">
        <v>61</v>
      </c>
      <c r="J106" s="295"/>
      <c r="K106" s="295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96" t="s">
        <v>59</v>
      </c>
      <c r="C108" s="297"/>
      <c r="D108" s="57"/>
      <c r="E108" s="57"/>
      <c r="F108" s="75" t="s">
        <v>81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98" t="s">
        <v>86</v>
      </c>
      <c r="J110" s="299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98" t="s">
        <v>87</v>
      </c>
      <c r="J111" s="299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84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84" t="s">
        <v>80</v>
      </c>
      <c r="J112" s="285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86" t="s">
        <v>118</v>
      </c>
      <c r="C114" s="286"/>
      <c r="D114" s="286"/>
      <c r="E114" s="286"/>
      <c r="F114" s="286"/>
      <c r="G114" s="286"/>
      <c r="H114" s="286"/>
      <c r="I114" s="286"/>
      <c r="J114" s="286"/>
      <c r="K114" s="286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00" t="s">
        <v>57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2"/>
      <c r="M118" s="54"/>
      <c r="N118" s="93"/>
      <c r="O118" s="290" t="s">
        <v>59</v>
      </c>
      <c r="P118" s="291"/>
      <c r="Q118" s="291"/>
      <c r="R118" s="292"/>
      <c r="S118" s="94"/>
      <c r="T118" s="290" t="s">
        <v>60</v>
      </c>
      <c r="U118" s="291"/>
      <c r="V118" s="291"/>
      <c r="W118" s="291"/>
      <c r="X118" s="291"/>
      <c r="Y118" s="292"/>
      <c r="Z118" s="95"/>
      <c r="AA118" s="54"/>
    </row>
    <row r="119" spans="1:27" s="55" customFormat="1" ht="21" customHeight="1" x14ac:dyDescent="0.25">
      <c r="A119" s="56"/>
      <c r="B119" s="57"/>
      <c r="C119" s="293" t="s">
        <v>116</v>
      </c>
      <c r="D119" s="293"/>
      <c r="E119" s="293"/>
      <c r="F119" s="293"/>
      <c r="G119" s="58" t="str">
        <f>$J$1</f>
        <v>May</v>
      </c>
      <c r="H119" s="294">
        <f>$K$1</f>
        <v>2019</v>
      </c>
      <c r="I119" s="294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/>
      <c r="Q121" s="101"/>
      <c r="R121" s="101"/>
      <c r="S121" s="105"/>
      <c r="T121" s="101" t="s">
        <v>88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95" t="s">
        <v>60</v>
      </c>
      <c r="G122" s="295"/>
      <c r="H122" s="57"/>
      <c r="I122" s="295" t="s">
        <v>61</v>
      </c>
      <c r="J122" s="295"/>
      <c r="K122" s="295"/>
      <c r="L122" s="73"/>
      <c r="M122" s="57"/>
      <c r="N122" s="100"/>
      <c r="O122" s="101" t="s">
        <v>63</v>
      </c>
      <c r="P122" s="101"/>
      <c r="Q122" s="101"/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/>
      <c r="Q123" s="101"/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96" t="s">
        <v>59</v>
      </c>
      <c r="C124" s="297"/>
      <c r="D124" s="57"/>
      <c r="E124" s="57"/>
      <c r="F124" s="75" t="s">
        <v>81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98" t="s">
        <v>86</v>
      </c>
      <c r="J126" s="299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98" t="s">
        <v>87</v>
      </c>
      <c r="J127" s="299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7"/>
      <c r="E128" s="57"/>
      <c r="F128" s="75" t="s">
        <v>84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84" t="s">
        <v>80</v>
      </c>
      <c r="J128" s="285"/>
      <c r="K128" s="84"/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86" t="s">
        <v>118</v>
      </c>
      <c r="C130" s="286"/>
      <c r="D130" s="286"/>
      <c r="E130" s="286"/>
      <c r="F130" s="286"/>
      <c r="G130" s="286"/>
      <c r="H130" s="286"/>
      <c r="I130" s="286"/>
      <c r="J130" s="286"/>
      <c r="K130" s="286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00" t="s">
        <v>57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2"/>
      <c r="M134" s="54"/>
      <c r="N134" s="93"/>
      <c r="O134" s="290" t="s">
        <v>59</v>
      </c>
      <c r="P134" s="291"/>
      <c r="Q134" s="291"/>
      <c r="R134" s="292"/>
      <c r="S134" s="94"/>
      <c r="T134" s="290" t="s">
        <v>60</v>
      </c>
      <c r="U134" s="291"/>
      <c r="V134" s="291"/>
      <c r="W134" s="291"/>
      <c r="X134" s="291"/>
      <c r="Y134" s="292"/>
      <c r="Z134" s="95"/>
      <c r="AA134" s="54"/>
    </row>
    <row r="135" spans="1:27" s="55" customFormat="1" ht="21" customHeight="1" x14ac:dyDescent="0.25">
      <c r="A135" s="56"/>
      <c r="B135" s="57"/>
      <c r="C135" s="293" t="s">
        <v>116</v>
      </c>
      <c r="D135" s="293"/>
      <c r="E135" s="293"/>
      <c r="F135" s="293"/>
      <c r="G135" s="58" t="str">
        <f>$J$1</f>
        <v>May</v>
      </c>
      <c r="H135" s="294">
        <f>$K$1</f>
        <v>2019</v>
      </c>
      <c r="I135" s="294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62</v>
      </c>
      <c r="P136" s="101">
        <v>4</v>
      </c>
      <c r="Q136" s="101"/>
      <c r="R136" s="101">
        <v>0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0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95" t="s">
        <v>60</v>
      </c>
      <c r="G138" s="295"/>
      <c r="H138" s="57"/>
      <c r="I138" s="295" t="s">
        <v>61</v>
      </c>
      <c r="J138" s="295"/>
      <c r="K138" s="295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96" t="s">
        <v>59</v>
      </c>
      <c r="C140" s="297"/>
      <c r="D140" s="57"/>
      <c r="E140" s="57"/>
      <c r="F140" s="75" t="s">
        <v>81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0</v>
      </c>
      <c r="J140" s="77" t="s">
        <v>78</v>
      </c>
      <c r="K140" s="78">
        <f>K136/$K$2*I140</f>
        <v>0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79</v>
      </c>
      <c r="K141" s="80">
        <f>K136/$K$2/7*I141</f>
        <v>0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82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98" t="s">
        <v>86</v>
      </c>
      <c r="J142" s="299"/>
      <c r="K142" s="80">
        <f>K140+K141</f>
        <v>0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98" t="s">
        <v>87</v>
      </c>
      <c r="J143" s="299"/>
      <c r="K143" s="70">
        <f>G143</f>
        <v>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84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84" t="s">
        <v>80</v>
      </c>
      <c r="J144" s="285"/>
      <c r="K144" s="84">
        <f>K142-K143</f>
        <v>0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86" t="s">
        <v>118</v>
      </c>
      <c r="C146" s="286"/>
      <c r="D146" s="286"/>
      <c r="E146" s="286"/>
      <c r="F146" s="286"/>
      <c r="G146" s="286"/>
      <c r="H146" s="286"/>
      <c r="I146" s="286"/>
      <c r="J146" s="286"/>
      <c r="K146" s="286"/>
      <c r="L146" s="73"/>
      <c r="M146" s="57"/>
      <c r="N146" s="100"/>
      <c r="O146" s="101" t="s">
        <v>74</v>
      </c>
      <c r="P146" s="101"/>
      <c r="Q146" s="101"/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/>
      <c r="W146" s="177"/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73"/>
      <c r="M147" s="57"/>
      <c r="N147" s="100"/>
      <c r="O147" s="101" t="s">
        <v>75</v>
      </c>
      <c r="P147" s="101"/>
      <c r="Q147" s="101"/>
      <c r="R147" s="101" t="str">
        <f>IF(Q147="","",R146-Q147)</f>
        <v/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300" t="s">
        <v>57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2"/>
      <c r="M150" s="54"/>
      <c r="N150" s="93"/>
      <c r="O150" s="290" t="s">
        <v>59</v>
      </c>
      <c r="P150" s="291"/>
      <c r="Q150" s="291"/>
      <c r="R150" s="292"/>
      <c r="S150" s="94"/>
      <c r="T150" s="290" t="s">
        <v>60</v>
      </c>
      <c r="U150" s="291"/>
      <c r="V150" s="291"/>
      <c r="W150" s="291"/>
      <c r="X150" s="291"/>
      <c r="Y150" s="292"/>
      <c r="Z150" s="92"/>
    </row>
    <row r="151" spans="1:27" s="55" customFormat="1" ht="21" customHeight="1" x14ac:dyDescent="0.25">
      <c r="A151" s="56"/>
      <c r="B151" s="57"/>
      <c r="C151" s="293" t="s">
        <v>116</v>
      </c>
      <c r="D151" s="293"/>
      <c r="E151" s="293"/>
      <c r="F151" s="293"/>
      <c r="G151" s="58" t="str">
        <f>$J$1</f>
        <v>May</v>
      </c>
      <c r="H151" s="294">
        <f>$K$1</f>
        <v>2019</v>
      </c>
      <c r="I151" s="294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1400</v>
      </c>
      <c r="L152" s="65"/>
      <c r="M152" s="57"/>
      <c r="N152" s="100"/>
      <c r="O152" s="101" t="s">
        <v>62</v>
      </c>
      <c r="P152" s="101"/>
      <c r="Q152" s="101"/>
      <c r="R152" s="101">
        <v>0</v>
      </c>
      <c r="S152" s="102"/>
      <c r="T152" s="101" t="s">
        <v>62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181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>
        <v>4</v>
      </c>
      <c r="Q153" s="101"/>
      <c r="R153" s="101">
        <v>0</v>
      </c>
      <c r="S153" s="105"/>
      <c r="T153" s="101" t="s">
        <v>88</v>
      </c>
      <c r="U153" s="177">
        <f>IF($J$1="April",Y152,Y152)</f>
        <v>0</v>
      </c>
      <c r="V153" s="103"/>
      <c r="W153" s="103">
        <f>V153+U153</f>
        <v>0</v>
      </c>
      <c r="X153" s="103"/>
      <c r="Y153" s="177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95" t="s">
        <v>60</v>
      </c>
      <c r="G154" s="295"/>
      <c r="H154" s="57"/>
      <c r="I154" s="295" t="s">
        <v>61</v>
      </c>
      <c r="J154" s="295"/>
      <c r="K154" s="295"/>
      <c r="L154" s="73"/>
      <c r="M154" s="57"/>
      <c r="N154" s="100"/>
      <c r="O154" s="101" t="s">
        <v>63</v>
      </c>
      <c r="P154" s="101"/>
      <c r="Q154" s="101"/>
      <c r="R154" s="101" t="str">
        <f>IF(Q154="","",R153-Q154)</f>
        <v/>
      </c>
      <c r="S154" s="105"/>
      <c r="T154" s="101" t="s">
        <v>63</v>
      </c>
      <c r="U154" s="177">
        <f>IF($J$1="April",Y153,Y153)</f>
        <v>0</v>
      </c>
      <c r="V154" s="103">
        <v>20000</v>
      </c>
      <c r="W154" s="103">
        <f>V154+U154</f>
        <v>20000</v>
      </c>
      <c r="X154" s="103">
        <v>20000</v>
      </c>
      <c r="Y154" s="177">
        <f t="shared" ref="Y154:Y163" si="26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>
        <v>25</v>
      </c>
      <c r="Q155" s="101">
        <v>5</v>
      </c>
      <c r="R155" s="101">
        <v>0</v>
      </c>
      <c r="S155" s="105"/>
      <c r="T155" s="101" t="s">
        <v>64</v>
      </c>
      <c r="U155" s="177">
        <f>IF($J$1="April",Y154,Y154)</f>
        <v>0</v>
      </c>
      <c r="V155" s="103">
        <f>15000+2000</f>
        <v>17000</v>
      </c>
      <c r="W155" s="103">
        <f>V155+U155</f>
        <v>17000</v>
      </c>
      <c r="X155" s="103">
        <v>17000</v>
      </c>
      <c r="Y155" s="177">
        <f t="shared" si="26"/>
        <v>0</v>
      </c>
      <c r="Z155" s="92"/>
    </row>
    <row r="156" spans="1:27" s="55" customFormat="1" ht="21" customHeight="1" x14ac:dyDescent="0.25">
      <c r="A156" s="56"/>
      <c r="B156" s="296" t="s">
        <v>59</v>
      </c>
      <c r="C156" s="297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f>IF(C160&gt;0,$K$2,C158)</f>
        <v>25</v>
      </c>
      <c r="J156" s="77" t="s">
        <v>78</v>
      </c>
      <c r="K156" s="78">
        <f>K152*I156</f>
        <v>35000</v>
      </c>
      <c r="L156" s="79"/>
      <c r="M156" s="57"/>
      <c r="N156" s="100"/>
      <c r="O156" s="101" t="s">
        <v>65</v>
      </c>
      <c r="P156" s="101">
        <v>25</v>
      </c>
      <c r="Q156" s="101"/>
      <c r="R156" s="101">
        <v>0</v>
      </c>
      <c r="S156" s="105"/>
      <c r="T156" s="101" t="s">
        <v>65</v>
      </c>
      <c r="U156" s="177">
        <f>IF($J$1="May",Y155,Y155)</f>
        <v>0</v>
      </c>
      <c r="V156" s="103">
        <v>10000</v>
      </c>
      <c r="W156" s="177">
        <f>V156</f>
        <v>10000</v>
      </c>
      <c r="X156" s="103">
        <v>10000</v>
      </c>
      <c r="Y156" s="177">
        <f t="shared" si="26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10000</v>
      </c>
      <c r="H157" s="74"/>
      <c r="I157" s="120">
        <v>35</v>
      </c>
      <c r="J157" s="77" t="s">
        <v>79</v>
      </c>
      <c r="K157" s="80">
        <f>K152/8*I157</f>
        <v>6125</v>
      </c>
      <c r="L157" s="81"/>
      <c r="M157" s="57"/>
      <c r="N157" s="100"/>
      <c r="O157" s="101" t="s">
        <v>66</v>
      </c>
      <c r="P157" s="101"/>
      <c r="Q157" s="101"/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ref="W157:W163" si="27">IF(U157="","",U157+V157)</f>
        <v/>
      </c>
      <c r="X157" s="103"/>
      <c r="Y157" s="177" t="str">
        <f t="shared" si="26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25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10000</v>
      </c>
      <c r="H158" s="74"/>
      <c r="I158" s="298" t="s">
        <v>86</v>
      </c>
      <c r="J158" s="299"/>
      <c r="K158" s="80">
        <f>K156+K157</f>
        <v>41125</v>
      </c>
      <c r="L158" s="81"/>
      <c r="M158" s="57"/>
      <c r="N158" s="100"/>
      <c r="O158" s="101" t="s">
        <v>67</v>
      </c>
      <c r="P158" s="101"/>
      <c r="Q158" s="101"/>
      <c r="R158" s="101">
        <v>0</v>
      </c>
      <c r="S158" s="105"/>
      <c r="T158" s="101" t="s">
        <v>67</v>
      </c>
      <c r="U158" s="177" t="str">
        <f>IF($J$1="July",Y157,"")</f>
        <v/>
      </c>
      <c r="V158" s="103"/>
      <c r="W158" s="177">
        <f>V158</f>
        <v>0</v>
      </c>
      <c r="X158" s="103"/>
      <c r="Y158" s="177">
        <f t="shared" si="26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10000</v>
      </c>
      <c r="H159" s="74"/>
      <c r="I159" s="298" t="s">
        <v>87</v>
      </c>
      <c r="J159" s="299"/>
      <c r="K159" s="70">
        <f>G159</f>
        <v>10000</v>
      </c>
      <c r="L159" s="82"/>
      <c r="M159" s="57"/>
      <c r="N159" s="100"/>
      <c r="O159" s="101" t="s">
        <v>68</v>
      </c>
      <c r="P159" s="101"/>
      <c r="Q159" s="101"/>
      <c r="R159" s="101">
        <v>0</v>
      </c>
      <c r="S159" s="105"/>
      <c r="T159" s="101" t="s">
        <v>68</v>
      </c>
      <c r="U159" s="177">
        <f>Y158</f>
        <v>0</v>
      </c>
      <c r="V159" s="103"/>
      <c r="W159" s="177">
        <f t="shared" si="27"/>
        <v>0</v>
      </c>
      <c r="X159" s="103"/>
      <c r="Y159" s="177">
        <f t="shared" si="26"/>
        <v>0</v>
      </c>
      <c r="Z159" s="92"/>
    </row>
    <row r="160" spans="1:27" s="55" customFormat="1" ht="21" customHeight="1" x14ac:dyDescent="0.25">
      <c r="A160" s="56"/>
      <c r="B160" s="83" t="s">
        <v>85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284" t="s">
        <v>80</v>
      </c>
      <c r="J160" s="285"/>
      <c r="K160" s="84">
        <f>K158-K159</f>
        <v>31125</v>
      </c>
      <c r="L160" s="85"/>
      <c r="M160" s="57"/>
      <c r="N160" s="100"/>
      <c r="O160" s="101" t="s">
        <v>73</v>
      </c>
      <c r="P160" s="101"/>
      <c r="Q160" s="101"/>
      <c r="R160" s="101">
        <v>0</v>
      </c>
      <c r="S160" s="105"/>
      <c r="T160" s="101" t="s">
        <v>73</v>
      </c>
      <c r="U160" s="177">
        <f t="shared" ref="U160:U163" si="28">Y159</f>
        <v>0</v>
      </c>
      <c r="V160" s="103"/>
      <c r="W160" s="177">
        <f t="shared" si="27"/>
        <v>0</v>
      </c>
      <c r="X160" s="103"/>
      <c r="Y160" s="177">
        <f t="shared" si="26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/>
      <c r="Q161" s="101"/>
      <c r="R161" s="101">
        <v>0</v>
      </c>
      <c r="S161" s="105"/>
      <c r="T161" s="101" t="s">
        <v>69</v>
      </c>
      <c r="U161" s="177">
        <f t="shared" si="28"/>
        <v>0</v>
      </c>
      <c r="V161" s="103"/>
      <c r="W161" s="177">
        <f t="shared" si="27"/>
        <v>0</v>
      </c>
      <c r="X161" s="103"/>
      <c r="Y161" s="177">
        <f t="shared" si="26"/>
        <v>0</v>
      </c>
      <c r="Z161" s="92"/>
    </row>
    <row r="162" spans="1:26" s="55" customFormat="1" ht="21" customHeight="1" x14ac:dyDescent="0.25">
      <c r="A162" s="56"/>
      <c r="B162" s="286" t="s">
        <v>118</v>
      </c>
      <c r="C162" s="286"/>
      <c r="D162" s="286"/>
      <c r="E162" s="286"/>
      <c r="F162" s="286"/>
      <c r="G162" s="286"/>
      <c r="H162" s="286"/>
      <c r="I162" s="286"/>
      <c r="J162" s="286"/>
      <c r="K162" s="286"/>
      <c r="L162" s="73"/>
      <c r="M162" s="57"/>
      <c r="N162" s="100"/>
      <c r="O162" s="101" t="s">
        <v>74</v>
      </c>
      <c r="P162" s="101"/>
      <c r="Q162" s="101"/>
      <c r="R162" s="101">
        <v>0</v>
      </c>
      <c r="S162" s="105"/>
      <c r="T162" s="101" t="s">
        <v>74</v>
      </c>
      <c r="U162" s="177">
        <f t="shared" si="28"/>
        <v>0</v>
      </c>
      <c r="V162" s="103"/>
      <c r="W162" s="177">
        <f t="shared" si="27"/>
        <v>0</v>
      </c>
      <c r="X162" s="103"/>
      <c r="Y162" s="177">
        <f t="shared" si="26"/>
        <v>0</v>
      </c>
      <c r="Z162" s="92"/>
    </row>
    <row r="163" spans="1:26" s="55" customFormat="1" ht="21" customHeight="1" x14ac:dyDescent="0.25">
      <c r="A163" s="5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73"/>
      <c r="M163" s="57"/>
      <c r="N163" s="100"/>
      <c r="O163" s="101" t="s">
        <v>75</v>
      </c>
      <c r="P163" s="101"/>
      <c r="Q163" s="101"/>
      <c r="R163" s="101" t="str">
        <f>IF(Q163="","",R162-Q163)</f>
        <v/>
      </c>
      <c r="S163" s="105"/>
      <c r="T163" s="101" t="s">
        <v>75</v>
      </c>
      <c r="U163" s="177">
        <f t="shared" si="28"/>
        <v>0</v>
      </c>
      <c r="V163" s="103"/>
      <c r="W163" s="177">
        <f t="shared" si="27"/>
        <v>0</v>
      </c>
      <c r="X163" s="103"/>
      <c r="Y163" s="177">
        <f t="shared" si="26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300" t="s">
        <v>57</v>
      </c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2"/>
      <c r="M166" s="143"/>
      <c r="N166" s="93"/>
      <c r="O166" s="290" t="s">
        <v>59</v>
      </c>
      <c r="P166" s="291"/>
      <c r="Q166" s="291"/>
      <c r="R166" s="292"/>
      <c r="S166" s="94"/>
      <c r="T166" s="290" t="s">
        <v>60</v>
      </c>
      <c r="U166" s="291"/>
      <c r="V166" s="291"/>
      <c r="W166" s="291"/>
      <c r="X166" s="291"/>
      <c r="Y166" s="292"/>
      <c r="Z166" s="92"/>
    </row>
    <row r="167" spans="1:26" s="55" customFormat="1" ht="21" customHeight="1" x14ac:dyDescent="0.25">
      <c r="A167" s="56"/>
      <c r="B167" s="57"/>
      <c r="C167" s="293" t="s">
        <v>116</v>
      </c>
      <c r="D167" s="293"/>
      <c r="E167" s="293"/>
      <c r="F167" s="293"/>
      <c r="G167" s="58" t="str">
        <f>$J$1</f>
        <v>May</v>
      </c>
      <c r="H167" s="294">
        <f>$K$1</f>
        <v>2019</v>
      </c>
      <c r="I167" s="294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95" t="s">
        <v>60</v>
      </c>
      <c r="G170" s="295"/>
      <c r="H170" s="57"/>
      <c r="I170" s="295" t="s">
        <v>61</v>
      </c>
      <c r="J170" s="295"/>
      <c r="K170" s="295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96" t="s">
        <v>59</v>
      </c>
      <c r="C172" s="297"/>
      <c r="D172" s="57"/>
      <c r="E172" s="57"/>
      <c r="F172" s="75" t="s">
        <v>81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98" t="s">
        <v>86</v>
      </c>
      <c r="J174" s="299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98" t="s">
        <v>87</v>
      </c>
      <c r="J175" s="299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84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84" t="s">
        <v>80</v>
      </c>
      <c r="J176" s="285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86" t="s">
        <v>118</v>
      </c>
      <c r="C178" s="286"/>
      <c r="D178" s="286"/>
      <c r="E178" s="286"/>
      <c r="F178" s="286"/>
      <c r="G178" s="286"/>
      <c r="H178" s="286"/>
      <c r="I178" s="286"/>
      <c r="J178" s="286"/>
      <c r="K178" s="286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300" t="s">
        <v>57</v>
      </c>
      <c r="B182" s="301"/>
      <c r="C182" s="301"/>
      <c r="D182" s="301"/>
      <c r="E182" s="301"/>
      <c r="F182" s="301"/>
      <c r="G182" s="301"/>
      <c r="H182" s="301"/>
      <c r="I182" s="301"/>
      <c r="J182" s="301"/>
      <c r="K182" s="301"/>
      <c r="L182" s="302"/>
      <c r="M182" s="143"/>
      <c r="N182" s="93"/>
      <c r="O182" s="290" t="s">
        <v>59</v>
      </c>
      <c r="P182" s="291"/>
      <c r="Q182" s="291"/>
      <c r="R182" s="292"/>
      <c r="S182" s="94"/>
      <c r="T182" s="290" t="s">
        <v>60</v>
      </c>
      <c r="U182" s="291"/>
      <c r="V182" s="291"/>
      <c r="W182" s="291"/>
      <c r="X182" s="291"/>
      <c r="Y182" s="292"/>
      <c r="Z182" s="92"/>
    </row>
    <row r="183" spans="1:26" s="55" customFormat="1" ht="21" customHeight="1" x14ac:dyDescent="0.25">
      <c r="A183" s="56"/>
      <c r="B183" s="57"/>
      <c r="C183" s="293" t="s">
        <v>116</v>
      </c>
      <c r="D183" s="293"/>
      <c r="E183" s="293"/>
      <c r="F183" s="293"/>
      <c r="G183" s="58" t="str">
        <f>$J$1</f>
        <v>May</v>
      </c>
      <c r="H183" s="294">
        <f>$K$1</f>
        <v>2019</v>
      </c>
      <c r="I183" s="294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62</v>
      </c>
      <c r="P184" s="101">
        <v>30</v>
      </c>
      <c r="Q184" s="101">
        <v>1</v>
      </c>
      <c r="R184" s="101">
        <f>15-Q184</f>
        <v>14</v>
      </c>
      <c r="S184" s="102"/>
      <c r="T184" s="101" t="s">
        <v>62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>
        <v>28</v>
      </c>
      <c r="Q185" s="101">
        <v>0</v>
      </c>
      <c r="R185" s="101">
        <f>R184-Q185</f>
        <v>14</v>
      </c>
      <c r="S185" s="105"/>
      <c r="T185" s="101" t="s">
        <v>88</v>
      </c>
      <c r="U185" s="177"/>
      <c r="V185" s="103"/>
      <c r="W185" s="177" t="str">
        <f>IF(U185="","",U185+V185)</f>
        <v/>
      </c>
      <c r="X185" s="103"/>
      <c r="Y185" s="177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95" t="s">
        <v>60</v>
      </c>
      <c r="G186" s="295"/>
      <c r="H186" s="57"/>
      <c r="I186" s="295" t="s">
        <v>61</v>
      </c>
      <c r="J186" s="295"/>
      <c r="K186" s="295"/>
      <c r="L186" s="73"/>
      <c r="M186" s="57"/>
      <c r="N186" s="100"/>
      <c r="O186" s="101" t="s">
        <v>63</v>
      </c>
      <c r="P186" s="101">
        <v>31</v>
      </c>
      <c r="Q186" s="101">
        <v>0</v>
      </c>
      <c r="R186" s="101">
        <f>R185-Q186</f>
        <v>14</v>
      </c>
      <c r="S186" s="105"/>
      <c r="T186" s="101" t="s">
        <v>63</v>
      </c>
      <c r="U186" s="177"/>
      <c r="V186" s="103"/>
      <c r="W186" s="177" t="str">
        <f t="shared" ref="W186:W195" si="32">IF(U186="","",U186+V186)</f>
        <v/>
      </c>
      <c r="X186" s="103"/>
      <c r="Y186" s="177" t="str">
        <f t="shared" ref="Y186:Y195" si="33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>
        <v>27</v>
      </c>
      <c r="Q187" s="101">
        <v>3</v>
      </c>
      <c r="R187" s="101">
        <f>R186-Q187</f>
        <v>11</v>
      </c>
      <c r="S187" s="105"/>
      <c r="T187" s="101" t="s">
        <v>64</v>
      </c>
      <c r="U187" s="177"/>
      <c r="V187" s="103"/>
      <c r="W187" s="177" t="str">
        <f t="shared" si="32"/>
        <v/>
      </c>
      <c r="X187" s="103"/>
      <c r="Y187" s="177" t="str">
        <f t="shared" si="33"/>
        <v/>
      </c>
      <c r="Z187" s="92"/>
    </row>
    <row r="188" spans="1:26" s="55" customFormat="1" ht="21" customHeight="1" x14ac:dyDescent="0.25">
      <c r="A188" s="56"/>
      <c r="B188" s="296" t="s">
        <v>59</v>
      </c>
      <c r="C188" s="297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4"/>
      <c r="I188" s="76">
        <f>IF(C192&gt;0,$K$2,C190)</f>
        <v>31</v>
      </c>
      <c r="J188" s="77" t="s">
        <v>78</v>
      </c>
      <c r="K188" s="78">
        <f>K184/$K$2*I188</f>
        <v>27500</v>
      </c>
      <c r="L188" s="79"/>
      <c r="M188" s="57"/>
      <c r="N188" s="100"/>
      <c r="O188" s="101" t="s">
        <v>65</v>
      </c>
      <c r="P188" s="101">
        <v>29</v>
      </c>
      <c r="Q188" s="101">
        <v>2</v>
      </c>
      <c r="R188" s="101">
        <f>R187-Q188</f>
        <v>9</v>
      </c>
      <c r="S188" s="105"/>
      <c r="T188" s="101" t="s">
        <v>65</v>
      </c>
      <c r="U188" s="177"/>
      <c r="V188" s="103">
        <v>3000</v>
      </c>
      <c r="W188" s="103">
        <f>V188+U188</f>
        <v>3000</v>
      </c>
      <c r="X188" s="103"/>
      <c r="Y188" s="177">
        <f t="shared" si="33"/>
        <v>3000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3000</v>
      </c>
      <c r="H189" s="74"/>
      <c r="I189" s="76">
        <v>7.2149999999999999</v>
      </c>
      <c r="J189" s="77" t="s">
        <v>79</v>
      </c>
      <c r="K189" s="80">
        <f>K184/$K$2/8*I189</f>
        <v>800.05040322580646</v>
      </c>
      <c r="L189" s="81"/>
      <c r="M189" s="57"/>
      <c r="N189" s="100"/>
      <c r="O189" s="101" t="s">
        <v>66</v>
      </c>
      <c r="P189" s="101"/>
      <c r="Q189" s="101"/>
      <c r="R189" s="101"/>
      <c r="S189" s="105"/>
      <c r="T189" s="101" t="s">
        <v>66</v>
      </c>
      <c r="U189" s="177"/>
      <c r="V189" s="103"/>
      <c r="W189" s="177" t="str">
        <f t="shared" si="32"/>
        <v/>
      </c>
      <c r="X189" s="103"/>
      <c r="Y189" s="177" t="str">
        <f t="shared" si="33"/>
        <v/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29</v>
      </c>
      <c r="D190" s="57"/>
      <c r="E190" s="57"/>
      <c r="F190" s="75" t="s">
        <v>82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3000</v>
      </c>
      <c r="H190" s="74"/>
      <c r="I190" s="298" t="s">
        <v>86</v>
      </c>
      <c r="J190" s="299"/>
      <c r="K190" s="80">
        <f>K188+K189</f>
        <v>28300.050403225807</v>
      </c>
      <c r="L190" s="81"/>
      <c r="M190" s="57"/>
      <c r="N190" s="100"/>
      <c r="O190" s="101" t="s">
        <v>67</v>
      </c>
      <c r="P190" s="101"/>
      <c r="Q190" s="101"/>
      <c r="R190" s="101"/>
      <c r="S190" s="105"/>
      <c r="T190" s="101" t="s">
        <v>67</v>
      </c>
      <c r="U190" s="177"/>
      <c r="V190" s="103"/>
      <c r="W190" s="177" t="str">
        <f t="shared" si="32"/>
        <v/>
      </c>
      <c r="X190" s="103"/>
      <c r="Y190" s="177" t="str">
        <f t="shared" si="33"/>
        <v/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2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4"/>
      <c r="I191" s="298" t="s">
        <v>87</v>
      </c>
      <c r="J191" s="299"/>
      <c r="K191" s="70">
        <f>G191</f>
        <v>0</v>
      </c>
      <c r="L191" s="82"/>
      <c r="M191" s="57"/>
      <c r="N191" s="100"/>
      <c r="O191" s="101" t="s">
        <v>68</v>
      </c>
      <c r="P191" s="101"/>
      <c r="Q191" s="101"/>
      <c r="R191" s="101"/>
      <c r="S191" s="105"/>
      <c r="T191" s="101" t="s">
        <v>68</v>
      </c>
      <c r="U191" s="177"/>
      <c r="V191" s="103"/>
      <c r="W191" s="177" t="str">
        <f t="shared" si="32"/>
        <v/>
      </c>
      <c r="X191" s="103"/>
      <c r="Y191" s="177" t="str">
        <f t="shared" si="33"/>
        <v/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9</v>
      </c>
      <c r="D192" s="57"/>
      <c r="E192" s="57"/>
      <c r="F192" s="75" t="s">
        <v>84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3000</v>
      </c>
      <c r="H192" s="57"/>
      <c r="I192" s="284" t="s">
        <v>80</v>
      </c>
      <c r="J192" s="285"/>
      <c r="K192" s="84">
        <f>K190-K191</f>
        <v>28300.050403225807</v>
      </c>
      <c r="L192" s="85"/>
      <c r="M192" s="57"/>
      <c r="N192" s="100"/>
      <c r="O192" s="101" t="s">
        <v>73</v>
      </c>
      <c r="P192" s="101"/>
      <c r="Q192" s="101"/>
      <c r="R192" s="101"/>
      <c r="S192" s="105"/>
      <c r="T192" s="101" t="s">
        <v>73</v>
      </c>
      <c r="U192" s="177"/>
      <c r="V192" s="103"/>
      <c r="W192" s="177" t="str">
        <f t="shared" si="32"/>
        <v/>
      </c>
      <c r="X192" s="103"/>
      <c r="Y192" s="177" t="str">
        <f t="shared" si="33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/>
      <c r="L193" s="73"/>
      <c r="M193" s="57"/>
      <c r="N193" s="100"/>
      <c r="O193" s="101" t="s">
        <v>69</v>
      </c>
      <c r="P193" s="101"/>
      <c r="Q193" s="101"/>
      <c r="R193" s="101"/>
      <c r="S193" s="105"/>
      <c r="T193" s="101" t="s">
        <v>69</v>
      </c>
      <c r="U193" s="177"/>
      <c r="V193" s="103"/>
      <c r="W193" s="177" t="str">
        <f t="shared" si="32"/>
        <v/>
      </c>
      <c r="X193" s="103"/>
      <c r="Y193" s="177" t="str">
        <f t="shared" si="33"/>
        <v/>
      </c>
      <c r="Z193" s="92"/>
    </row>
    <row r="194" spans="1:27" s="55" customFormat="1" ht="21" customHeight="1" x14ac:dyDescent="0.25">
      <c r="A194" s="56"/>
      <c r="B194" s="286" t="s">
        <v>118</v>
      </c>
      <c r="C194" s="286"/>
      <c r="D194" s="286"/>
      <c r="E194" s="286"/>
      <c r="F194" s="286"/>
      <c r="G194" s="286"/>
      <c r="H194" s="286"/>
      <c r="I194" s="286"/>
      <c r="J194" s="286"/>
      <c r="K194" s="286"/>
      <c r="L194" s="73"/>
      <c r="M194" s="57"/>
      <c r="N194" s="100"/>
      <c r="O194" s="101" t="s">
        <v>74</v>
      </c>
      <c r="P194" s="101"/>
      <c r="Q194" s="101"/>
      <c r="R194" s="101"/>
      <c r="S194" s="105"/>
      <c r="T194" s="101" t="s">
        <v>74</v>
      </c>
      <c r="U194" s="177"/>
      <c r="V194" s="103"/>
      <c r="W194" s="177" t="str">
        <f t="shared" si="32"/>
        <v/>
      </c>
      <c r="X194" s="103"/>
      <c r="Y194" s="177" t="str">
        <f t="shared" si="33"/>
        <v/>
      </c>
      <c r="Z194" s="92"/>
    </row>
    <row r="195" spans="1:27" s="55" customFormat="1" ht="21" customHeight="1" x14ac:dyDescent="0.25">
      <c r="A195" s="56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73"/>
      <c r="M195" s="57"/>
      <c r="N195" s="100"/>
      <c r="O195" s="101" t="s">
        <v>75</v>
      </c>
      <c r="P195" s="101"/>
      <c r="Q195" s="101"/>
      <c r="R195" s="101"/>
      <c r="S195" s="105"/>
      <c r="T195" s="101" t="s">
        <v>75</v>
      </c>
      <c r="U195" s="177"/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00" t="s">
        <v>57</v>
      </c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2"/>
      <c r="M198" s="54"/>
      <c r="N198" s="93"/>
      <c r="O198" s="290" t="s">
        <v>59</v>
      </c>
      <c r="P198" s="291"/>
      <c r="Q198" s="291"/>
      <c r="R198" s="292"/>
      <c r="S198" s="94"/>
      <c r="T198" s="290" t="s">
        <v>60</v>
      </c>
      <c r="U198" s="291"/>
      <c r="V198" s="291"/>
      <c r="W198" s="291"/>
      <c r="X198" s="291"/>
      <c r="Y198" s="292"/>
      <c r="Z198" s="95"/>
      <c r="AA198" s="54"/>
    </row>
    <row r="199" spans="1:27" s="55" customFormat="1" ht="21" customHeight="1" x14ac:dyDescent="0.25">
      <c r="A199" s="56"/>
      <c r="B199" s="57"/>
      <c r="C199" s="293" t="s">
        <v>116</v>
      </c>
      <c r="D199" s="293"/>
      <c r="E199" s="293"/>
      <c r="F199" s="293"/>
      <c r="G199" s="58" t="str">
        <f>$J$1</f>
        <v>May</v>
      </c>
      <c r="H199" s="294">
        <f>$K$1</f>
        <v>2019</v>
      </c>
      <c r="I199" s="294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>
        <v>31</v>
      </c>
      <c r="Q200" s="101">
        <v>0</v>
      </c>
      <c r="R200" s="101">
        <f>15-Q200</f>
        <v>15</v>
      </c>
      <c r="S200" s="102"/>
      <c r="T200" s="101" t="s">
        <v>62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88</v>
      </c>
      <c r="U201" s="177">
        <f>Y200</f>
        <v>2500</v>
      </c>
      <c r="V201" s="103">
        <v>1500</v>
      </c>
      <c r="W201" s="177">
        <f>IF(U201="","",U201+V201)</f>
        <v>4000</v>
      </c>
      <c r="X201" s="103">
        <v>1000</v>
      </c>
      <c r="Y201" s="177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95" t="s">
        <v>60</v>
      </c>
      <c r="G202" s="295"/>
      <c r="H202" s="57"/>
      <c r="I202" s="295" t="s">
        <v>61</v>
      </c>
      <c r="J202" s="295"/>
      <c r="K202" s="295"/>
      <c r="L202" s="73"/>
      <c r="M202" s="57"/>
      <c r="N202" s="100"/>
      <c r="O202" s="101" t="s">
        <v>63</v>
      </c>
      <c r="P202" s="101">
        <v>30</v>
      </c>
      <c r="Q202" s="101">
        <v>1</v>
      </c>
      <c r="R202" s="101">
        <f t="shared" ref="R202:R207" si="34">IF(Q202="","",R201-Q202)</f>
        <v>13</v>
      </c>
      <c r="S202" s="105"/>
      <c r="T202" s="101" t="s">
        <v>63</v>
      </c>
      <c r="U202" s="177">
        <f>Y201</f>
        <v>3000</v>
      </c>
      <c r="V202" s="103">
        <v>1000</v>
      </c>
      <c r="W202" s="177">
        <f t="shared" ref="W202:W211" si="35">IF(U202="","",U202+V202)</f>
        <v>4000</v>
      </c>
      <c r="X202" s="103">
        <v>1000</v>
      </c>
      <c r="Y202" s="177">
        <f t="shared" ref="Y202:Y211" si="36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>
        <v>30</v>
      </c>
      <c r="Q203" s="101">
        <v>0</v>
      </c>
      <c r="R203" s="101">
        <f t="shared" si="34"/>
        <v>13</v>
      </c>
      <c r="S203" s="105"/>
      <c r="T203" s="101" t="s">
        <v>64</v>
      </c>
      <c r="U203" s="177">
        <f>Y202</f>
        <v>3000</v>
      </c>
      <c r="V203" s="103">
        <v>1000</v>
      </c>
      <c r="W203" s="177">
        <f t="shared" si="35"/>
        <v>4000</v>
      </c>
      <c r="X203" s="103">
        <v>1000</v>
      </c>
      <c r="Y203" s="177">
        <f t="shared" si="36"/>
        <v>3000</v>
      </c>
      <c r="Z203" s="106"/>
      <c r="AA203" s="57"/>
    </row>
    <row r="204" spans="1:27" s="55" customFormat="1" ht="21" customHeight="1" x14ac:dyDescent="0.25">
      <c r="A204" s="56"/>
      <c r="B204" s="296" t="s">
        <v>59</v>
      </c>
      <c r="C204" s="297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76">
        <f>IF(C208&gt;0,$K$2,C206)</f>
        <v>31</v>
      </c>
      <c r="J204" s="77" t="s">
        <v>78</v>
      </c>
      <c r="K204" s="78">
        <f>K200/$K$2*I204</f>
        <v>29000</v>
      </c>
      <c r="L204" s="79"/>
      <c r="M204" s="57"/>
      <c r="N204" s="100"/>
      <c r="O204" s="101" t="s">
        <v>65</v>
      </c>
      <c r="P204" s="101">
        <v>30</v>
      </c>
      <c r="Q204" s="101">
        <v>1</v>
      </c>
      <c r="R204" s="101">
        <f t="shared" si="34"/>
        <v>12</v>
      </c>
      <c r="S204" s="105"/>
      <c r="T204" s="101" t="s">
        <v>65</v>
      </c>
      <c r="U204" s="177">
        <f>Y203</f>
        <v>3000</v>
      </c>
      <c r="V204" s="103">
        <v>3000</v>
      </c>
      <c r="W204" s="177">
        <f t="shared" si="35"/>
        <v>6000</v>
      </c>
      <c r="X204" s="103">
        <v>1000</v>
      </c>
      <c r="Y204" s="177">
        <f t="shared" si="36"/>
        <v>5000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3000</v>
      </c>
      <c r="H205" s="74"/>
      <c r="I205" s="209">
        <v>-7</v>
      </c>
      <c r="J205" s="77" t="s">
        <v>79</v>
      </c>
      <c r="K205" s="80">
        <f>K200/$K$2/8*I205</f>
        <v>-818.54838709677415</v>
      </c>
      <c r="L205" s="81"/>
      <c r="M205" s="57"/>
      <c r="N205" s="100"/>
      <c r="O205" s="101" t="s">
        <v>66</v>
      </c>
      <c r="P205" s="101"/>
      <c r="Q205" s="101"/>
      <c r="R205" s="101" t="str">
        <f t="shared" si="34"/>
        <v/>
      </c>
      <c r="S205" s="105"/>
      <c r="T205" s="101" t="s">
        <v>66</v>
      </c>
      <c r="U205" s="177"/>
      <c r="V205" s="103"/>
      <c r="W205" s="177" t="str">
        <f t="shared" si="35"/>
        <v/>
      </c>
      <c r="X205" s="103"/>
      <c r="Y205" s="177" t="str">
        <f t="shared" si="36"/>
        <v/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30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6000</v>
      </c>
      <c r="H206" s="74"/>
      <c r="I206" s="298" t="s">
        <v>86</v>
      </c>
      <c r="J206" s="299"/>
      <c r="K206" s="80">
        <f>K204+K205</f>
        <v>28181.451612903227</v>
      </c>
      <c r="L206" s="81"/>
      <c r="M206" s="57"/>
      <c r="N206" s="100"/>
      <c r="O206" s="101" t="s">
        <v>67</v>
      </c>
      <c r="P206" s="101"/>
      <c r="Q206" s="101"/>
      <c r="R206" s="101" t="str">
        <f t="shared" si="34"/>
        <v/>
      </c>
      <c r="S206" s="105"/>
      <c r="T206" s="101" t="s">
        <v>67</v>
      </c>
      <c r="U206" s="177"/>
      <c r="V206" s="103"/>
      <c r="W206" s="177" t="str">
        <f t="shared" si="35"/>
        <v/>
      </c>
      <c r="X206" s="103"/>
      <c r="Y206" s="177" t="str">
        <f t="shared" si="36"/>
        <v/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98" t="s">
        <v>87</v>
      </c>
      <c r="J207" s="299"/>
      <c r="K207" s="70">
        <f>G207</f>
        <v>1000</v>
      </c>
      <c r="L207" s="82"/>
      <c r="M207" s="57"/>
      <c r="N207" s="100"/>
      <c r="O207" s="101" t="s">
        <v>68</v>
      </c>
      <c r="P207" s="101"/>
      <c r="Q207" s="101"/>
      <c r="R207" s="101" t="str">
        <f t="shared" si="34"/>
        <v/>
      </c>
      <c r="S207" s="105"/>
      <c r="T207" s="101" t="s">
        <v>68</v>
      </c>
      <c r="U207" s="177"/>
      <c r="V207" s="103"/>
      <c r="W207" s="177" t="str">
        <f t="shared" si="35"/>
        <v/>
      </c>
      <c r="X207" s="103"/>
      <c r="Y207" s="177" t="str">
        <f t="shared" si="36"/>
        <v/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12</v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5000</v>
      </c>
      <c r="H208" s="57"/>
      <c r="I208" s="284" t="s">
        <v>80</v>
      </c>
      <c r="J208" s="285"/>
      <c r="K208" s="84">
        <f>K206-K207</f>
        <v>27181.451612903227</v>
      </c>
      <c r="L208" s="85"/>
      <c r="M208" s="57"/>
      <c r="N208" s="100"/>
      <c r="O208" s="101" t="s">
        <v>73</v>
      </c>
      <c r="P208" s="101"/>
      <c r="Q208" s="101"/>
      <c r="R208" s="101"/>
      <c r="S208" s="105"/>
      <c r="T208" s="101" t="s">
        <v>73</v>
      </c>
      <c r="U208" s="177"/>
      <c r="V208" s="103"/>
      <c r="W208" s="177" t="str">
        <f t="shared" si="35"/>
        <v/>
      </c>
      <c r="X208" s="103"/>
      <c r="Y208" s="177" t="str">
        <f t="shared" si="36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194"/>
      <c r="L209" s="73"/>
      <c r="M209" s="57"/>
      <c r="N209" s="100"/>
      <c r="O209" s="101" t="s">
        <v>69</v>
      </c>
      <c r="P209" s="101"/>
      <c r="Q209" s="101"/>
      <c r="R209" s="101"/>
      <c r="S209" s="105"/>
      <c r="T209" s="101" t="s">
        <v>69</v>
      </c>
      <c r="U209" s="177"/>
      <c r="V209" s="103"/>
      <c r="W209" s="177" t="str">
        <f t="shared" si="35"/>
        <v/>
      </c>
      <c r="X209" s="103"/>
      <c r="Y209" s="177" t="str">
        <f t="shared" si="36"/>
        <v/>
      </c>
      <c r="Z209" s="106"/>
      <c r="AA209" s="57"/>
    </row>
    <row r="210" spans="1:27" s="55" customFormat="1" ht="21" customHeight="1" x14ac:dyDescent="0.25">
      <c r="A210" s="56"/>
      <c r="B210" s="286" t="s">
        <v>118</v>
      </c>
      <c r="C210" s="286"/>
      <c r="D210" s="286"/>
      <c r="E210" s="286"/>
      <c r="F210" s="286"/>
      <c r="G210" s="286"/>
      <c r="H210" s="286"/>
      <c r="I210" s="286"/>
      <c r="J210" s="286"/>
      <c r="K210" s="286"/>
      <c r="L210" s="73"/>
      <c r="M210" s="57"/>
      <c r="N210" s="100"/>
      <c r="O210" s="101" t="s">
        <v>74</v>
      </c>
      <c r="P210" s="101"/>
      <c r="Q210" s="101"/>
      <c r="R210" s="101"/>
      <c r="S210" s="105"/>
      <c r="T210" s="101" t="s">
        <v>74</v>
      </c>
      <c r="U210" s="177"/>
      <c r="V210" s="103"/>
      <c r="W210" s="177" t="str">
        <f t="shared" si="35"/>
        <v/>
      </c>
      <c r="X210" s="103"/>
      <c r="Y210" s="177" t="str">
        <f t="shared" si="36"/>
        <v/>
      </c>
      <c r="Z210" s="106"/>
      <c r="AA210" s="57"/>
    </row>
    <row r="211" spans="1:27" s="55" customFormat="1" ht="21" customHeight="1" x14ac:dyDescent="0.25">
      <c r="A211" s="56"/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73"/>
      <c r="M211" s="57"/>
      <c r="N211" s="100"/>
      <c r="O211" s="101" t="s">
        <v>75</v>
      </c>
      <c r="P211" s="101"/>
      <c r="Q211" s="101"/>
      <c r="R211" s="101"/>
      <c r="S211" s="105"/>
      <c r="T211" s="101" t="s">
        <v>75</v>
      </c>
      <c r="U211" s="177"/>
      <c r="V211" s="103"/>
      <c r="W211" s="177" t="str">
        <f t="shared" si="35"/>
        <v/>
      </c>
      <c r="X211" s="103"/>
      <c r="Y211" s="177" t="str">
        <f t="shared" si="36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3" t="s">
        <v>57</v>
      </c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5"/>
      <c r="M214" s="54"/>
      <c r="N214" s="93"/>
      <c r="O214" s="290" t="s">
        <v>59</v>
      </c>
      <c r="P214" s="291"/>
      <c r="Q214" s="291"/>
      <c r="R214" s="292"/>
      <c r="S214" s="94"/>
      <c r="T214" s="290" t="s">
        <v>60</v>
      </c>
      <c r="U214" s="291"/>
      <c r="V214" s="291"/>
      <c r="W214" s="291"/>
      <c r="X214" s="291"/>
      <c r="Y214" s="292"/>
      <c r="Z214" s="95"/>
      <c r="AA214" s="54"/>
    </row>
    <row r="215" spans="1:27" s="55" customFormat="1" ht="21" customHeight="1" x14ac:dyDescent="0.25">
      <c r="A215" s="56"/>
      <c r="B215" s="57"/>
      <c r="C215" s="293" t="s">
        <v>116</v>
      </c>
      <c r="D215" s="293"/>
      <c r="E215" s="293"/>
      <c r="F215" s="293"/>
      <c r="G215" s="58" t="str">
        <f>$J$1</f>
        <v>May</v>
      </c>
      <c r="H215" s="294">
        <f>$K$1</f>
        <v>2019</v>
      </c>
      <c r="I215" s="294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190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/>
      <c r="V217" s="103"/>
      <c r="W217" s="103">
        <f>V217+U217</f>
        <v>0</v>
      </c>
      <c r="X217" s="103"/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95" t="s">
        <v>60</v>
      </c>
      <c r="G218" s="295"/>
      <c r="H218" s="57"/>
      <c r="I218" s="295" t="s">
        <v>61</v>
      </c>
      <c r="J218" s="295"/>
      <c r="K218" s="295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7">IF(Q218="","",R217-Q218)</f>
        <v/>
      </c>
      <c r="S218" s="105"/>
      <c r="T218" s="101" t="s">
        <v>63</v>
      </c>
      <c r="U218" s="177"/>
      <c r="V218" s="103">
        <v>15000</v>
      </c>
      <c r="W218" s="103">
        <f>V218+U218</f>
        <v>15000</v>
      </c>
      <c r="X218" s="103">
        <v>14500</v>
      </c>
      <c r="Y218" s="177">
        <f t="shared" ref="Y218:Y227" si="38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7"/>
        <v/>
      </c>
      <c r="S219" s="105"/>
      <c r="T219" s="101" t="s">
        <v>64</v>
      </c>
      <c r="U219" s="177">
        <f>Y218</f>
        <v>500</v>
      </c>
      <c r="V219" s="103"/>
      <c r="W219" s="177">
        <f t="shared" ref="W219:W227" si="39">IF(U219="","",U219+V219)</f>
        <v>500</v>
      </c>
      <c r="X219" s="103">
        <v>500</v>
      </c>
      <c r="Y219" s="177">
        <f t="shared" si="38"/>
        <v>0</v>
      </c>
      <c r="Z219" s="106"/>
      <c r="AA219" s="57"/>
    </row>
    <row r="220" spans="1:27" s="55" customFormat="1" ht="21" customHeight="1" x14ac:dyDescent="0.25">
      <c r="A220" s="56"/>
      <c r="B220" s="296" t="s">
        <v>59</v>
      </c>
      <c r="C220" s="297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31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7"/>
        <v/>
      </c>
      <c r="S220" s="105"/>
      <c r="T220" s="101" t="s">
        <v>65</v>
      </c>
      <c r="U220" s="177">
        <f>Y219</f>
        <v>0</v>
      </c>
      <c r="V220" s="103">
        <v>10000</v>
      </c>
      <c r="W220" s="177">
        <f t="shared" si="39"/>
        <v>10000</v>
      </c>
      <c r="X220" s="103">
        <v>10000</v>
      </c>
      <c r="Y220" s="177">
        <f t="shared" si="38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10000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/>
      <c r="V221" s="103"/>
      <c r="W221" s="177" t="str">
        <f t="shared" si="39"/>
        <v/>
      </c>
      <c r="X221" s="103"/>
      <c r="Y221" s="177" t="str">
        <f t="shared" si="38"/>
        <v/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10000</v>
      </c>
      <c r="H222" s="74"/>
      <c r="I222" s="298" t="s">
        <v>86</v>
      </c>
      <c r="J222" s="299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7"/>
        <v/>
      </c>
      <c r="S222" s="105"/>
      <c r="T222" s="101" t="s">
        <v>67</v>
      </c>
      <c r="U222" s="177"/>
      <c r="V222" s="103"/>
      <c r="W222" s="177" t="str">
        <f t="shared" si="39"/>
        <v/>
      </c>
      <c r="X222" s="103"/>
      <c r="Y222" s="177" t="str">
        <f t="shared" si="38"/>
        <v/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10000</v>
      </c>
      <c r="H223" s="74"/>
      <c r="I223" s="298" t="s">
        <v>87</v>
      </c>
      <c r="J223" s="299"/>
      <c r="K223" s="70">
        <f>G223</f>
        <v>10000</v>
      </c>
      <c r="L223" s="82"/>
      <c r="M223" s="57"/>
      <c r="N223" s="100"/>
      <c r="O223" s="101" t="s">
        <v>68</v>
      </c>
      <c r="P223" s="101"/>
      <c r="Q223" s="101"/>
      <c r="R223" s="101" t="str">
        <f t="shared" si="37"/>
        <v/>
      </c>
      <c r="S223" s="105"/>
      <c r="T223" s="101" t="s">
        <v>68</v>
      </c>
      <c r="U223" s="177"/>
      <c r="V223" s="103"/>
      <c r="W223" s="177" t="str">
        <f t="shared" si="39"/>
        <v/>
      </c>
      <c r="X223" s="103"/>
      <c r="Y223" s="177" t="str">
        <f t="shared" si="38"/>
        <v/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84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84" t="s">
        <v>80</v>
      </c>
      <c r="J224" s="285"/>
      <c r="K224" s="84">
        <f>K222-K223</f>
        <v>4500</v>
      </c>
      <c r="L224" s="85"/>
      <c r="M224" s="57"/>
      <c r="N224" s="100"/>
      <c r="O224" s="101" t="s">
        <v>73</v>
      </c>
      <c r="P224" s="101"/>
      <c r="Q224" s="101"/>
      <c r="R224" s="101" t="str">
        <f t="shared" si="37"/>
        <v/>
      </c>
      <c r="S224" s="105"/>
      <c r="T224" s="101" t="s">
        <v>73</v>
      </c>
      <c r="U224" s="177"/>
      <c r="V224" s="103"/>
      <c r="W224" s="177" t="str">
        <f t="shared" si="39"/>
        <v/>
      </c>
      <c r="X224" s="103"/>
      <c r="Y224" s="177" t="str">
        <f t="shared" si="38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194"/>
      <c r="L225" s="73"/>
      <c r="M225" s="57"/>
      <c r="N225" s="100"/>
      <c r="O225" s="101" t="s">
        <v>69</v>
      </c>
      <c r="P225" s="101"/>
      <c r="Q225" s="101"/>
      <c r="R225" s="101" t="str">
        <f t="shared" si="37"/>
        <v/>
      </c>
      <c r="S225" s="105"/>
      <c r="T225" s="101" t="s">
        <v>69</v>
      </c>
      <c r="U225" s="177"/>
      <c r="V225" s="103"/>
      <c r="W225" s="177" t="str">
        <f t="shared" si="39"/>
        <v/>
      </c>
      <c r="X225" s="103"/>
      <c r="Y225" s="177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86" t="s">
        <v>118</v>
      </c>
      <c r="C226" s="286"/>
      <c r="D226" s="286"/>
      <c r="E226" s="286"/>
      <c r="F226" s="286"/>
      <c r="G226" s="286"/>
      <c r="H226" s="286"/>
      <c r="I226" s="286"/>
      <c r="J226" s="286"/>
      <c r="K226" s="286"/>
      <c r="L226" s="73"/>
      <c r="M226" s="57"/>
      <c r="N226" s="100"/>
      <c r="O226" s="101" t="s">
        <v>74</v>
      </c>
      <c r="P226" s="101"/>
      <c r="Q226" s="101"/>
      <c r="R226" s="101" t="str">
        <f t="shared" si="37"/>
        <v/>
      </c>
      <c r="S226" s="105"/>
      <c r="T226" s="101" t="s">
        <v>74</v>
      </c>
      <c r="U226" s="177"/>
      <c r="V226" s="103"/>
      <c r="W226" s="177" t="str">
        <f t="shared" si="39"/>
        <v/>
      </c>
      <c r="X226" s="103"/>
      <c r="Y226" s="177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86"/>
      <c r="C227" s="286"/>
      <c r="D227" s="286"/>
      <c r="E227" s="286"/>
      <c r="F227" s="286"/>
      <c r="G227" s="286"/>
      <c r="H227" s="286"/>
      <c r="I227" s="286"/>
      <c r="J227" s="286"/>
      <c r="K227" s="286"/>
      <c r="L227" s="73"/>
      <c r="M227" s="57"/>
      <c r="N227" s="100"/>
      <c r="O227" s="101" t="s">
        <v>75</v>
      </c>
      <c r="P227" s="101"/>
      <c r="Q227" s="101"/>
      <c r="R227" s="101" t="str">
        <f t="shared" si="37"/>
        <v/>
      </c>
      <c r="S227" s="105"/>
      <c r="T227" s="101" t="s">
        <v>75</v>
      </c>
      <c r="U227" s="177"/>
      <c r="V227" s="103"/>
      <c r="W227" s="177" t="str">
        <f t="shared" si="39"/>
        <v/>
      </c>
      <c r="X227" s="103"/>
      <c r="Y227" s="177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300" t="s">
        <v>57</v>
      </c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2"/>
      <c r="M230" s="54"/>
      <c r="N230" s="93"/>
      <c r="O230" s="290" t="s">
        <v>59</v>
      </c>
      <c r="P230" s="291"/>
      <c r="Q230" s="291"/>
      <c r="R230" s="292"/>
      <c r="S230" s="94"/>
      <c r="T230" s="290" t="s">
        <v>60</v>
      </c>
      <c r="U230" s="291"/>
      <c r="V230" s="291"/>
      <c r="W230" s="291"/>
      <c r="X230" s="291"/>
      <c r="Y230" s="292"/>
      <c r="Z230" s="95"/>
      <c r="AA230" s="54"/>
    </row>
    <row r="231" spans="1:27" s="55" customFormat="1" ht="21" customHeight="1" x14ac:dyDescent="0.25">
      <c r="A231" s="56"/>
      <c r="B231" s="57"/>
      <c r="C231" s="293" t="s">
        <v>116</v>
      </c>
      <c r="D231" s="293"/>
      <c r="E231" s="293"/>
      <c r="F231" s="293"/>
      <c r="G231" s="58" t="str">
        <f>$J$1</f>
        <v>May</v>
      </c>
      <c r="H231" s="294">
        <f>$K$1</f>
        <v>2019</v>
      </c>
      <c r="I231" s="294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/>
      <c r="Q233" s="101"/>
      <c r="R233" s="101"/>
      <c r="S233" s="105"/>
      <c r="T233" s="101" t="s">
        <v>88</v>
      </c>
      <c r="U233" s="177">
        <f>Y232</f>
        <v>61500</v>
      </c>
      <c r="V233" s="103"/>
      <c r="W233" s="177">
        <f>IF(U233="","",U233+V233)</f>
        <v>61500</v>
      </c>
      <c r="X233" s="103">
        <v>30000</v>
      </c>
      <c r="Y233" s="177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95" t="s">
        <v>60</v>
      </c>
      <c r="G234" s="295"/>
      <c r="H234" s="57"/>
      <c r="I234" s="295" t="s">
        <v>61</v>
      </c>
      <c r="J234" s="295"/>
      <c r="K234" s="295"/>
      <c r="L234" s="73"/>
      <c r="M234" s="57"/>
      <c r="N234" s="100"/>
      <c r="O234" s="101" t="s">
        <v>63</v>
      </c>
      <c r="P234" s="101">
        <v>31</v>
      </c>
      <c r="Q234" s="101">
        <v>0</v>
      </c>
      <c r="R234" s="101">
        <v>15</v>
      </c>
      <c r="S234" s="105"/>
      <c r="T234" s="101" t="s">
        <v>63</v>
      </c>
      <c r="U234" s="177" t="str">
        <f>IF($J$1="March",Y233,"")</f>
        <v/>
      </c>
      <c r="V234" s="103"/>
      <c r="W234" s="177" t="str">
        <f t="shared" ref="W234:W243" si="40">IF(U234="","",U234+V234)</f>
        <v/>
      </c>
      <c r="X234" s="103">
        <v>31500</v>
      </c>
      <c r="Y234" s="177" t="str">
        <f t="shared" ref="Y234:Y243" si="41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>
        <v>30</v>
      </c>
      <c r="Q235" s="101">
        <v>0</v>
      </c>
      <c r="R235" s="101">
        <v>15</v>
      </c>
      <c r="S235" s="105"/>
      <c r="T235" s="101" t="s">
        <v>64</v>
      </c>
      <c r="U235" s="177"/>
      <c r="V235" s="103"/>
      <c r="W235" s="177" t="str">
        <f t="shared" si="40"/>
        <v/>
      </c>
      <c r="X235" s="103"/>
      <c r="Y235" s="177" t="str">
        <f t="shared" si="41"/>
        <v/>
      </c>
      <c r="Z235" s="106"/>
      <c r="AA235" s="57"/>
    </row>
    <row r="236" spans="1:27" s="55" customFormat="1" ht="21" customHeight="1" x14ac:dyDescent="0.25">
      <c r="A236" s="56"/>
      <c r="B236" s="296" t="s">
        <v>59</v>
      </c>
      <c r="C236" s="297"/>
      <c r="D236" s="57"/>
      <c r="E236" s="57"/>
      <c r="F236" s="75" t="s">
        <v>81</v>
      </c>
      <c r="G236" s="197" t="str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/>
      </c>
      <c r="H236" s="74"/>
      <c r="I236" s="76">
        <f>IF(C240&gt;=C239,$K$2,C238+C240)</f>
        <v>31</v>
      </c>
      <c r="J236" s="77" t="s">
        <v>78</v>
      </c>
      <c r="K236" s="78">
        <f>K232/$K$2*I236</f>
        <v>35000</v>
      </c>
      <c r="L236" s="79"/>
      <c r="M236" s="57"/>
      <c r="N236" s="100"/>
      <c r="O236" s="101" t="s">
        <v>65</v>
      </c>
      <c r="P236" s="101">
        <v>28</v>
      </c>
      <c r="Q236" s="101">
        <v>3</v>
      </c>
      <c r="R236" s="101">
        <f>R235-Q236</f>
        <v>12</v>
      </c>
      <c r="S236" s="105"/>
      <c r="T236" s="101" t="s">
        <v>65</v>
      </c>
      <c r="U236" s="177" t="str">
        <f>Y235</f>
        <v/>
      </c>
      <c r="V236" s="103"/>
      <c r="W236" s="177" t="str">
        <f t="shared" si="40"/>
        <v/>
      </c>
      <c r="X236" s="103"/>
      <c r="Y236" s="177" t="str">
        <f t="shared" si="41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197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/>
      <c r="Q237" s="101"/>
      <c r="R237" s="101"/>
      <c r="S237" s="105"/>
      <c r="T237" s="101" t="s">
        <v>66</v>
      </c>
      <c r="U237" s="177"/>
      <c r="V237" s="103"/>
      <c r="W237" s="177" t="str">
        <f t="shared" si="40"/>
        <v/>
      </c>
      <c r="X237" s="103"/>
      <c r="Y237" s="177" t="str">
        <f t="shared" si="41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28</v>
      </c>
      <c r="D238" s="57"/>
      <c r="E238" s="57"/>
      <c r="F238" s="75" t="s">
        <v>82</v>
      </c>
      <c r="G238" s="197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298" t="s">
        <v>86</v>
      </c>
      <c r="J238" s="299"/>
      <c r="K238" s="80">
        <f>K236+K237</f>
        <v>35000</v>
      </c>
      <c r="L238" s="81"/>
      <c r="M238" s="57"/>
      <c r="N238" s="100"/>
      <c r="O238" s="101" t="s">
        <v>67</v>
      </c>
      <c r="P238" s="101"/>
      <c r="Q238" s="101"/>
      <c r="R238" s="101"/>
      <c r="S238" s="105"/>
      <c r="T238" s="101" t="s">
        <v>67</v>
      </c>
      <c r="U238" s="177"/>
      <c r="V238" s="103"/>
      <c r="W238" s="177" t="str">
        <f t="shared" si="40"/>
        <v/>
      </c>
      <c r="X238" s="103"/>
      <c r="Y238" s="177" t="str">
        <f t="shared" si="41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3</v>
      </c>
      <c r="D239" s="57"/>
      <c r="E239" s="57"/>
      <c r="F239" s="75" t="s">
        <v>31</v>
      </c>
      <c r="G239" s="197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298" t="s">
        <v>87</v>
      </c>
      <c r="J239" s="299"/>
      <c r="K239" s="70">
        <f>G239</f>
        <v>0</v>
      </c>
      <c r="L239" s="82"/>
      <c r="M239" s="57"/>
      <c r="N239" s="100"/>
      <c r="O239" s="101" t="s">
        <v>68</v>
      </c>
      <c r="P239" s="101"/>
      <c r="Q239" s="101"/>
      <c r="R239" s="101"/>
      <c r="S239" s="105"/>
      <c r="T239" s="101" t="s">
        <v>68</v>
      </c>
      <c r="U239" s="177"/>
      <c r="V239" s="103"/>
      <c r="W239" s="177" t="str">
        <f t="shared" si="40"/>
        <v/>
      </c>
      <c r="X239" s="103"/>
      <c r="Y239" s="177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12</v>
      </c>
      <c r="D240" s="57"/>
      <c r="E240" s="57"/>
      <c r="F240" s="75" t="s">
        <v>84</v>
      </c>
      <c r="G240" s="197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284" t="s">
        <v>80</v>
      </c>
      <c r="J240" s="285"/>
      <c r="K240" s="84">
        <f>K238-K239</f>
        <v>35000</v>
      </c>
      <c r="L240" s="85"/>
      <c r="M240" s="57"/>
      <c r="N240" s="100"/>
      <c r="O240" s="101" t="s">
        <v>73</v>
      </c>
      <c r="P240" s="101"/>
      <c r="Q240" s="101"/>
      <c r="R240" s="101"/>
      <c r="S240" s="105"/>
      <c r="T240" s="101" t="s">
        <v>73</v>
      </c>
      <c r="U240" s="177"/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/>
      <c r="Q241" s="101"/>
      <c r="R241" s="101"/>
      <c r="S241" s="105"/>
      <c r="T241" s="101" t="s">
        <v>69</v>
      </c>
      <c r="U241" s="177"/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86" t="s">
        <v>118</v>
      </c>
      <c r="C242" s="286"/>
      <c r="D242" s="286"/>
      <c r="E242" s="286"/>
      <c r="F242" s="286"/>
      <c r="G242" s="286"/>
      <c r="H242" s="286"/>
      <c r="I242" s="286"/>
      <c r="J242" s="286"/>
      <c r="K242" s="286"/>
      <c r="L242" s="73"/>
      <c r="M242" s="57"/>
      <c r="N242" s="100"/>
      <c r="O242" s="101" t="s">
        <v>74</v>
      </c>
      <c r="P242" s="101"/>
      <c r="Q242" s="101"/>
      <c r="R242" s="101"/>
      <c r="S242" s="105"/>
      <c r="T242" s="101" t="s">
        <v>74</v>
      </c>
      <c r="U242" s="177"/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73"/>
      <c r="M243" s="57"/>
      <c r="N243" s="100"/>
      <c r="O243" s="101" t="s">
        <v>75</v>
      </c>
      <c r="P243" s="101"/>
      <c r="Q243" s="101"/>
      <c r="R243" s="101"/>
      <c r="S243" s="105"/>
      <c r="T243" s="101" t="s">
        <v>75</v>
      </c>
      <c r="U243" s="177"/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315" t="s">
        <v>57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54"/>
      <c r="N246" s="93"/>
      <c r="O246" s="290" t="s">
        <v>59</v>
      </c>
      <c r="P246" s="291"/>
      <c r="Q246" s="291"/>
      <c r="R246" s="292"/>
      <c r="S246" s="94"/>
      <c r="T246" s="290" t="s">
        <v>60</v>
      </c>
      <c r="U246" s="291"/>
      <c r="V246" s="291"/>
      <c r="W246" s="291"/>
      <c r="X246" s="291"/>
      <c r="Y246" s="292"/>
      <c r="Z246" s="95"/>
      <c r="AA246" s="54"/>
    </row>
    <row r="247" spans="1:27" s="55" customFormat="1" ht="21" customHeight="1" x14ac:dyDescent="0.25">
      <c r="A247" s="56"/>
      <c r="B247" s="57"/>
      <c r="C247" s="293" t="s">
        <v>116</v>
      </c>
      <c r="D247" s="293"/>
      <c r="E247" s="293"/>
      <c r="F247" s="293"/>
      <c r="G247" s="58" t="str">
        <f>$J$1</f>
        <v>May</v>
      </c>
      <c r="H247" s="294">
        <f>$K$1</f>
        <v>2019</v>
      </c>
      <c r="I247" s="294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2">IF(Q249="","",R248-Q249)</f>
        <v/>
      </c>
      <c r="S249" s="105"/>
      <c r="T249" s="101" t="s">
        <v>88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95" t="s">
        <v>60</v>
      </c>
      <c r="G250" s="295"/>
      <c r="H250" s="57"/>
      <c r="I250" s="295" t="s">
        <v>61</v>
      </c>
      <c r="J250" s="295"/>
      <c r="K250" s="295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2"/>
        <v/>
      </c>
      <c r="S251" s="105"/>
      <c r="T251" s="101" t="s">
        <v>64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96" t="s">
        <v>59</v>
      </c>
      <c r="C252" s="297"/>
      <c r="D252" s="57"/>
      <c r="E252" s="57"/>
      <c r="F252" s="75" t="s">
        <v>81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2"/>
        <v/>
      </c>
      <c r="S252" s="105"/>
      <c r="T252" s="101" t="s">
        <v>65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2"/>
        <v/>
      </c>
      <c r="S253" s="105"/>
      <c r="T253" s="101" t="s">
        <v>66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98" t="s">
        <v>86</v>
      </c>
      <c r="J254" s="299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98" t="s">
        <v>87</v>
      </c>
      <c r="J255" s="299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2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84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84" t="s">
        <v>80</v>
      </c>
      <c r="J256" s="285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2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86" t="s">
        <v>118</v>
      </c>
      <c r="C258" s="286"/>
      <c r="D258" s="286"/>
      <c r="E258" s="286"/>
      <c r="F258" s="286"/>
      <c r="G258" s="286"/>
      <c r="H258" s="286"/>
      <c r="I258" s="286"/>
      <c r="J258" s="286"/>
      <c r="K258" s="286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86"/>
      <c r="C259" s="286"/>
      <c r="D259" s="286"/>
      <c r="E259" s="286"/>
      <c r="F259" s="286"/>
      <c r="G259" s="286"/>
      <c r="H259" s="286"/>
      <c r="I259" s="286"/>
      <c r="J259" s="286"/>
      <c r="K259" s="286"/>
      <c r="L259" s="73"/>
      <c r="M259" s="57"/>
      <c r="N259" s="100"/>
      <c r="O259" s="101" t="s">
        <v>75</v>
      </c>
      <c r="P259" s="101"/>
      <c r="Q259" s="101"/>
      <c r="R259" s="101" t="str">
        <f t="shared" si="42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300" t="s">
        <v>57</v>
      </c>
      <c r="B262" s="301"/>
      <c r="C262" s="301"/>
      <c r="D262" s="301"/>
      <c r="E262" s="301"/>
      <c r="F262" s="301"/>
      <c r="G262" s="301"/>
      <c r="H262" s="301"/>
      <c r="I262" s="301"/>
      <c r="J262" s="301"/>
      <c r="K262" s="301"/>
      <c r="L262" s="302"/>
      <c r="M262" s="54"/>
      <c r="N262" s="93"/>
      <c r="O262" s="290" t="s">
        <v>59</v>
      </c>
      <c r="P262" s="291"/>
      <c r="Q262" s="291"/>
      <c r="R262" s="292"/>
      <c r="S262" s="94"/>
      <c r="T262" s="290" t="s">
        <v>60</v>
      </c>
      <c r="U262" s="291"/>
      <c r="V262" s="291"/>
      <c r="W262" s="291"/>
      <c r="X262" s="291"/>
      <c r="Y262" s="292"/>
      <c r="Z262" s="95"/>
      <c r="AA262" s="54"/>
    </row>
    <row r="263" spans="1:27" s="55" customFormat="1" ht="21" customHeight="1" x14ac:dyDescent="0.25">
      <c r="A263" s="56"/>
      <c r="B263" s="57"/>
      <c r="C263" s="293" t="s">
        <v>116</v>
      </c>
      <c r="D263" s="293"/>
      <c r="E263" s="293"/>
      <c r="F263" s="293"/>
      <c r="G263" s="58" t="str">
        <f>$J$1</f>
        <v>May</v>
      </c>
      <c r="H263" s="294">
        <f>$K$1</f>
        <v>2019</v>
      </c>
      <c r="I263" s="294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62</v>
      </c>
      <c r="P264" s="101">
        <v>20</v>
      </c>
      <c r="Q264" s="101">
        <v>11</v>
      </c>
      <c r="R264" s="101">
        <f>15-Q264</f>
        <v>4</v>
      </c>
      <c r="S264" s="102"/>
      <c r="T264" s="101" t="s">
        <v>62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>
        <f>28-6</f>
        <v>22</v>
      </c>
      <c r="Q265" s="101">
        <v>6</v>
      </c>
      <c r="R265" s="101">
        <v>0</v>
      </c>
      <c r="S265" s="105"/>
      <c r="T265" s="101" t="s">
        <v>88</v>
      </c>
      <c r="U265" s="177">
        <f>Y264</f>
        <v>3000</v>
      </c>
      <c r="V265" s="103"/>
      <c r="W265" s="177">
        <f>IF(U265="","",U265+V265)</f>
        <v>3000</v>
      </c>
      <c r="X265" s="103"/>
      <c r="Y265" s="177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95" t="s">
        <v>60</v>
      </c>
      <c r="G266" s="295"/>
      <c r="H266" s="57"/>
      <c r="I266" s="295" t="s">
        <v>61</v>
      </c>
      <c r="J266" s="295"/>
      <c r="K266" s="295"/>
      <c r="L266" s="73"/>
      <c r="M266" s="57"/>
      <c r="N266" s="100"/>
      <c r="O266" s="101" t="s">
        <v>63</v>
      </c>
      <c r="P266" s="101">
        <v>29</v>
      </c>
      <c r="Q266" s="101">
        <v>2</v>
      </c>
      <c r="R266" s="101">
        <v>0</v>
      </c>
      <c r="S266" s="105"/>
      <c r="T266" s="101" t="s">
        <v>63</v>
      </c>
      <c r="U266" s="177">
        <f>Y265</f>
        <v>3000</v>
      </c>
      <c r="V266" s="103"/>
      <c r="W266" s="177">
        <f t="shared" ref="W266:W275" si="45">IF(U266="","",U266+V266)</f>
        <v>3000</v>
      </c>
      <c r="X266" s="103">
        <v>3000</v>
      </c>
      <c r="Y266" s="177">
        <f t="shared" ref="Y266:Y275" si="46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>
        <v>27</v>
      </c>
      <c r="Q267" s="101">
        <v>3</v>
      </c>
      <c r="R267" s="101">
        <v>0</v>
      </c>
      <c r="S267" s="105"/>
      <c r="T267" s="101" t="s">
        <v>64</v>
      </c>
      <c r="U267" s="177">
        <f>Y266</f>
        <v>0</v>
      </c>
      <c r="V267" s="103">
        <f>5000+1000</f>
        <v>6000</v>
      </c>
      <c r="W267" s="177">
        <f t="shared" si="45"/>
        <v>6000</v>
      </c>
      <c r="X267" s="103">
        <v>6000</v>
      </c>
      <c r="Y267" s="177">
        <f t="shared" si="46"/>
        <v>0</v>
      </c>
      <c r="Z267" s="106"/>
      <c r="AA267" s="57"/>
    </row>
    <row r="268" spans="1:27" s="55" customFormat="1" ht="21" customHeight="1" x14ac:dyDescent="0.25">
      <c r="A268" s="56"/>
      <c r="B268" s="296" t="s">
        <v>59</v>
      </c>
      <c r="C268" s="297"/>
      <c r="D268" s="57"/>
      <c r="E268" s="57"/>
      <c r="F268" s="75" t="s">
        <v>81</v>
      </c>
      <c r="G268" s="19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74"/>
      <c r="I268" s="76">
        <f>IF(C272&gt;0,$K$2,C270)</f>
        <v>31</v>
      </c>
      <c r="J268" s="77" t="s">
        <v>78</v>
      </c>
      <c r="K268" s="78">
        <f>K264/$K$2*I268</f>
        <v>27000</v>
      </c>
      <c r="L268" s="79"/>
      <c r="M268" s="57"/>
      <c r="N268" s="100"/>
      <c r="O268" s="101" t="s">
        <v>65</v>
      </c>
      <c r="P268" s="101">
        <v>31</v>
      </c>
      <c r="Q268" s="101">
        <v>0</v>
      </c>
      <c r="R268" s="101">
        <f t="shared" ref="R268:R275" si="47">IF(Q268="","",R267-Q268)</f>
        <v>0</v>
      </c>
      <c r="S268" s="105"/>
      <c r="T268" s="101" t="s">
        <v>65</v>
      </c>
      <c r="U268" s="177">
        <f>Y267</f>
        <v>0</v>
      </c>
      <c r="V268" s="103">
        <v>10000</v>
      </c>
      <c r="W268" s="177">
        <f t="shared" si="45"/>
        <v>10000</v>
      </c>
      <c r="X268" s="103">
        <v>5000</v>
      </c>
      <c r="Y268" s="177">
        <f t="shared" si="46"/>
        <v>5000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10000</v>
      </c>
      <c r="H269" s="74"/>
      <c r="I269" s="120"/>
      <c r="J269" s="77" t="s">
        <v>79</v>
      </c>
      <c r="K269" s="80">
        <f>K264/$K$2/8*I269</f>
        <v>0</v>
      </c>
      <c r="L269" s="81"/>
      <c r="M269" s="57"/>
      <c r="N269" s="100"/>
      <c r="O269" s="101" t="s">
        <v>66</v>
      </c>
      <c r="P269" s="101"/>
      <c r="Q269" s="101"/>
      <c r="R269" s="101" t="str">
        <f t="shared" si="47"/>
        <v/>
      </c>
      <c r="S269" s="105"/>
      <c r="T269" s="101" t="s">
        <v>66</v>
      </c>
      <c r="U269" s="177"/>
      <c r="V269" s="103"/>
      <c r="W269" s="177" t="str">
        <f t="shared" si="45"/>
        <v/>
      </c>
      <c r="X269" s="103"/>
      <c r="Y269" s="177" t="str">
        <f t="shared" si="46"/>
        <v/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57"/>
      <c r="E270" s="57"/>
      <c r="F270" s="75" t="s">
        <v>82</v>
      </c>
      <c r="G270" s="19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10000</v>
      </c>
      <c r="H270" s="74"/>
      <c r="I270" s="298" t="s">
        <v>86</v>
      </c>
      <c r="J270" s="299"/>
      <c r="K270" s="80">
        <f>K268+K269</f>
        <v>27000</v>
      </c>
      <c r="L270" s="81"/>
      <c r="M270" s="57"/>
      <c r="N270" s="100"/>
      <c r="O270" s="101" t="s">
        <v>67</v>
      </c>
      <c r="P270" s="101"/>
      <c r="Q270" s="101"/>
      <c r="R270" s="101" t="str">
        <f t="shared" si="47"/>
        <v/>
      </c>
      <c r="S270" s="105"/>
      <c r="T270" s="101" t="s">
        <v>67</v>
      </c>
      <c r="U270" s="177"/>
      <c r="V270" s="103"/>
      <c r="W270" s="177" t="str">
        <f t="shared" si="45"/>
        <v/>
      </c>
      <c r="X270" s="103"/>
      <c r="Y270" s="177" t="str">
        <f t="shared" si="46"/>
        <v/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31</v>
      </c>
      <c r="G271" s="19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4"/>
      <c r="I271" s="298" t="s">
        <v>87</v>
      </c>
      <c r="J271" s="299"/>
      <c r="K271" s="70">
        <f>G271</f>
        <v>5000</v>
      </c>
      <c r="L271" s="82"/>
      <c r="M271" s="57"/>
      <c r="N271" s="100"/>
      <c r="O271" s="101" t="s">
        <v>68</v>
      </c>
      <c r="P271" s="101"/>
      <c r="Q271" s="101"/>
      <c r="R271" s="101" t="str">
        <f t="shared" si="47"/>
        <v/>
      </c>
      <c r="S271" s="105"/>
      <c r="T271" s="101" t="s">
        <v>68</v>
      </c>
      <c r="U271" s="177"/>
      <c r="V271" s="103"/>
      <c r="W271" s="177" t="str">
        <f t="shared" si="45"/>
        <v/>
      </c>
      <c r="X271" s="103"/>
      <c r="Y271" s="177" t="str">
        <f t="shared" si="46"/>
        <v/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84</v>
      </c>
      <c r="G272" s="19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5000</v>
      </c>
      <c r="H272" s="57"/>
      <c r="I272" s="284" t="s">
        <v>80</v>
      </c>
      <c r="J272" s="285"/>
      <c r="K272" s="84">
        <f>K270-K271</f>
        <v>22000</v>
      </c>
      <c r="L272" s="85"/>
      <c r="M272" s="57"/>
      <c r="N272" s="100"/>
      <c r="O272" s="101" t="s">
        <v>73</v>
      </c>
      <c r="P272" s="101"/>
      <c r="Q272" s="101"/>
      <c r="R272" s="101" t="str">
        <f t="shared" si="47"/>
        <v/>
      </c>
      <c r="S272" s="105"/>
      <c r="T272" s="101" t="s">
        <v>73</v>
      </c>
      <c r="U272" s="177"/>
      <c r="V272" s="103"/>
      <c r="W272" s="177" t="str">
        <f t="shared" si="45"/>
        <v/>
      </c>
      <c r="X272" s="103"/>
      <c r="Y272" s="177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/>
      <c r="Q273" s="101"/>
      <c r="R273" s="101" t="str">
        <f t="shared" si="47"/>
        <v/>
      </c>
      <c r="S273" s="105"/>
      <c r="T273" s="101" t="s">
        <v>69</v>
      </c>
      <c r="U273" s="177"/>
      <c r="V273" s="103"/>
      <c r="W273" s="177" t="str">
        <f t="shared" si="45"/>
        <v/>
      </c>
      <c r="X273" s="103"/>
      <c r="Y273" s="177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86" t="s">
        <v>118</v>
      </c>
      <c r="C274" s="286"/>
      <c r="D274" s="286"/>
      <c r="E274" s="286"/>
      <c r="F274" s="286"/>
      <c r="G274" s="286"/>
      <c r="H274" s="286"/>
      <c r="I274" s="286"/>
      <c r="J274" s="286"/>
      <c r="K274" s="286"/>
      <c r="L274" s="73"/>
      <c r="M274" s="57"/>
      <c r="N274" s="100"/>
      <c r="O274" s="101" t="s">
        <v>74</v>
      </c>
      <c r="P274" s="101"/>
      <c r="Q274" s="101"/>
      <c r="R274" s="101" t="str">
        <f t="shared" si="47"/>
        <v/>
      </c>
      <c r="S274" s="105"/>
      <c r="T274" s="101" t="s">
        <v>74</v>
      </c>
      <c r="U274" s="177"/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86"/>
      <c r="C275" s="286"/>
      <c r="D275" s="286"/>
      <c r="E275" s="286"/>
      <c r="F275" s="286"/>
      <c r="G275" s="286"/>
      <c r="H275" s="286"/>
      <c r="I275" s="286"/>
      <c r="J275" s="286"/>
      <c r="K275" s="286"/>
      <c r="L275" s="73"/>
      <c r="M275" s="57"/>
      <c r="N275" s="100"/>
      <c r="O275" s="101" t="s">
        <v>75</v>
      </c>
      <c r="P275" s="101"/>
      <c r="Q275" s="101"/>
      <c r="R275" s="101" t="str">
        <f t="shared" si="47"/>
        <v/>
      </c>
      <c r="S275" s="105"/>
      <c r="T275" s="101" t="s">
        <v>75</v>
      </c>
      <c r="U275" s="177"/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300" t="s">
        <v>57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2"/>
      <c r="M278" s="54"/>
      <c r="N278" s="93"/>
      <c r="O278" s="290" t="s">
        <v>59</v>
      </c>
      <c r="P278" s="291"/>
      <c r="Q278" s="291"/>
      <c r="R278" s="292"/>
      <c r="S278" s="94"/>
      <c r="T278" s="290" t="s">
        <v>60</v>
      </c>
      <c r="U278" s="291"/>
      <c r="V278" s="291"/>
      <c r="W278" s="291"/>
      <c r="X278" s="291"/>
      <c r="Y278" s="292"/>
      <c r="Z278" s="95"/>
      <c r="AA278" s="54"/>
    </row>
    <row r="279" spans="1:27" s="55" customFormat="1" ht="21" customHeight="1" x14ac:dyDescent="0.25">
      <c r="A279" s="56"/>
      <c r="B279" s="57"/>
      <c r="C279" s="293" t="s">
        <v>116</v>
      </c>
      <c r="D279" s="293"/>
      <c r="E279" s="293"/>
      <c r="F279" s="293"/>
      <c r="G279" s="58" t="str">
        <f>$J$1</f>
        <v>May</v>
      </c>
      <c r="H279" s="294">
        <f>$K$1</f>
        <v>2019</v>
      </c>
      <c r="I279" s="294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28</v>
      </c>
      <c r="Q280" s="101">
        <v>3</v>
      </c>
      <c r="R280" s="101">
        <f>15-Q280</f>
        <v>12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88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95" t="s">
        <v>60</v>
      </c>
      <c r="G282" s="295"/>
      <c r="H282" s="57"/>
      <c r="I282" s="295" t="s">
        <v>61</v>
      </c>
      <c r="J282" s="295"/>
      <c r="K282" s="295"/>
      <c r="L282" s="73"/>
      <c r="M282" s="57"/>
      <c r="N282" s="100"/>
      <c r="O282" s="101" t="s">
        <v>63</v>
      </c>
      <c r="P282" s="101">
        <v>27</v>
      </c>
      <c r="Q282" s="101">
        <v>4</v>
      </c>
      <c r="R282" s="101">
        <v>0</v>
      </c>
      <c r="S282" s="105"/>
      <c r="T282" s="101" t="s">
        <v>63</v>
      </c>
      <c r="U282" s="177" t="str">
        <f>IF($J$1="April",Y281,Y281)</f>
        <v/>
      </c>
      <c r="V282" s="103"/>
      <c r="W282" s="177" t="str">
        <f t="shared" ref="W282:W291" si="48">IF(U282="","",U282+V282)</f>
        <v/>
      </c>
      <c r="X282" s="103"/>
      <c r="Y282" s="177" t="str">
        <f t="shared" ref="Y282:Y291" si="49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>
        <v>14</v>
      </c>
      <c r="Q283" s="101">
        <v>16</v>
      </c>
      <c r="R283" s="101">
        <v>0</v>
      </c>
      <c r="S283" s="105"/>
      <c r="T283" s="101" t="s">
        <v>64</v>
      </c>
      <c r="U283" s="177" t="str">
        <f>IF($J$1="April",Y282,Y282)</f>
        <v/>
      </c>
      <c r="V283" s="103"/>
      <c r="W283" s="177" t="str">
        <f t="shared" si="48"/>
        <v/>
      </c>
      <c r="X283" s="103"/>
      <c r="Y283" s="177" t="str">
        <f t="shared" si="49"/>
        <v/>
      </c>
      <c r="Z283" s="106"/>
      <c r="AA283" s="57"/>
    </row>
    <row r="284" spans="1:27" s="55" customFormat="1" ht="21" customHeight="1" x14ac:dyDescent="0.25">
      <c r="A284" s="56"/>
      <c r="B284" s="296" t="s">
        <v>59</v>
      </c>
      <c r="C284" s="297"/>
      <c r="D284" s="57"/>
      <c r="E284" s="57"/>
      <c r="F284" s="75" t="s">
        <v>81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10</v>
      </c>
      <c r="J284" s="77" t="s">
        <v>78</v>
      </c>
      <c r="K284" s="78">
        <f>K280/$K$2*I284</f>
        <v>7096.7741935483864</v>
      </c>
      <c r="L284" s="79"/>
      <c r="M284" s="57"/>
      <c r="N284" s="100"/>
      <c r="O284" s="101" t="s">
        <v>65</v>
      </c>
      <c r="P284" s="101">
        <v>10</v>
      </c>
      <c r="Q284" s="101"/>
      <c r="R284" s="101"/>
      <c r="S284" s="105"/>
      <c r="T284" s="101" t="s">
        <v>65</v>
      </c>
      <c r="U284" s="177" t="str">
        <f>IF($J$1="May",Y283,Y283)</f>
        <v/>
      </c>
      <c r="V284" s="103"/>
      <c r="W284" s="177" t="str">
        <f t="shared" si="48"/>
        <v/>
      </c>
      <c r="X284" s="103"/>
      <c r="Y284" s="177" t="str">
        <f t="shared" si="49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/>
      <c r="J285" s="77" t="s">
        <v>79</v>
      </c>
      <c r="K285" s="80">
        <f>K280/$K$2/8*I285</f>
        <v>0</v>
      </c>
      <c r="L285" s="81"/>
      <c r="M285" s="57"/>
      <c r="N285" s="100"/>
      <c r="O285" s="101" t="s">
        <v>66</v>
      </c>
      <c r="P285" s="101"/>
      <c r="Q285" s="101"/>
      <c r="R285" s="101"/>
      <c r="S285" s="105"/>
      <c r="T285" s="101" t="s">
        <v>66</v>
      </c>
      <c r="U285" s="177" t="str">
        <f>IF($J$1="May",Y284,Y284)</f>
        <v/>
      </c>
      <c r="V285" s="103"/>
      <c r="W285" s="177" t="str">
        <f t="shared" si="48"/>
        <v/>
      </c>
      <c r="X285" s="103"/>
      <c r="Y285" s="177" t="str">
        <f t="shared" si="49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10</v>
      </c>
      <c r="D286" s="57"/>
      <c r="E286" s="57"/>
      <c r="F286" s="75" t="s">
        <v>82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98" t="s">
        <v>86</v>
      </c>
      <c r="J286" s="299"/>
      <c r="K286" s="80">
        <f>K284+K285</f>
        <v>7096.7741935483864</v>
      </c>
      <c r="L286" s="81"/>
      <c r="M286" s="57"/>
      <c r="N286" s="100"/>
      <c r="O286" s="101" t="s">
        <v>67</v>
      </c>
      <c r="P286" s="101"/>
      <c r="Q286" s="101"/>
      <c r="R286" s="101"/>
      <c r="S286" s="105"/>
      <c r="T286" s="101" t="s">
        <v>67</v>
      </c>
      <c r="U286" s="177" t="str">
        <f>IF($J$1="July",Y285,"")</f>
        <v/>
      </c>
      <c r="V286" s="103"/>
      <c r="W286" s="177" t="str">
        <f t="shared" si="48"/>
        <v/>
      </c>
      <c r="X286" s="103"/>
      <c r="Y286" s="177" t="str">
        <f t="shared" si="49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98" t="s">
        <v>87</v>
      </c>
      <c r="J287" s="299"/>
      <c r="K287" s="70">
        <f>G287</f>
        <v>0</v>
      </c>
      <c r="L287" s="82"/>
      <c r="M287" s="57"/>
      <c r="N287" s="100"/>
      <c r="O287" s="101" t="s">
        <v>68</v>
      </c>
      <c r="P287" s="101"/>
      <c r="Q287" s="101"/>
      <c r="R287" s="101"/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48"/>
        <v/>
      </c>
      <c r="X287" s="103"/>
      <c r="Y287" s="177" t="str">
        <f t="shared" si="49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84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84" t="s">
        <v>80</v>
      </c>
      <c r="J288" s="285"/>
      <c r="K288" s="84">
        <f>K286-K287</f>
        <v>7096.7741935483864</v>
      </c>
      <c r="L288" s="85"/>
      <c r="M288" s="57"/>
      <c r="N288" s="100"/>
      <c r="O288" s="101" t="s">
        <v>73</v>
      </c>
      <c r="P288" s="101"/>
      <c r="Q288" s="101"/>
      <c r="R288" s="101"/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48"/>
        <v/>
      </c>
      <c r="X288" s="103"/>
      <c r="Y288" s="177" t="str">
        <f t="shared" si="49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/>
      <c r="Q289" s="101"/>
      <c r="R289" s="101"/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48"/>
        <v/>
      </c>
      <c r="X289" s="103"/>
      <c r="Y289" s="177" t="str">
        <f t="shared" si="49"/>
        <v/>
      </c>
      <c r="Z289" s="106"/>
      <c r="AA289" s="57"/>
    </row>
    <row r="290" spans="1:27" s="55" customFormat="1" ht="21" customHeight="1" x14ac:dyDescent="0.25">
      <c r="A290" s="56"/>
      <c r="B290" s="286" t="s">
        <v>118</v>
      </c>
      <c r="C290" s="286"/>
      <c r="D290" s="286"/>
      <c r="E290" s="286"/>
      <c r="F290" s="286"/>
      <c r="G290" s="286"/>
      <c r="H290" s="286"/>
      <c r="I290" s="286"/>
      <c r="J290" s="286"/>
      <c r="K290" s="286"/>
      <c r="L290" s="73"/>
      <c r="M290" s="57"/>
      <c r="N290" s="100"/>
      <c r="O290" s="101" t="s">
        <v>74</v>
      </c>
      <c r="P290" s="101"/>
      <c r="Q290" s="101"/>
      <c r="R290" s="101"/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48"/>
        <v/>
      </c>
      <c r="X290" s="103"/>
      <c r="Y290" s="177" t="str">
        <f t="shared" si="49"/>
        <v/>
      </c>
      <c r="Z290" s="106"/>
      <c r="AA290" s="57"/>
    </row>
    <row r="291" spans="1:27" s="55" customFormat="1" ht="21" customHeight="1" x14ac:dyDescent="0.25">
      <c r="A291" s="56"/>
      <c r="B291" s="286"/>
      <c r="C291" s="286"/>
      <c r="D291" s="286"/>
      <c r="E291" s="286"/>
      <c r="F291" s="286"/>
      <c r="G291" s="286"/>
      <c r="H291" s="286"/>
      <c r="I291" s="286"/>
      <c r="J291" s="286"/>
      <c r="K291" s="286"/>
      <c r="L291" s="73"/>
      <c r="M291" s="57"/>
      <c r="N291" s="100"/>
      <c r="O291" s="101" t="s">
        <v>75</v>
      </c>
      <c r="P291" s="101"/>
      <c r="Q291" s="101"/>
      <c r="R291" s="101"/>
      <c r="S291" s="105"/>
      <c r="T291" s="101" t="s">
        <v>75</v>
      </c>
      <c r="U291" s="177" t="str">
        <f>IF($J$1="Dec",Y290,"")</f>
        <v/>
      </c>
      <c r="V291" s="103"/>
      <c r="W291" s="177" t="str">
        <f t="shared" si="48"/>
        <v/>
      </c>
      <c r="X291" s="103"/>
      <c r="Y291" s="177" t="str">
        <f t="shared" si="49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300" t="s">
        <v>57</v>
      </c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2"/>
      <c r="M294" s="54"/>
      <c r="N294" s="93"/>
      <c r="O294" s="290" t="s">
        <v>59</v>
      </c>
      <c r="P294" s="291"/>
      <c r="Q294" s="291"/>
      <c r="R294" s="292"/>
      <c r="S294" s="94"/>
      <c r="T294" s="290" t="s">
        <v>60</v>
      </c>
      <c r="U294" s="291"/>
      <c r="V294" s="291"/>
      <c r="W294" s="291"/>
      <c r="X294" s="291"/>
      <c r="Y294" s="292"/>
      <c r="Z294" s="95"/>
      <c r="AA294" s="54"/>
    </row>
    <row r="295" spans="1:27" s="55" customFormat="1" ht="21" customHeight="1" x14ac:dyDescent="0.25">
      <c r="A295" s="56"/>
      <c r="B295" s="57"/>
      <c r="C295" s="293" t="s">
        <v>116</v>
      </c>
      <c r="D295" s="293"/>
      <c r="E295" s="293"/>
      <c r="F295" s="293"/>
      <c r="G295" s="58" t="str">
        <f>$J$1</f>
        <v>May</v>
      </c>
      <c r="H295" s="294">
        <f>$K$1</f>
        <v>2019</v>
      </c>
      <c r="I295" s="294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29</v>
      </c>
      <c r="Q296" s="101">
        <v>2</v>
      </c>
      <c r="R296" s="101">
        <f>15-Q296</f>
        <v>13</v>
      </c>
      <c r="S296" s="102"/>
      <c r="T296" s="101" t="s">
        <v>62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88</v>
      </c>
      <c r="U297" s="177"/>
      <c r="V297" s="103">
        <v>3000</v>
      </c>
      <c r="W297" s="103">
        <f>V297+U297</f>
        <v>3000</v>
      </c>
      <c r="X297" s="103">
        <v>3000</v>
      </c>
      <c r="Y297" s="177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95" t="s">
        <v>60</v>
      </c>
      <c r="G298" s="295"/>
      <c r="H298" s="57"/>
      <c r="I298" s="295" t="s">
        <v>61</v>
      </c>
      <c r="J298" s="295"/>
      <c r="K298" s="295"/>
      <c r="L298" s="73"/>
      <c r="M298" s="57"/>
      <c r="N298" s="100"/>
      <c r="O298" s="101" t="s">
        <v>63</v>
      </c>
      <c r="P298" s="101">
        <v>30</v>
      </c>
      <c r="Q298" s="101">
        <v>1</v>
      </c>
      <c r="R298" s="101">
        <f t="shared" ref="R298:R307" si="50">IF(Q298="","",R297-Q298)</f>
        <v>12</v>
      </c>
      <c r="S298" s="105"/>
      <c r="T298" s="101" t="s">
        <v>63</v>
      </c>
      <c r="U298" s="177"/>
      <c r="V298" s="103">
        <v>3000</v>
      </c>
      <c r="W298" s="103">
        <f>V298+U298</f>
        <v>3000</v>
      </c>
      <c r="X298" s="103">
        <v>3000</v>
      </c>
      <c r="Y298" s="177">
        <f t="shared" ref="Y298:Y307" si="51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>
        <v>30</v>
      </c>
      <c r="Q299" s="101">
        <v>0</v>
      </c>
      <c r="R299" s="101">
        <f t="shared" si="50"/>
        <v>12</v>
      </c>
      <c r="S299" s="105"/>
      <c r="T299" s="101" t="s">
        <v>64</v>
      </c>
      <c r="U299" s="177">
        <f>Y298</f>
        <v>0</v>
      </c>
      <c r="V299" s="103">
        <v>14000</v>
      </c>
      <c r="W299" s="177">
        <f t="shared" ref="W299:W307" si="52">IF(U299="","",U299+V299)</f>
        <v>14000</v>
      </c>
      <c r="X299" s="103">
        <v>3000</v>
      </c>
      <c r="Y299" s="177">
        <f t="shared" si="51"/>
        <v>11000</v>
      </c>
      <c r="Z299" s="106"/>
      <c r="AA299" s="57"/>
    </row>
    <row r="300" spans="1:27" s="55" customFormat="1" ht="21" customHeight="1" x14ac:dyDescent="0.25">
      <c r="A300" s="56"/>
      <c r="B300" s="296" t="s">
        <v>59</v>
      </c>
      <c r="C300" s="297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11000</v>
      </c>
      <c r="H300" s="74"/>
      <c r="I300" s="76">
        <f>IF(C304&gt;0,$K$2,C302)</f>
        <v>31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>
        <v>31</v>
      </c>
      <c r="Q300" s="101">
        <v>0</v>
      </c>
      <c r="R300" s="101">
        <f t="shared" si="50"/>
        <v>12</v>
      </c>
      <c r="S300" s="105"/>
      <c r="T300" s="101" t="s">
        <v>65</v>
      </c>
      <c r="U300" s="177">
        <f>Y299</f>
        <v>11000</v>
      </c>
      <c r="V300" s="103"/>
      <c r="W300" s="177">
        <f t="shared" si="52"/>
        <v>11000</v>
      </c>
      <c r="X300" s="103">
        <v>3000</v>
      </c>
      <c r="Y300" s="177">
        <f t="shared" si="51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>
        <v>15.06</v>
      </c>
      <c r="J301" s="77" t="s">
        <v>79</v>
      </c>
      <c r="K301" s="80">
        <f>K296/$K$2/8*I301</f>
        <v>2550.483870967742</v>
      </c>
      <c r="L301" s="81"/>
      <c r="M301" s="57"/>
      <c r="N301" s="100"/>
      <c r="O301" s="101" t="s">
        <v>66</v>
      </c>
      <c r="P301" s="101"/>
      <c r="Q301" s="101"/>
      <c r="R301" s="101" t="str">
        <f t="shared" si="50"/>
        <v/>
      </c>
      <c r="S301" s="105"/>
      <c r="T301" s="101" t="s">
        <v>66</v>
      </c>
      <c r="U301" s="177"/>
      <c r="V301" s="103"/>
      <c r="W301" s="177" t="str">
        <f t="shared" si="52"/>
        <v/>
      </c>
      <c r="X301" s="103"/>
      <c r="Y301" s="177" t="str">
        <f t="shared" si="51"/>
        <v/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31</v>
      </c>
      <c r="D302" s="57"/>
      <c r="E302" s="57"/>
      <c r="F302" s="75" t="s">
        <v>82</v>
      </c>
      <c r="G302" s="196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11000</v>
      </c>
      <c r="H302" s="74"/>
      <c r="I302" s="298" t="s">
        <v>86</v>
      </c>
      <c r="J302" s="299"/>
      <c r="K302" s="80">
        <f>K300+K301</f>
        <v>44550.483870967742</v>
      </c>
      <c r="L302" s="81"/>
      <c r="M302" s="57"/>
      <c r="N302" s="100"/>
      <c r="O302" s="101" t="s">
        <v>67</v>
      </c>
      <c r="P302" s="101"/>
      <c r="Q302" s="101"/>
      <c r="R302" s="101" t="str">
        <f t="shared" si="50"/>
        <v/>
      </c>
      <c r="S302" s="105"/>
      <c r="T302" s="101" t="s">
        <v>67</v>
      </c>
      <c r="U302" s="177"/>
      <c r="V302" s="103"/>
      <c r="W302" s="177" t="str">
        <f t="shared" si="52"/>
        <v/>
      </c>
      <c r="X302" s="103"/>
      <c r="Y302" s="177" t="str">
        <f t="shared" si="51"/>
        <v/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31</v>
      </c>
      <c r="G303" s="196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3000</v>
      </c>
      <c r="H303" s="74"/>
      <c r="I303" s="298" t="s">
        <v>87</v>
      </c>
      <c r="J303" s="299"/>
      <c r="K303" s="70">
        <f>G303</f>
        <v>3000</v>
      </c>
      <c r="L303" s="82"/>
      <c r="M303" s="57"/>
      <c r="N303" s="100"/>
      <c r="O303" s="101" t="s">
        <v>68</v>
      </c>
      <c r="P303" s="101"/>
      <c r="Q303" s="101"/>
      <c r="R303" s="101" t="str">
        <f t="shared" si="50"/>
        <v/>
      </c>
      <c r="S303" s="105"/>
      <c r="T303" s="101" t="s">
        <v>68</v>
      </c>
      <c r="U303" s="177"/>
      <c r="V303" s="103"/>
      <c r="W303" s="177" t="str">
        <f t="shared" si="52"/>
        <v/>
      </c>
      <c r="X303" s="103"/>
      <c r="Y303" s="177" t="str">
        <f t="shared" si="51"/>
        <v/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12</v>
      </c>
      <c r="D304" s="57"/>
      <c r="E304" s="57"/>
      <c r="F304" s="75" t="s">
        <v>84</v>
      </c>
      <c r="G304" s="196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8000</v>
      </c>
      <c r="H304" s="57"/>
      <c r="I304" s="284" t="s">
        <v>80</v>
      </c>
      <c r="J304" s="285"/>
      <c r="K304" s="84">
        <f>K302-K303</f>
        <v>41550.483870967742</v>
      </c>
      <c r="L304" s="85"/>
      <c r="M304" s="57"/>
      <c r="N304" s="100"/>
      <c r="O304" s="101" t="s">
        <v>73</v>
      </c>
      <c r="P304" s="101"/>
      <c r="Q304" s="101"/>
      <c r="R304" s="101" t="str">
        <f t="shared" si="50"/>
        <v/>
      </c>
      <c r="S304" s="105"/>
      <c r="T304" s="101" t="s">
        <v>73</v>
      </c>
      <c r="U304" s="177"/>
      <c r="V304" s="103"/>
      <c r="W304" s="177" t="str">
        <f t="shared" si="52"/>
        <v/>
      </c>
      <c r="X304" s="103"/>
      <c r="Y304" s="177" t="str">
        <f t="shared" si="51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/>
      <c r="Q305" s="101"/>
      <c r="R305" s="101" t="str">
        <f t="shared" si="50"/>
        <v/>
      </c>
      <c r="S305" s="105"/>
      <c r="T305" s="101" t="s">
        <v>69</v>
      </c>
      <c r="U305" s="177"/>
      <c r="V305" s="103"/>
      <c r="W305" s="177" t="str">
        <f t="shared" si="52"/>
        <v/>
      </c>
      <c r="X305" s="103"/>
      <c r="Y305" s="177" t="str">
        <f t="shared" si="51"/>
        <v/>
      </c>
      <c r="Z305" s="106"/>
      <c r="AA305" s="57"/>
    </row>
    <row r="306" spans="1:27" s="55" customFormat="1" ht="21" customHeight="1" x14ac:dyDescent="0.25">
      <c r="A306" s="56"/>
      <c r="B306" s="286" t="s">
        <v>118</v>
      </c>
      <c r="C306" s="286"/>
      <c r="D306" s="286"/>
      <c r="E306" s="286"/>
      <c r="F306" s="286"/>
      <c r="G306" s="286"/>
      <c r="H306" s="286"/>
      <c r="I306" s="286"/>
      <c r="J306" s="286"/>
      <c r="K306" s="286"/>
      <c r="L306" s="73"/>
      <c r="M306" s="57"/>
      <c r="N306" s="100"/>
      <c r="O306" s="101" t="s">
        <v>74</v>
      </c>
      <c r="P306" s="101"/>
      <c r="Q306" s="101"/>
      <c r="R306" s="101" t="str">
        <f t="shared" si="50"/>
        <v/>
      </c>
      <c r="S306" s="105"/>
      <c r="T306" s="101" t="s">
        <v>74</v>
      </c>
      <c r="U306" s="177"/>
      <c r="V306" s="103"/>
      <c r="W306" s="177" t="str">
        <f t="shared" si="52"/>
        <v/>
      </c>
      <c r="X306" s="103"/>
      <c r="Y306" s="177" t="str">
        <f t="shared" si="51"/>
        <v/>
      </c>
      <c r="Z306" s="106"/>
      <c r="AA306" s="57"/>
    </row>
    <row r="307" spans="1:27" s="55" customFormat="1" ht="21" customHeight="1" x14ac:dyDescent="0.25">
      <c r="A307" s="56"/>
      <c r="B307" s="286"/>
      <c r="C307" s="286"/>
      <c r="D307" s="286"/>
      <c r="E307" s="286"/>
      <c r="F307" s="286"/>
      <c r="G307" s="286"/>
      <c r="H307" s="286"/>
      <c r="I307" s="286"/>
      <c r="J307" s="286"/>
      <c r="K307" s="286"/>
      <c r="L307" s="73"/>
      <c r="M307" s="57"/>
      <c r="N307" s="100"/>
      <c r="O307" s="101" t="s">
        <v>75</v>
      </c>
      <c r="P307" s="101"/>
      <c r="Q307" s="101"/>
      <c r="R307" s="101" t="str">
        <f t="shared" si="50"/>
        <v/>
      </c>
      <c r="S307" s="105"/>
      <c r="T307" s="101" t="s">
        <v>75</v>
      </c>
      <c r="U307" s="177"/>
      <c r="V307" s="103"/>
      <c r="W307" s="177" t="str">
        <f t="shared" si="52"/>
        <v/>
      </c>
      <c r="X307" s="103"/>
      <c r="Y307" s="177" t="str">
        <f t="shared" si="51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303" t="s">
        <v>57</v>
      </c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5"/>
      <c r="M310" s="113"/>
      <c r="N310" s="93"/>
      <c r="O310" s="290" t="s">
        <v>59</v>
      </c>
      <c r="P310" s="291"/>
      <c r="Q310" s="291"/>
      <c r="R310" s="292"/>
      <c r="S310" s="94"/>
      <c r="T310" s="290" t="s">
        <v>60</v>
      </c>
      <c r="U310" s="291"/>
      <c r="V310" s="291"/>
      <c r="W310" s="291"/>
      <c r="X310" s="291"/>
      <c r="Y310" s="292"/>
      <c r="Z310" s="92"/>
    </row>
    <row r="311" spans="1:27" s="55" customFormat="1" ht="21" customHeight="1" x14ac:dyDescent="0.25">
      <c r="A311" s="56"/>
      <c r="B311" s="57"/>
      <c r="C311" s="293" t="s">
        <v>116</v>
      </c>
      <c r="D311" s="293"/>
      <c r="E311" s="293"/>
      <c r="F311" s="293"/>
      <c r="G311" s="58" t="str">
        <f>$J$1</f>
        <v>May</v>
      </c>
      <c r="H311" s="294">
        <f>$K$1</f>
        <v>2019</v>
      </c>
      <c r="I311" s="294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10000</v>
      </c>
      <c r="L312" s="65"/>
      <c r="M312" s="57"/>
      <c r="N312" s="100"/>
      <c r="O312" s="101" t="s">
        <v>62</v>
      </c>
      <c r="P312" s="101"/>
      <c r="Q312" s="101"/>
      <c r="R312" s="101"/>
      <c r="S312" s="102"/>
      <c r="T312" s="101" t="s">
        <v>62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194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/>
      <c r="Q313" s="101"/>
      <c r="R313" s="101">
        <v>0</v>
      </c>
      <c r="S313" s="105"/>
      <c r="T313" s="101" t="s">
        <v>88</v>
      </c>
      <c r="U313" s="177"/>
      <c r="V313" s="103"/>
      <c r="W313" s="103">
        <f>V313+U313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95" t="s">
        <v>60</v>
      </c>
      <c r="G314" s="295"/>
      <c r="H314" s="57"/>
      <c r="I314" s="295" t="s">
        <v>61</v>
      </c>
      <c r="J314" s="295"/>
      <c r="K314" s="295"/>
      <c r="L314" s="73"/>
      <c r="M314" s="57"/>
      <c r="N314" s="100"/>
      <c r="O314" s="101" t="s">
        <v>63</v>
      </c>
      <c r="P314" s="101"/>
      <c r="Q314" s="101"/>
      <c r="R314" s="101">
        <v>0</v>
      </c>
      <c r="S314" s="105"/>
      <c r="T314" s="101" t="s">
        <v>63</v>
      </c>
      <c r="U314" s="177"/>
      <c r="V314" s="103"/>
      <c r="W314" s="103">
        <f>V314+U314</f>
        <v>0</v>
      </c>
      <c r="X314" s="103"/>
      <c r="Y314" s="177">
        <f t="shared" ref="Y314:Y323" si="53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/>
      <c r="Q315" s="101"/>
      <c r="R315" s="101">
        <v>0</v>
      </c>
      <c r="S315" s="105"/>
      <c r="T315" s="101" t="s">
        <v>64</v>
      </c>
      <c r="U315" s="177">
        <f>Y314</f>
        <v>0</v>
      </c>
      <c r="V315" s="103"/>
      <c r="W315" s="177">
        <f t="shared" ref="W315:W323" si="54">IF(U315="","",U315+V315)</f>
        <v>0</v>
      </c>
      <c r="X315" s="103"/>
      <c r="Y315" s="177">
        <f t="shared" si="53"/>
        <v>0</v>
      </c>
      <c r="Z315" s="92"/>
    </row>
    <row r="316" spans="1:27" s="55" customFormat="1" ht="21" customHeight="1" x14ac:dyDescent="0.25">
      <c r="A316" s="56"/>
      <c r="B316" s="296" t="s">
        <v>59</v>
      </c>
      <c r="C316" s="297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25</v>
      </c>
      <c r="J316" s="77" t="s">
        <v>78</v>
      </c>
      <c r="K316" s="78">
        <f>K312/$K$2*I316</f>
        <v>8064.5161290322576</v>
      </c>
      <c r="L316" s="79"/>
      <c r="M316" s="57"/>
      <c r="N316" s="100"/>
      <c r="O316" s="101" t="s">
        <v>65</v>
      </c>
      <c r="P316" s="101">
        <v>25</v>
      </c>
      <c r="Q316" s="101">
        <v>6</v>
      </c>
      <c r="R316" s="101">
        <v>0</v>
      </c>
      <c r="S316" s="105"/>
      <c r="T316" s="101" t="s">
        <v>65</v>
      </c>
      <c r="U316" s="177">
        <f>Y315</f>
        <v>0</v>
      </c>
      <c r="V316" s="103"/>
      <c r="W316" s="177">
        <f t="shared" si="54"/>
        <v>0</v>
      </c>
      <c r="X316" s="103"/>
      <c r="Y316" s="177">
        <f t="shared" si="53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74"/>
      <c r="I317" s="120">
        <v>15.75</v>
      </c>
      <c r="J317" s="77" t="s">
        <v>79</v>
      </c>
      <c r="K317" s="80">
        <f>K312/$K$2/8*I317</f>
        <v>635.08064516129025</v>
      </c>
      <c r="L317" s="81"/>
      <c r="M317" s="57"/>
      <c r="N317" s="100"/>
      <c r="O317" s="101" t="s">
        <v>66</v>
      </c>
      <c r="P317" s="101"/>
      <c r="Q317" s="101"/>
      <c r="R317" s="101"/>
      <c r="S317" s="105"/>
      <c r="T317" s="101" t="s">
        <v>66</v>
      </c>
      <c r="U317" s="177"/>
      <c r="V317" s="103"/>
      <c r="W317" s="177" t="str">
        <f t="shared" si="54"/>
        <v/>
      </c>
      <c r="X317" s="103"/>
      <c r="Y317" s="177" t="str">
        <f t="shared" si="53"/>
        <v/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25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0</v>
      </c>
      <c r="H318" s="74"/>
      <c r="I318" s="298" t="s">
        <v>86</v>
      </c>
      <c r="J318" s="299"/>
      <c r="K318" s="80">
        <f>K316+K317</f>
        <v>8699.5967741935474</v>
      </c>
      <c r="L318" s="81"/>
      <c r="M318" s="57"/>
      <c r="N318" s="100"/>
      <c r="O318" s="101" t="s">
        <v>67</v>
      </c>
      <c r="P318" s="101"/>
      <c r="Q318" s="101"/>
      <c r="R318" s="101"/>
      <c r="S318" s="105"/>
      <c r="T318" s="101" t="s">
        <v>67</v>
      </c>
      <c r="U318" s="177"/>
      <c r="V318" s="103"/>
      <c r="W318" s="177" t="str">
        <f t="shared" si="54"/>
        <v/>
      </c>
      <c r="X318" s="103"/>
      <c r="Y318" s="177" t="str">
        <f t="shared" si="53"/>
        <v/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6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0</v>
      </c>
      <c r="H319" s="74"/>
      <c r="I319" s="298" t="s">
        <v>87</v>
      </c>
      <c r="J319" s="299"/>
      <c r="K319" s="70">
        <f>G319</f>
        <v>0</v>
      </c>
      <c r="L319" s="82"/>
      <c r="M319" s="57"/>
      <c r="N319" s="100"/>
      <c r="O319" s="101" t="s">
        <v>68</v>
      </c>
      <c r="P319" s="101"/>
      <c r="Q319" s="101"/>
      <c r="R319" s="101"/>
      <c r="S319" s="105"/>
      <c r="T319" s="101" t="s">
        <v>68</v>
      </c>
      <c r="U319" s="177"/>
      <c r="V319" s="103"/>
      <c r="W319" s="177" t="str">
        <f t="shared" si="54"/>
        <v/>
      </c>
      <c r="X319" s="103"/>
      <c r="Y319" s="177" t="str">
        <f t="shared" si="53"/>
        <v/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84" t="s">
        <v>80</v>
      </c>
      <c r="J320" s="285"/>
      <c r="K320" s="84">
        <f>K318-K319</f>
        <v>8699.5967741935474</v>
      </c>
      <c r="L320" s="85"/>
      <c r="M320" s="57"/>
      <c r="N320" s="100"/>
      <c r="O320" s="101" t="s">
        <v>73</v>
      </c>
      <c r="P320" s="101"/>
      <c r="Q320" s="101"/>
      <c r="R320" s="101"/>
      <c r="S320" s="105"/>
      <c r="T320" s="101" t="s">
        <v>73</v>
      </c>
      <c r="U320" s="177"/>
      <c r="V320" s="103"/>
      <c r="W320" s="177" t="str">
        <f t="shared" si="54"/>
        <v/>
      </c>
      <c r="X320" s="103"/>
      <c r="Y320" s="177" t="str">
        <f t="shared" si="53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/>
      <c r="Q321" s="101"/>
      <c r="R321" s="101"/>
      <c r="S321" s="105"/>
      <c r="T321" s="101" t="s">
        <v>69</v>
      </c>
      <c r="U321" s="177"/>
      <c r="V321" s="103"/>
      <c r="W321" s="177" t="str">
        <f t="shared" si="54"/>
        <v/>
      </c>
      <c r="X321" s="103"/>
      <c r="Y321" s="177" t="str">
        <f t="shared" si="53"/>
        <v/>
      </c>
      <c r="Z321" s="92"/>
    </row>
    <row r="322" spans="1:27" s="55" customFormat="1" ht="21" customHeight="1" x14ac:dyDescent="0.25">
      <c r="A322" s="56"/>
      <c r="B322" s="286" t="s">
        <v>118</v>
      </c>
      <c r="C322" s="286"/>
      <c r="D322" s="286"/>
      <c r="E322" s="286"/>
      <c r="F322" s="286"/>
      <c r="G322" s="286"/>
      <c r="H322" s="286"/>
      <c r="I322" s="286"/>
      <c r="J322" s="286"/>
      <c r="K322" s="286"/>
      <c r="L322" s="73"/>
      <c r="M322" s="57"/>
      <c r="N322" s="100"/>
      <c r="O322" s="101" t="s">
        <v>74</v>
      </c>
      <c r="P322" s="101"/>
      <c r="Q322" s="101"/>
      <c r="R322" s="101"/>
      <c r="S322" s="105"/>
      <c r="T322" s="101" t="s">
        <v>74</v>
      </c>
      <c r="U322" s="177"/>
      <c r="V322" s="103"/>
      <c r="W322" s="177" t="str">
        <f t="shared" si="54"/>
        <v/>
      </c>
      <c r="X322" s="103"/>
      <c r="Y322" s="177" t="str">
        <f t="shared" si="53"/>
        <v/>
      </c>
      <c r="Z322" s="92"/>
    </row>
    <row r="323" spans="1:27" s="55" customFormat="1" ht="21" customHeight="1" x14ac:dyDescent="0.25">
      <c r="A323" s="56"/>
      <c r="B323" s="286"/>
      <c r="C323" s="286"/>
      <c r="D323" s="286"/>
      <c r="E323" s="286"/>
      <c r="F323" s="286"/>
      <c r="G323" s="286"/>
      <c r="H323" s="286"/>
      <c r="I323" s="286"/>
      <c r="J323" s="286"/>
      <c r="K323" s="286"/>
      <c r="L323" s="73"/>
      <c r="M323" s="57"/>
      <c r="N323" s="100"/>
      <c r="O323" s="101" t="s">
        <v>75</v>
      </c>
      <c r="P323" s="101"/>
      <c r="Q323" s="101"/>
      <c r="R323" s="101"/>
      <c r="S323" s="105"/>
      <c r="T323" s="101" t="s">
        <v>75</v>
      </c>
      <c r="U323" s="177"/>
      <c r="V323" s="103"/>
      <c r="W323" s="177" t="str">
        <f t="shared" si="54"/>
        <v/>
      </c>
      <c r="X323" s="103"/>
      <c r="Y323" s="177" t="str">
        <f t="shared" si="53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300" t="s">
        <v>57</v>
      </c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02"/>
      <c r="M326" s="54"/>
      <c r="N326" s="93"/>
      <c r="O326" s="290" t="s">
        <v>59</v>
      </c>
      <c r="P326" s="291"/>
      <c r="Q326" s="291"/>
      <c r="R326" s="292"/>
      <c r="S326" s="94"/>
      <c r="T326" s="290" t="s">
        <v>60</v>
      </c>
      <c r="U326" s="291"/>
      <c r="V326" s="291"/>
      <c r="W326" s="291"/>
      <c r="X326" s="291"/>
      <c r="Y326" s="292"/>
      <c r="Z326" s="95"/>
      <c r="AA326" s="54"/>
    </row>
    <row r="327" spans="1:27" s="55" customFormat="1" ht="21" customHeight="1" x14ac:dyDescent="0.25">
      <c r="A327" s="56"/>
      <c r="B327" s="57"/>
      <c r="C327" s="293" t="s">
        <v>116</v>
      </c>
      <c r="D327" s="293"/>
      <c r="E327" s="293"/>
      <c r="F327" s="293"/>
      <c r="G327" s="58" t="str">
        <f>$J$1</f>
        <v>May</v>
      </c>
      <c r="H327" s="294">
        <f>$K$1</f>
        <v>2019</v>
      </c>
      <c r="I327" s="294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26</v>
      </c>
      <c r="Q328" s="101">
        <v>5</v>
      </c>
      <c r="R328" s="101">
        <f>15-Q328</f>
        <v>10</v>
      </c>
      <c r="S328" s="102"/>
      <c r="T328" s="101" t="s">
        <v>62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88</v>
      </c>
      <c r="U329" s="177">
        <f>Y328</f>
        <v>29500</v>
      </c>
      <c r="V329" s="103">
        <v>4000</v>
      </c>
      <c r="W329" s="177">
        <f>IF(U329="","",U329+V329)</f>
        <v>33500</v>
      </c>
      <c r="X329" s="103">
        <v>4000</v>
      </c>
      <c r="Y329" s="177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95" t="s">
        <v>60</v>
      </c>
      <c r="G330" s="295"/>
      <c r="H330" s="57"/>
      <c r="I330" s="295" t="s">
        <v>61</v>
      </c>
      <c r="J330" s="295"/>
      <c r="K330" s="295"/>
      <c r="L330" s="73"/>
      <c r="M330" s="57"/>
      <c r="N330" s="100"/>
      <c r="O330" s="101" t="s">
        <v>63</v>
      </c>
      <c r="P330" s="101">
        <v>29</v>
      </c>
      <c r="Q330" s="101">
        <v>2</v>
      </c>
      <c r="R330" s="101">
        <f t="shared" ref="R330:R339" si="55">IF(Q330="","",R329-Q330)</f>
        <v>6</v>
      </c>
      <c r="S330" s="105"/>
      <c r="T330" s="101" t="s">
        <v>63</v>
      </c>
      <c r="U330" s="177">
        <f>Y329</f>
        <v>29500</v>
      </c>
      <c r="V330" s="103">
        <v>500</v>
      </c>
      <c r="W330" s="177">
        <f t="shared" ref="W330:W339" si="56">IF(U330="","",U330+V330)</f>
        <v>30000</v>
      </c>
      <c r="X330" s="103">
        <v>5000</v>
      </c>
      <c r="Y330" s="177">
        <f t="shared" ref="Y330:Y339" si="57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>
        <v>28</v>
      </c>
      <c r="Q331" s="101">
        <v>2</v>
      </c>
      <c r="R331" s="101">
        <f t="shared" si="55"/>
        <v>4</v>
      </c>
      <c r="S331" s="105"/>
      <c r="T331" s="101" t="s">
        <v>64</v>
      </c>
      <c r="U331" s="177">
        <f>Y330</f>
        <v>25000</v>
      </c>
      <c r="V331" s="103">
        <v>10000</v>
      </c>
      <c r="W331" s="177">
        <f t="shared" si="56"/>
        <v>35000</v>
      </c>
      <c r="X331" s="103">
        <v>5000</v>
      </c>
      <c r="Y331" s="177">
        <f t="shared" si="57"/>
        <v>30000</v>
      </c>
      <c r="Z331" s="106"/>
      <c r="AA331" s="57"/>
    </row>
    <row r="332" spans="1:27" s="55" customFormat="1" ht="21" customHeight="1" x14ac:dyDescent="0.25">
      <c r="A332" s="56"/>
      <c r="B332" s="296" t="s">
        <v>59</v>
      </c>
      <c r="C332" s="297"/>
      <c r="D332" s="57"/>
      <c r="E332" s="57"/>
      <c r="F332" s="75" t="s">
        <v>81</v>
      </c>
      <c r="G332" s="196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30000</v>
      </c>
      <c r="H332" s="74"/>
      <c r="I332" s="76">
        <f>IF(C336&gt;0,$K$2,C334)</f>
        <v>31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>
        <v>29</v>
      </c>
      <c r="Q332" s="101">
        <v>2</v>
      </c>
      <c r="R332" s="101">
        <f t="shared" si="55"/>
        <v>2</v>
      </c>
      <c r="S332" s="105"/>
      <c r="T332" s="101" t="s">
        <v>65</v>
      </c>
      <c r="U332" s="177">
        <f>Y331</f>
        <v>30000</v>
      </c>
      <c r="V332" s="103">
        <v>1000</v>
      </c>
      <c r="W332" s="177">
        <f t="shared" si="56"/>
        <v>31000</v>
      </c>
      <c r="X332" s="103"/>
      <c r="Y332" s="177">
        <f t="shared" si="57"/>
        <v>31000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6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1000</v>
      </c>
      <c r="H333" s="74"/>
      <c r="I333" s="120">
        <v>5.77</v>
      </c>
      <c r="J333" s="77" t="s">
        <v>79</v>
      </c>
      <c r="K333" s="80">
        <f>K328/$K$2/8*I333</f>
        <v>500.2217741935483</v>
      </c>
      <c r="L333" s="81"/>
      <c r="M333" s="57"/>
      <c r="N333" s="100"/>
      <c r="O333" s="101" t="s">
        <v>66</v>
      </c>
      <c r="P333" s="101"/>
      <c r="Q333" s="101"/>
      <c r="R333" s="101" t="str">
        <f t="shared" si="55"/>
        <v/>
      </c>
      <c r="S333" s="105"/>
      <c r="T333" s="101" t="s">
        <v>66</v>
      </c>
      <c r="U333" s="177"/>
      <c r="V333" s="103"/>
      <c r="W333" s="177" t="str">
        <f t="shared" si="56"/>
        <v/>
      </c>
      <c r="X333" s="103"/>
      <c r="Y333" s="177" t="str">
        <f t="shared" si="57"/>
        <v/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7"/>
      <c r="E334" s="57"/>
      <c r="F334" s="75" t="s">
        <v>82</v>
      </c>
      <c r="G334" s="196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31000</v>
      </c>
      <c r="H334" s="74"/>
      <c r="I334" s="298" t="s">
        <v>86</v>
      </c>
      <c r="J334" s="299"/>
      <c r="K334" s="80">
        <f>K332+K333</f>
        <v>22000.221774193549</v>
      </c>
      <c r="L334" s="81"/>
      <c r="M334" s="57"/>
      <c r="N334" s="100"/>
      <c r="O334" s="101" t="s">
        <v>67</v>
      </c>
      <c r="P334" s="101"/>
      <c r="Q334" s="101"/>
      <c r="R334" s="101" t="str">
        <f t="shared" si="55"/>
        <v/>
      </c>
      <c r="S334" s="105"/>
      <c r="T334" s="101" t="s">
        <v>67</v>
      </c>
      <c r="U334" s="177"/>
      <c r="V334" s="103"/>
      <c r="W334" s="177" t="str">
        <f t="shared" si="56"/>
        <v/>
      </c>
      <c r="X334" s="103"/>
      <c r="Y334" s="177" t="str">
        <f t="shared" si="57"/>
        <v/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2</v>
      </c>
      <c r="D335" s="57"/>
      <c r="E335" s="57"/>
      <c r="F335" s="75" t="s">
        <v>31</v>
      </c>
      <c r="G335" s="196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4"/>
      <c r="I335" s="298" t="s">
        <v>87</v>
      </c>
      <c r="J335" s="299"/>
      <c r="K335" s="70">
        <f>G335</f>
        <v>0</v>
      </c>
      <c r="L335" s="82"/>
      <c r="M335" s="57"/>
      <c r="N335" s="100"/>
      <c r="O335" s="101" t="s">
        <v>68</v>
      </c>
      <c r="P335" s="101"/>
      <c r="Q335" s="101"/>
      <c r="R335" s="101" t="str">
        <f t="shared" si="55"/>
        <v/>
      </c>
      <c r="S335" s="105"/>
      <c r="T335" s="101" t="s">
        <v>68</v>
      </c>
      <c r="U335" s="177"/>
      <c r="V335" s="103"/>
      <c r="W335" s="177" t="str">
        <f t="shared" si="56"/>
        <v/>
      </c>
      <c r="X335" s="103"/>
      <c r="Y335" s="177" t="str">
        <f t="shared" si="57"/>
        <v/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2</v>
      </c>
      <c r="D336" s="57"/>
      <c r="E336" s="57"/>
      <c r="F336" s="75" t="s">
        <v>84</v>
      </c>
      <c r="G336" s="196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31000</v>
      </c>
      <c r="H336" s="57"/>
      <c r="I336" s="284" t="s">
        <v>80</v>
      </c>
      <c r="J336" s="285"/>
      <c r="K336" s="84">
        <f>K334-K335</f>
        <v>22000.221774193549</v>
      </c>
      <c r="L336" s="85"/>
      <c r="M336" s="57"/>
      <c r="N336" s="100"/>
      <c r="O336" s="101" t="s">
        <v>73</v>
      </c>
      <c r="P336" s="101"/>
      <c r="Q336" s="101"/>
      <c r="R336" s="101" t="str">
        <f t="shared" si="55"/>
        <v/>
      </c>
      <c r="S336" s="105"/>
      <c r="T336" s="101" t="s">
        <v>73</v>
      </c>
      <c r="U336" s="177"/>
      <c r="V336" s="103"/>
      <c r="W336" s="177" t="str">
        <f t="shared" si="56"/>
        <v/>
      </c>
      <c r="X336" s="103"/>
      <c r="Y336" s="177" t="str">
        <f t="shared" si="57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/>
      <c r="Q337" s="101"/>
      <c r="R337" s="101" t="str">
        <f t="shared" si="55"/>
        <v/>
      </c>
      <c r="S337" s="105"/>
      <c r="T337" s="101" t="s">
        <v>69</v>
      </c>
      <c r="U337" s="177"/>
      <c r="V337" s="103"/>
      <c r="W337" s="177" t="str">
        <f t="shared" si="56"/>
        <v/>
      </c>
      <c r="X337" s="103"/>
      <c r="Y337" s="177" t="str">
        <f t="shared" si="57"/>
        <v/>
      </c>
      <c r="Z337" s="106"/>
      <c r="AA337" s="57"/>
    </row>
    <row r="338" spans="1:27" s="55" customFormat="1" ht="21" customHeight="1" x14ac:dyDescent="0.25">
      <c r="A338" s="56"/>
      <c r="B338" s="286" t="s">
        <v>118</v>
      </c>
      <c r="C338" s="286"/>
      <c r="D338" s="286"/>
      <c r="E338" s="286"/>
      <c r="F338" s="286"/>
      <c r="G338" s="286"/>
      <c r="H338" s="286"/>
      <c r="I338" s="286"/>
      <c r="J338" s="286"/>
      <c r="K338" s="286"/>
      <c r="L338" s="73"/>
      <c r="M338" s="57"/>
      <c r="N338" s="100"/>
      <c r="O338" s="101" t="s">
        <v>74</v>
      </c>
      <c r="P338" s="101"/>
      <c r="Q338" s="101"/>
      <c r="R338" s="101" t="str">
        <f t="shared" si="55"/>
        <v/>
      </c>
      <c r="S338" s="105"/>
      <c r="T338" s="101" t="s">
        <v>74</v>
      </c>
      <c r="U338" s="177"/>
      <c r="V338" s="103"/>
      <c r="W338" s="177" t="str">
        <f t="shared" si="56"/>
        <v/>
      </c>
      <c r="X338" s="103"/>
      <c r="Y338" s="177" t="str">
        <f t="shared" si="57"/>
        <v/>
      </c>
      <c r="Z338" s="106"/>
      <c r="AA338" s="57"/>
    </row>
    <row r="339" spans="1:27" s="55" customFormat="1" ht="21" customHeight="1" x14ac:dyDescent="0.25">
      <c r="A339" s="56"/>
      <c r="B339" s="286"/>
      <c r="C339" s="286"/>
      <c r="D339" s="286"/>
      <c r="E339" s="286"/>
      <c r="F339" s="286"/>
      <c r="G339" s="286"/>
      <c r="H339" s="286"/>
      <c r="I339" s="286"/>
      <c r="J339" s="286"/>
      <c r="K339" s="286"/>
      <c r="L339" s="73"/>
      <c r="M339" s="57"/>
      <c r="N339" s="100"/>
      <c r="O339" s="101" t="s">
        <v>75</v>
      </c>
      <c r="P339" s="101"/>
      <c r="Q339" s="101"/>
      <c r="R339" s="101" t="str">
        <f t="shared" si="55"/>
        <v/>
      </c>
      <c r="S339" s="105"/>
      <c r="T339" s="101" t="s">
        <v>75</v>
      </c>
      <c r="U339" s="177"/>
      <c r="V339" s="103"/>
      <c r="W339" s="177" t="str">
        <f t="shared" si="56"/>
        <v/>
      </c>
      <c r="X339" s="103"/>
      <c r="Y339" s="177" t="str">
        <f t="shared" si="57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300" t="s">
        <v>57</v>
      </c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02"/>
      <c r="M342" s="140"/>
      <c r="N342" s="93"/>
      <c r="O342" s="290" t="s">
        <v>59</v>
      </c>
      <c r="P342" s="291"/>
      <c r="Q342" s="291"/>
      <c r="R342" s="292"/>
      <c r="S342" s="94"/>
      <c r="T342" s="290" t="s">
        <v>60</v>
      </c>
      <c r="U342" s="291"/>
      <c r="V342" s="291"/>
      <c r="W342" s="291"/>
      <c r="X342" s="291"/>
      <c r="Y342" s="292"/>
      <c r="Z342" s="95"/>
    </row>
    <row r="343" spans="1:27" s="55" customFormat="1" ht="21" customHeight="1" x14ac:dyDescent="0.25">
      <c r="A343" s="56"/>
      <c r="B343" s="57"/>
      <c r="C343" s="293" t="s">
        <v>116</v>
      </c>
      <c r="D343" s="293"/>
      <c r="E343" s="293"/>
      <c r="F343" s="293"/>
      <c r="G343" s="58" t="str">
        <f>$J$1</f>
        <v>May</v>
      </c>
      <c r="H343" s="294">
        <f>$K$1</f>
        <v>2019</v>
      </c>
      <c r="I343" s="294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/>
      <c r="L344" s="65"/>
      <c r="M344" s="57"/>
      <c r="N344" s="100"/>
      <c r="O344" s="101" t="s">
        <v>62</v>
      </c>
      <c r="P344" s="101">
        <v>5</v>
      </c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/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95" t="s">
        <v>60</v>
      </c>
      <c r="G346" s="295"/>
      <c r="H346" s="57"/>
      <c r="I346" s="295" t="s">
        <v>61</v>
      </c>
      <c r="J346" s="295"/>
      <c r="K346" s="295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58">IF(U346="","",U346+V346)</f>
        <v>0</v>
      </c>
      <c r="X346" s="103"/>
      <c r="Y346" s="177">
        <f t="shared" ref="Y346:Y355" si="5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58"/>
        <v>0</v>
      </c>
      <c r="X347" s="103"/>
      <c r="Y347" s="177">
        <f t="shared" si="59"/>
        <v>0</v>
      </c>
      <c r="Z347" s="106"/>
    </row>
    <row r="348" spans="1:27" s="55" customFormat="1" ht="21" customHeight="1" x14ac:dyDescent="0.25">
      <c r="A348" s="56"/>
      <c r="B348" s="296" t="s">
        <v>59</v>
      </c>
      <c r="C348" s="297"/>
      <c r="D348" s="57"/>
      <c r="E348" s="57"/>
      <c r="F348" s="75" t="s">
        <v>81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31</v>
      </c>
      <c r="J348" s="77" t="s">
        <v>78</v>
      </c>
      <c r="K348" s="78">
        <f>K344/$K$2*I348</f>
        <v>0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1" si="60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58"/>
        <v>0</v>
      </c>
      <c r="X348" s="103"/>
      <c r="Y348" s="177">
        <f t="shared" si="5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79</v>
      </c>
      <c r="K349" s="80">
        <f>K344/$K$2/8*I349</f>
        <v>0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58"/>
        <v>0</v>
      </c>
      <c r="X349" s="103"/>
      <c r="Y349" s="177">
        <f t="shared" si="5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82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98" t="s">
        <v>86</v>
      </c>
      <c r="J350" s="299"/>
      <c r="K350" s="80">
        <f>K348+K349</f>
        <v>0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58"/>
        <v>0</v>
      </c>
      <c r="X350" s="103"/>
      <c r="Y350" s="177">
        <f t="shared" si="5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98" t="s">
        <v>87</v>
      </c>
      <c r="J351" s="299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60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58"/>
        <v/>
      </c>
      <c r="X351" s="103"/>
      <c r="Y351" s="177" t="str">
        <f t="shared" si="59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 t="str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/>
      </c>
      <c r="D352" s="57"/>
      <c r="E352" s="57"/>
      <c r="F352" s="75" t="s">
        <v>84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84" t="s">
        <v>80</v>
      </c>
      <c r="J352" s="285"/>
      <c r="K352" s="84">
        <f>K350-K351</f>
        <v>0</v>
      </c>
      <c r="L352" s="85"/>
      <c r="M352" s="57"/>
      <c r="N352" s="100"/>
      <c r="O352" s="101" t="s">
        <v>73</v>
      </c>
      <c r="P352" s="101"/>
      <c r="Q352" s="101"/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58"/>
        <v/>
      </c>
      <c r="X352" s="103"/>
      <c r="Y352" s="177" t="str">
        <f t="shared" si="5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/>
      <c r="Q353" s="101"/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58"/>
        <v/>
      </c>
      <c r="X353" s="103"/>
      <c r="Y353" s="177" t="str">
        <f t="shared" si="59"/>
        <v/>
      </c>
      <c r="Z353" s="106"/>
    </row>
    <row r="354" spans="1:26" s="55" customFormat="1" ht="21" customHeight="1" x14ac:dyDescent="0.25">
      <c r="A354" s="56"/>
      <c r="B354" s="286"/>
      <c r="C354" s="286"/>
      <c r="D354" s="286"/>
      <c r="E354" s="286"/>
      <c r="F354" s="286"/>
      <c r="G354" s="286"/>
      <c r="H354" s="286"/>
      <c r="I354" s="286"/>
      <c r="J354" s="286"/>
      <c r="K354" s="286"/>
      <c r="L354" s="73"/>
      <c r="M354" s="57"/>
      <c r="N354" s="100"/>
      <c r="O354" s="101" t="s">
        <v>74</v>
      </c>
      <c r="P354" s="101"/>
      <c r="Q354" s="101"/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58"/>
        <v/>
      </c>
      <c r="X354" s="103"/>
      <c r="Y354" s="177" t="str">
        <f t="shared" si="59"/>
        <v/>
      </c>
      <c r="Z354" s="106"/>
    </row>
    <row r="355" spans="1:26" s="55" customFormat="1" ht="21" customHeight="1" x14ac:dyDescent="0.25">
      <c r="A355" s="56"/>
      <c r="B355" s="286"/>
      <c r="C355" s="286"/>
      <c r="D355" s="286"/>
      <c r="E355" s="286"/>
      <c r="F355" s="286"/>
      <c r="G355" s="286"/>
      <c r="H355" s="286"/>
      <c r="I355" s="286"/>
      <c r="J355" s="286"/>
      <c r="K355" s="286"/>
      <c r="L355" s="73"/>
      <c r="M355" s="57"/>
      <c r="N355" s="100"/>
      <c r="O355" s="101" t="s">
        <v>75</v>
      </c>
      <c r="P355" s="101"/>
      <c r="Q355" s="101"/>
      <c r="R355" s="101">
        <v>0</v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58"/>
        <v/>
      </c>
      <c r="X355" s="103"/>
      <c r="Y355" s="177" t="str">
        <f t="shared" si="5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315" t="s">
        <v>57</v>
      </c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17"/>
      <c r="M358" s="143"/>
      <c r="N358" s="93"/>
      <c r="O358" s="290" t="s">
        <v>59</v>
      </c>
      <c r="P358" s="291"/>
      <c r="Q358" s="291"/>
      <c r="R358" s="292"/>
      <c r="S358" s="94"/>
      <c r="T358" s="290" t="s">
        <v>60</v>
      </c>
      <c r="U358" s="291"/>
      <c r="V358" s="291"/>
      <c r="W358" s="291"/>
      <c r="X358" s="291"/>
      <c r="Y358" s="292"/>
      <c r="Z358" s="92"/>
    </row>
    <row r="359" spans="1:26" s="55" customFormat="1" ht="21" customHeight="1" x14ac:dyDescent="0.25">
      <c r="A359" s="56"/>
      <c r="B359" s="57"/>
      <c r="C359" s="293" t="s">
        <v>116</v>
      </c>
      <c r="D359" s="293"/>
      <c r="E359" s="293"/>
      <c r="F359" s="293"/>
      <c r="G359" s="58" t="str">
        <f>$J$1</f>
        <v>May</v>
      </c>
      <c r="H359" s="294">
        <f>$K$1</f>
        <v>2019</v>
      </c>
      <c r="I359" s="294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95" t="s">
        <v>60</v>
      </c>
      <c r="G362" s="295"/>
      <c r="H362" s="57"/>
      <c r="I362" s="295" t="s">
        <v>61</v>
      </c>
      <c r="J362" s="295"/>
      <c r="K362" s="295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61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62">IF(U362="","",U362+V362)</f>
        <v>0</v>
      </c>
      <c r="X362" s="103"/>
      <c r="Y362" s="177">
        <f t="shared" ref="Y362:Y371" si="6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61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62"/>
        <v>0</v>
      </c>
      <c r="X363" s="103"/>
      <c r="Y363" s="177">
        <f t="shared" si="63"/>
        <v>0</v>
      </c>
      <c r="Z363" s="92"/>
    </row>
    <row r="364" spans="1:26" s="55" customFormat="1" ht="21" customHeight="1" x14ac:dyDescent="0.25">
      <c r="A364" s="56"/>
      <c r="B364" s="296" t="s">
        <v>59</v>
      </c>
      <c r="C364" s="297"/>
      <c r="D364" s="57"/>
      <c r="E364" s="57"/>
      <c r="F364" s="75" t="s">
        <v>81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61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62"/>
        <v>0</v>
      </c>
      <c r="X364" s="103"/>
      <c r="Y364" s="177">
        <f t="shared" si="6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61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62"/>
        <v>0</v>
      </c>
      <c r="X365" s="103"/>
      <c r="Y365" s="177">
        <f t="shared" si="6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98" t="s">
        <v>86</v>
      </c>
      <c r="J366" s="299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61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62"/>
        <v/>
      </c>
      <c r="X366" s="103"/>
      <c r="Y366" s="177" t="str">
        <f t="shared" si="6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98" t="s">
        <v>87</v>
      </c>
      <c r="J367" s="299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61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62"/>
        <v/>
      </c>
      <c r="X367" s="103"/>
      <c r="Y367" s="177" t="str">
        <f t="shared" si="63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84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84" t="s">
        <v>80</v>
      </c>
      <c r="J368" s="285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61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62"/>
        <v/>
      </c>
      <c r="X368" s="103"/>
      <c r="Y368" s="177" t="str">
        <f t="shared" si="6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61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62"/>
        <v/>
      </c>
      <c r="X369" s="103"/>
      <c r="Y369" s="177" t="str">
        <f t="shared" si="63"/>
        <v/>
      </c>
      <c r="Z369" s="92"/>
    </row>
    <row r="370" spans="1:26" s="55" customFormat="1" ht="21" customHeight="1" x14ac:dyDescent="0.25">
      <c r="A370" s="56"/>
      <c r="B370" s="286" t="s">
        <v>118</v>
      </c>
      <c r="C370" s="286"/>
      <c r="D370" s="286"/>
      <c r="E370" s="286"/>
      <c r="F370" s="286"/>
      <c r="G370" s="286"/>
      <c r="H370" s="286"/>
      <c r="I370" s="286"/>
      <c r="J370" s="286"/>
      <c r="K370" s="286"/>
      <c r="L370" s="73"/>
      <c r="M370" s="57"/>
      <c r="N370" s="100"/>
      <c r="O370" s="101" t="s">
        <v>74</v>
      </c>
      <c r="P370" s="101"/>
      <c r="Q370" s="101"/>
      <c r="R370" s="101" t="str">
        <f t="shared" si="61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62"/>
        <v/>
      </c>
      <c r="X370" s="103"/>
      <c r="Y370" s="177" t="str">
        <f t="shared" si="63"/>
        <v/>
      </c>
      <c r="Z370" s="92"/>
    </row>
    <row r="371" spans="1:26" s="55" customFormat="1" ht="21" customHeight="1" x14ac:dyDescent="0.25">
      <c r="A371" s="56"/>
      <c r="B371" s="286"/>
      <c r="C371" s="286"/>
      <c r="D371" s="286"/>
      <c r="E371" s="286"/>
      <c r="F371" s="286"/>
      <c r="G371" s="286"/>
      <c r="H371" s="286"/>
      <c r="I371" s="286"/>
      <c r="J371" s="286"/>
      <c r="K371" s="286"/>
      <c r="L371" s="73"/>
      <c r="M371" s="57"/>
      <c r="N371" s="100"/>
      <c r="O371" s="101" t="s">
        <v>75</v>
      </c>
      <c r="P371" s="101"/>
      <c r="Q371" s="101"/>
      <c r="R371" s="101" t="str">
        <f t="shared" si="61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62"/>
        <v/>
      </c>
      <c r="X371" s="103"/>
      <c r="Y371" s="177" t="str">
        <f t="shared" si="6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300" t="s">
        <v>57</v>
      </c>
      <c r="B374" s="301"/>
      <c r="C374" s="301"/>
      <c r="D374" s="301"/>
      <c r="E374" s="301"/>
      <c r="F374" s="301"/>
      <c r="G374" s="301"/>
      <c r="H374" s="301"/>
      <c r="I374" s="301"/>
      <c r="J374" s="301"/>
      <c r="K374" s="301"/>
      <c r="L374" s="302"/>
      <c r="M374" s="143"/>
      <c r="N374" s="93"/>
      <c r="O374" s="290" t="s">
        <v>59</v>
      </c>
      <c r="P374" s="291"/>
      <c r="Q374" s="291"/>
      <c r="R374" s="292"/>
      <c r="S374" s="94"/>
      <c r="T374" s="290" t="s">
        <v>60</v>
      </c>
      <c r="U374" s="291"/>
      <c r="V374" s="291"/>
      <c r="W374" s="291"/>
      <c r="X374" s="291"/>
      <c r="Y374" s="292"/>
      <c r="Z374" s="92"/>
    </row>
    <row r="375" spans="1:26" s="55" customFormat="1" ht="21" customHeight="1" x14ac:dyDescent="0.25">
      <c r="A375" s="56"/>
      <c r="B375" s="57"/>
      <c r="C375" s="293" t="s">
        <v>116</v>
      </c>
      <c r="D375" s="293"/>
      <c r="E375" s="293"/>
      <c r="F375" s="293"/>
      <c r="G375" s="58" t="str">
        <f>$J$1</f>
        <v>May</v>
      </c>
      <c r="H375" s="294">
        <f>$K$1</f>
        <v>2019</v>
      </c>
      <c r="I375" s="294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28</v>
      </c>
      <c r="Q376" s="101">
        <v>3</v>
      </c>
      <c r="R376" s="101">
        <v>0</v>
      </c>
      <c r="S376" s="102"/>
      <c r="T376" s="101" t="s">
        <v>62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>
        <v>26</v>
      </c>
      <c r="Q377" s="101">
        <v>2</v>
      </c>
      <c r="R377" s="101">
        <v>0</v>
      </c>
      <c r="S377" s="105"/>
      <c r="T377" s="101" t="s">
        <v>88</v>
      </c>
      <c r="U377" s="177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95" t="s">
        <v>60</v>
      </c>
      <c r="G378" s="295"/>
      <c r="H378" s="57"/>
      <c r="I378" s="295" t="s">
        <v>61</v>
      </c>
      <c r="J378" s="295"/>
      <c r="K378" s="295"/>
      <c r="L378" s="73"/>
      <c r="M378" s="57"/>
      <c r="N378" s="100"/>
      <c r="O378" s="101" t="s">
        <v>63</v>
      </c>
      <c r="P378" s="101">
        <v>22</v>
      </c>
      <c r="Q378" s="101">
        <v>9</v>
      </c>
      <c r="R378" s="101">
        <v>0</v>
      </c>
      <c r="S378" s="105"/>
      <c r="T378" s="101" t="s">
        <v>63</v>
      </c>
      <c r="U378" s="177">
        <f>IF($J$1="April",Y377,Y377)</f>
        <v>0</v>
      </c>
      <c r="V378" s="103">
        <f>5000+1000</f>
        <v>6000</v>
      </c>
      <c r="W378" s="177">
        <f t="shared" ref="W378:W387" si="64">IF(U378="","",U378+V378)</f>
        <v>6000</v>
      </c>
      <c r="X378" s="103">
        <v>6000</v>
      </c>
      <c r="Y378" s="177">
        <f t="shared" ref="Y378:Y387" si="65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>
        <v>28</v>
      </c>
      <c r="Q379" s="101">
        <v>2</v>
      </c>
      <c r="R379" s="101">
        <v>0</v>
      </c>
      <c r="S379" s="105"/>
      <c r="T379" s="101" t="s">
        <v>64</v>
      </c>
      <c r="U379" s="177">
        <f>IF($J$1="April",Y378,Y378)</f>
        <v>0</v>
      </c>
      <c r="V379" s="103">
        <f>1000+5000+2000</f>
        <v>8000</v>
      </c>
      <c r="W379" s="177">
        <f t="shared" si="64"/>
        <v>8000</v>
      </c>
      <c r="X379" s="103">
        <v>8000</v>
      </c>
      <c r="Y379" s="177">
        <f t="shared" si="65"/>
        <v>0</v>
      </c>
      <c r="Z379" s="92"/>
    </row>
    <row r="380" spans="1:26" s="55" customFormat="1" ht="21" customHeight="1" x14ac:dyDescent="0.25">
      <c r="A380" s="56"/>
      <c r="B380" s="296" t="s">
        <v>59</v>
      </c>
      <c r="C380" s="297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27</v>
      </c>
      <c r="J380" s="77" t="s">
        <v>78</v>
      </c>
      <c r="K380" s="78">
        <f>K376/$K$2*I380</f>
        <v>13935.483870967742</v>
      </c>
      <c r="L380" s="79"/>
      <c r="M380" s="57"/>
      <c r="N380" s="100"/>
      <c r="O380" s="101" t="s">
        <v>65</v>
      </c>
      <c r="P380" s="101">
        <v>27</v>
      </c>
      <c r="Q380" s="101">
        <v>4</v>
      </c>
      <c r="R380" s="101">
        <v>0</v>
      </c>
      <c r="S380" s="105"/>
      <c r="T380" s="101" t="s">
        <v>65</v>
      </c>
      <c r="U380" s="177"/>
      <c r="V380" s="103">
        <f>5000+5000</f>
        <v>10000</v>
      </c>
      <c r="W380" s="177">
        <f>V380+U380</f>
        <v>10000</v>
      </c>
      <c r="X380" s="103">
        <v>10000</v>
      </c>
      <c r="Y380" s="177">
        <f t="shared" si="65"/>
        <v>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10000</v>
      </c>
      <c r="H381" s="74"/>
      <c r="I381" s="120">
        <v>0</v>
      </c>
      <c r="J381" s="77" t="s">
        <v>79</v>
      </c>
      <c r="K381" s="80">
        <f>K376/$K$2/8*I381</f>
        <v>0</v>
      </c>
      <c r="L381" s="81"/>
      <c r="M381" s="57"/>
      <c r="N381" s="100"/>
      <c r="O381" s="101" t="s">
        <v>66</v>
      </c>
      <c r="P381" s="101"/>
      <c r="Q381" s="101"/>
      <c r="R381" s="101">
        <v>0</v>
      </c>
      <c r="S381" s="105"/>
      <c r="T381" s="101" t="s">
        <v>66</v>
      </c>
      <c r="U381" s="177"/>
      <c r="V381" s="103">
        <v>65</v>
      </c>
      <c r="W381" s="177" t="str">
        <f t="shared" si="64"/>
        <v/>
      </c>
      <c r="X381" s="103"/>
      <c r="Y381" s="177" t="str">
        <f t="shared" si="65"/>
        <v/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27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10000</v>
      </c>
      <c r="H382" s="74"/>
      <c r="I382" s="298" t="s">
        <v>86</v>
      </c>
      <c r="J382" s="299"/>
      <c r="K382" s="80">
        <f>K380+K381</f>
        <v>13935.483870967742</v>
      </c>
      <c r="L382" s="81"/>
      <c r="M382" s="57"/>
      <c r="N382" s="100"/>
      <c r="O382" s="101" t="s">
        <v>67</v>
      </c>
      <c r="P382" s="101"/>
      <c r="Q382" s="101"/>
      <c r="R382" s="101">
        <v>0</v>
      </c>
      <c r="S382" s="105"/>
      <c r="T382" s="101" t="s">
        <v>67</v>
      </c>
      <c r="U382" s="177" t="str">
        <f>IF($J$1="May",Y381,Y381)</f>
        <v/>
      </c>
      <c r="V382" s="103"/>
      <c r="W382" s="177" t="str">
        <f t="shared" si="64"/>
        <v/>
      </c>
      <c r="X382" s="103"/>
      <c r="Y382" s="177" t="str">
        <f t="shared" si="65"/>
        <v/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4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10000</v>
      </c>
      <c r="H383" s="74"/>
      <c r="I383" s="298" t="s">
        <v>87</v>
      </c>
      <c r="J383" s="299"/>
      <c r="K383" s="70">
        <f>G383</f>
        <v>10000</v>
      </c>
      <c r="L383" s="82"/>
      <c r="M383" s="57"/>
      <c r="N383" s="100"/>
      <c r="O383" s="101" t="s">
        <v>68</v>
      </c>
      <c r="P383" s="101"/>
      <c r="Q383" s="101"/>
      <c r="R383" s="101">
        <v>0</v>
      </c>
      <c r="S383" s="105"/>
      <c r="T383" s="101" t="s">
        <v>68</v>
      </c>
      <c r="U383" s="177" t="str">
        <f>IF($J$1="May",Y382,Y382)</f>
        <v/>
      </c>
      <c r="V383" s="103"/>
      <c r="W383" s="177" t="str">
        <f t="shared" si="64"/>
        <v/>
      </c>
      <c r="X383" s="103"/>
      <c r="Y383" s="177" t="str">
        <f t="shared" si="65"/>
        <v/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84" t="s">
        <v>80</v>
      </c>
      <c r="J384" s="285"/>
      <c r="K384" s="84">
        <f>K382-K383</f>
        <v>3935.4838709677424</v>
      </c>
      <c r="L384" s="85"/>
      <c r="M384" s="57"/>
      <c r="N384" s="100"/>
      <c r="O384" s="101" t="s">
        <v>73</v>
      </c>
      <c r="P384" s="101"/>
      <c r="Q384" s="101"/>
      <c r="R384" s="101">
        <v>0</v>
      </c>
      <c r="S384" s="105"/>
      <c r="T384" s="101" t="s">
        <v>73</v>
      </c>
      <c r="U384" s="177" t="str">
        <f>IF($J$1="May",Y383,Y383)</f>
        <v/>
      </c>
      <c r="V384" s="103"/>
      <c r="W384" s="177" t="str">
        <f t="shared" si="64"/>
        <v/>
      </c>
      <c r="X384" s="103"/>
      <c r="Y384" s="177" t="str">
        <f t="shared" si="65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/>
      <c r="Q385" s="101"/>
      <c r="R385" s="101">
        <v>0</v>
      </c>
      <c r="S385" s="105"/>
      <c r="T385" s="101" t="s">
        <v>69</v>
      </c>
      <c r="U385" s="177" t="str">
        <f t="shared" ref="U385:U387" si="66">Y384</f>
        <v/>
      </c>
      <c r="V385" s="103"/>
      <c r="W385" s="177" t="str">
        <f t="shared" si="64"/>
        <v/>
      </c>
      <c r="X385" s="103"/>
      <c r="Y385" s="177" t="str">
        <f t="shared" si="65"/>
        <v/>
      </c>
      <c r="Z385" s="92"/>
    </row>
    <row r="386" spans="1:26" s="55" customFormat="1" ht="21" customHeight="1" x14ac:dyDescent="0.25">
      <c r="A386" s="56"/>
      <c r="B386" s="286" t="s">
        <v>118</v>
      </c>
      <c r="C386" s="286"/>
      <c r="D386" s="286"/>
      <c r="E386" s="286"/>
      <c r="F386" s="286"/>
      <c r="G386" s="286"/>
      <c r="H386" s="286"/>
      <c r="I386" s="286"/>
      <c r="J386" s="286"/>
      <c r="K386" s="286"/>
      <c r="L386" s="73"/>
      <c r="M386" s="57"/>
      <c r="N386" s="100"/>
      <c r="O386" s="101" t="s">
        <v>74</v>
      </c>
      <c r="P386" s="101"/>
      <c r="Q386" s="101"/>
      <c r="R386" s="101" t="str">
        <f>IF(Q386="","",R385-Q386)</f>
        <v/>
      </c>
      <c r="S386" s="105"/>
      <c r="T386" s="101" t="s">
        <v>74</v>
      </c>
      <c r="U386" s="177" t="str">
        <f t="shared" si="66"/>
        <v/>
      </c>
      <c r="V386" s="103"/>
      <c r="W386" s="177" t="str">
        <f t="shared" si="64"/>
        <v/>
      </c>
      <c r="X386" s="103"/>
      <c r="Y386" s="177" t="str">
        <f t="shared" si="65"/>
        <v/>
      </c>
      <c r="Z386" s="92"/>
    </row>
    <row r="387" spans="1:26" s="55" customFormat="1" ht="21" customHeight="1" x14ac:dyDescent="0.25">
      <c r="A387" s="56"/>
      <c r="B387" s="286"/>
      <c r="C387" s="286"/>
      <c r="D387" s="286"/>
      <c r="E387" s="286"/>
      <c r="F387" s="286"/>
      <c r="G387" s="286"/>
      <c r="H387" s="286"/>
      <c r="I387" s="286"/>
      <c r="J387" s="286"/>
      <c r="K387" s="286"/>
      <c r="L387" s="73"/>
      <c r="M387" s="57"/>
      <c r="N387" s="100"/>
      <c r="O387" s="101" t="s">
        <v>75</v>
      </c>
      <c r="P387" s="101"/>
      <c r="Q387" s="101"/>
      <c r="R387" s="101">
        <v>0</v>
      </c>
      <c r="S387" s="105"/>
      <c r="T387" s="101" t="s">
        <v>75</v>
      </c>
      <c r="U387" s="177" t="str">
        <f t="shared" si="66"/>
        <v/>
      </c>
      <c r="V387" s="103"/>
      <c r="W387" s="177" t="str">
        <f t="shared" si="64"/>
        <v/>
      </c>
      <c r="X387" s="103"/>
      <c r="Y387" s="177" t="str">
        <f t="shared" si="6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300" t="s">
        <v>57</v>
      </c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02"/>
      <c r="M390" s="143"/>
      <c r="N390" s="93"/>
      <c r="O390" s="290" t="s">
        <v>59</v>
      </c>
      <c r="P390" s="291"/>
      <c r="Q390" s="291"/>
      <c r="R390" s="292"/>
      <c r="S390" s="94"/>
      <c r="T390" s="290" t="s">
        <v>60</v>
      </c>
      <c r="U390" s="291"/>
      <c r="V390" s="291"/>
      <c r="W390" s="291"/>
      <c r="X390" s="291"/>
      <c r="Y390" s="292"/>
      <c r="Z390" s="92"/>
    </row>
    <row r="391" spans="1:26" s="55" customFormat="1" ht="21" customHeight="1" x14ac:dyDescent="0.25">
      <c r="A391" s="56"/>
      <c r="B391" s="57"/>
      <c r="C391" s="293" t="s">
        <v>116</v>
      </c>
      <c r="D391" s="293"/>
      <c r="E391" s="293"/>
      <c r="F391" s="293"/>
      <c r="G391" s="58" t="str">
        <f>$J$1</f>
        <v>May</v>
      </c>
      <c r="H391" s="294">
        <f>$K$1</f>
        <v>2019</v>
      </c>
      <c r="I391" s="294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>
        <v>15</v>
      </c>
      <c r="S392" s="102"/>
      <c r="T392" s="101" t="s">
        <v>62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138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/>
      <c r="Q393" s="101"/>
      <c r="R393" s="101">
        <f>R392-Q393</f>
        <v>15</v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95" t="s">
        <v>60</v>
      </c>
      <c r="G394" s="295"/>
      <c r="H394" s="57"/>
      <c r="I394" s="295" t="s">
        <v>61</v>
      </c>
      <c r="J394" s="295"/>
      <c r="K394" s="295"/>
      <c r="L394" s="73"/>
      <c r="M394" s="57"/>
      <c r="N394" s="100"/>
      <c r="O394" s="101" t="s">
        <v>63</v>
      </c>
      <c r="P394" s="101"/>
      <c r="Q394" s="101">
        <v>1</v>
      </c>
      <c r="R394" s="101">
        <f t="shared" ref="R394:R397" si="67">IF(Q394="","",R393-Q394)</f>
        <v>14</v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68">IF(U394="","",U394+V394)</f>
        <v>0</v>
      </c>
      <c r="X394" s="103"/>
      <c r="Y394" s="177">
        <f t="shared" ref="Y394:Y403" si="69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>
        <v>30</v>
      </c>
      <c r="Q395" s="101">
        <v>0</v>
      </c>
      <c r="R395" s="101">
        <f t="shared" si="67"/>
        <v>14</v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68"/>
        <v>0</v>
      </c>
      <c r="X395" s="103"/>
      <c r="Y395" s="177">
        <f t="shared" si="69"/>
        <v>0</v>
      </c>
      <c r="Z395" s="92"/>
    </row>
    <row r="396" spans="1:26" s="55" customFormat="1" ht="21" customHeight="1" x14ac:dyDescent="0.25">
      <c r="A396" s="56"/>
      <c r="B396" s="296" t="s">
        <v>59</v>
      </c>
      <c r="C396" s="297"/>
      <c r="D396" s="57"/>
      <c r="E396" s="57"/>
      <c r="F396" s="75" t="s">
        <v>81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31</v>
      </c>
      <c r="J396" s="77" t="s">
        <v>78</v>
      </c>
      <c r="K396" s="78">
        <f>K392/$K$2*I396</f>
        <v>15500</v>
      </c>
      <c r="L396" s="79"/>
      <c r="M396" s="57"/>
      <c r="N396" s="100"/>
      <c r="O396" s="101" t="s">
        <v>65</v>
      </c>
      <c r="P396" s="101">
        <v>29</v>
      </c>
      <c r="Q396" s="101">
        <v>2</v>
      </c>
      <c r="R396" s="101">
        <f t="shared" si="67"/>
        <v>12</v>
      </c>
      <c r="S396" s="105"/>
      <c r="T396" s="101" t="s">
        <v>65</v>
      </c>
      <c r="U396" s="177">
        <f>IF($J$1="May",Y395,Y395)</f>
        <v>0</v>
      </c>
      <c r="V396" s="103">
        <v>3000</v>
      </c>
      <c r="W396" s="177">
        <f t="shared" si="68"/>
        <v>3000</v>
      </c>
      <c r="X396" s="103">
        <v>3000</v>
      </c>
      <c r="Y396" s="177">
        <f t="shared" si="69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3000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67"/>
        <v/>
      </c>
      <c r="S397" s="105"/>
      <c r="T397" s="101" t="s">
        <v>66</v>
      </c>
      <c r="U397" s="177"/>
      <c r="V397" s="103"/>
      <c r="W397" s="177" t="str">
        <f t="shared" si="68"/>
        <v/>
      </c>
      <c r="X397" s="103"/>
      <c r="Y397" s="177" t="str">
        <f t="shared" si="69"/>
        <v/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29</v>
      </c>
      <c r="D398" s="57"/>
      <c r="E398" s="57"/>
      <c r="F398" s="75" t="s">
        <v>82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3000</v>
      </c>
      <c r="H398" s="74"/>
      <c r="I398" s="298" t="s">
        <v>86</v>
      </c>
      <c r="J398" s="299"/>
      <c r="K398" s="80">
        <f>K396+K397</f>
        <v>15500</v>
      </c>
      <c r="L398" s="81"/>
      <c r="M398" s="57"/>
      <c r="N398" s="100"/>
      <c r="O398" s="101" t="s">
        <v>67</v>
      </c>
      <c r="P398" s="101"/>
      <c r="Q398" s="101"/>
      <c r="R398" s="101">
        <v>0</v>
      </c>
      <c r="S398" s="105"/>
      <c r="T398" s="101" t="s">
        <v>67</v>
      </c>
      <c r="U398" s="177"/>
      <c r="V398" s="103"/>
      <c r="W398" s="177" t="str">
        <f t="shared" si="68"/>
        <v/>
      </c>
      <c r="X398" s="103"/>
      <c r="Y398" s="177" t="str">
        <f t="shared" si="69"/>
        <v/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2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3000</v>
      </c>
      <c r="H399" s="74"/>
      <c r="I399" s="298" t="s">
        <v>87</v>
      </c>
      <c r="J399" s="299"/>
      <c r="K399" s="70">
        <f>G399</f>
        <v>3000</v>
      </c>
      <c r="L399" s="82"/>
      <c r="M399" s="57"/>
      <c r="N399" s="100"/>
      <c r="O399" s="101" t="s">
        <v>68</v>
      </c>
      <c r="P399" s="101"/>
      <c r="Q399" s="101"/>
      <c r="R399" s="101">
        <v>0</v>
      </c>
      <c r="S399" s="105"/>
      <c r="T399" s="101" t="s">
        <v>68</v>
      </c>
      <c r="U399" s="177"/>
      <c r="V399" s="103"/>
      <c r="W399" s="177" t="str">
        <f t="shared" si="68"/>
        <v/>
      </c>
      <c r="X399" s="103"/>
      <c r="Y399" s="177" t="str">
        <f t="shared" si="69"/>
        <v/>
      </c>
      <c r="Z399" s="92"/>
    </row>
    <row r="400" spans="1:26" s="55" customFormat="1" ht="21" customHeight="1" x14ac:dyDescent="0.25">
      <c r="A400" s="56"/>
      <c r="B400" s="83" t="s">
        <v>85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12</v>
      </c>
      <c r="D400" s="57"/>
      <c r="E400" s="57"/>
      <c r="F400" s="75" t="s">
        <v>84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84" t="s">
        <v>80</v>
      </c>
      <c r="J400" s="285"/>
      <c r="K400" s="84">
        <f>K398-K399</f>
        <v>12500</v>
      </c>
      <c r="L400" s="85"/>
      <c r="M400" s="57"/>
      <c r="N400" s="100"/>
      <c r="O400" s="101" t="s">
        <v>73</v>
      </c>
      <c r="P400" s="101"/>
      <c r="Q400" s="101"/>
      <c r="R400" s="101">
        <v>0</v>
      </c>
      <c r="S400" s="105"/>
      <c r="T400" s="101" t="s">
        <v>73</v>
      </c>
      <c r="U400" s="177"/>
      <c r="V400" s="103"/>
      <c r="W400" s="177" t="str">
        <f t="shared" si="68"/>
        <v/>
      </c>
      <c r="X400" s="103"/>
      <c r="Y400" s="177" t="str">
        <f t="shared" si="69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194"/>
      <c r="K401" s="194"/>
      <c r="L401" s="73"/>
      <c r="M401" s="57"/>
      <c r="N401" s="100"/>
      <c r="O401" s="101" t="s">
        <v>69</v>
      </c>
      <c r="P401" s="101"/>
      <c r="Q401" s="101"/>
      <c r="R401" s="101">
        <v>0</v>
      </c>
      <c r="S401" s="105"/>
      <c r="T401" s="101" t="s">
        <v>69</v>
      </c>
      <c r="U401" s="177"/>
      <c r="V401" s="103"/>
      <c r="W401" s="177" t="str">
        <f t="shared" si="68"/>
        <v/>
      </c>
      <c r="X401" s="103"/>
      <c r="Y401" s="177" t="str">
        <f t="shared" si="69"/>
        <v/>
      </c>
      <c r="Z401" s="92"/>
    </row>
    <row r="402" spans="1:26" s="55" customFormat="1" ht="21" customHeight="1" x14ac:dyDescent="0.25">
      <c r="A402" s="56"/>
      <c r="B402" s="286" t="s">
        <v>118</v>
      </c>
      <c r="C402" s="286"/>
      <c r="D402" s="286"/>
      <c r="E402" s="286"/>
      <c r="F402" s="286"/>
      <c r="G402" s="286"/>
      <c r="H402" s="286"/>
      <c r="I402" s="286"/>
      <c r="J402" s="286"/>
      <c r="K402" s="286"/>
      <c r="L402" s="73"/>
      <c r="M402" s="57"/>
      <c r="N402" s="100"/>
      <c r="O402" s="101" t="s">
        <v>74</v>
      </c>
      <c r="P402" s="101"/>
      <c r="Q402" s="101"/>
      <c r="R402" s="101">
        <v>0</v>
      </c>
      <c r="S402" s="105"/>
      <c r="T402" s="101" t="s">
        <v>74</v>
      </c>
      <c r="U402" s="177"/>
      <c r="V402" s="103"/>
      <c r="W402" s="177" t="str">
        <f t="shared" si="68"/>
        <v/>
      </c>
      <c r="X402" s="103"/>
      <c r="Y402" s="177" t="str">
        <f t="shared" si="69"/>
        <v/>
      </c>
      <c r="Z402" s="92"/>
    </row>
    <row r="403" spans="1:26" s="55" customFormat="1" ht="21" customHeight="1" x14ac:dyDescent="0.25">
      <c r="A403" s="56"/>
      <c r="B403" s="286"/>
      <c r="C403" s="286"/>
      <c r="D403" s="286"/>
      <c r="E403" s="286"/>
      <c r="F403" s="286"/>
      <c r="G403" s="286"/>
      <c r="H403" s="286"/>
      <c r="I403" s="286"/>
      <c r="J403" s="286"/>
      <c r="K403" s="286"/>
      <c r="L403" s="73"/>
      <c r="M403" s="57"/>
      <c r="N403" s="100"/>
      <c r="O403" s="101" t="s">
        <v>75</v>
      </c>
      <c r="P403" s="101"/>
      <c r="Q403" s="101"/>
      <c r="R403" s="101">
        <v>0</v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68"/>
        <v/>
      </c>
      <c r="X403" s="103"/>
      <c r="Y403" s="177" t="str">
        <f t="shared" si="69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300" t="s">
        <v>57</v>
      </c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02"/>
      <c r="M406" s="143"/>
      <c r="N406" s="93"/>
      <c r="O406" s="290" t="s">
        <v>59</v>
      </c>
      <c r="P406" s="291"/>
      <c r="Q406" s="291"/>
      <c r="R406" s="292"/>
      <c r="S406" s="94"/>
      <c r="T406" s="290" t="s">
        <v>60</v>
      </c>
      <c r="U406" s="291"/>
      <c r="V406" s="291"/>
      <c r="W406" s="291"/>
      <c r="X406" s="291"/>
      <c r="Y406" s="292"/>
      <c r="Z406" s="92"/>
    </row>
    <row r="407" spans="1:26" s="55" customFormat="1" ht="21" customHeight="1" x14ac:dyDescent="0.25">
      <c r="A407" s="56"/>
      <c r="B407" s="57"/>
      <c r="C407" s="293" t="s">
        <v>116</v>
      </c>
      <c r="D407" s="293"/>
      <c r="E407" s="293"/>
      <c r="F407" s="293"/>
      <c r="G407" s="58" t="str">
        <f>$J$1</f>
        <v>May</v>
      </c>
      <c r="H407" s="294">
        <f>$K$1</f>
        <v>2019</v>
      </c>
      <c r="I407" s="294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62</v>
      </c>
      <c r="P408" s="101">
        <v>28</v>
      </c>
      <c r="Q408" s="101">
        <v>3</v>
      </c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175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>
        <v>26</v>
      </c>
      <c r="Q409" s="101">
        <v>2</v>
      </c>
      <c r="R409" s="101">
        <v>0</v>
      </c>
      <c r="S409" s="105"/>
      <c r="T409" s="101" t="s">
        <v>88</v>
      </c>
      <c r="U409" s="177">
        <f>Y408</f>
        <v>0</v>
      </c>
      <c r="V409" s="103">
        <v>2000</v>
      </c>
      <c r="W409" s="177">
        <f>IF(U409="","",U409+V409)</f>
        <v>2000</v>
      </c>
      <c r="X409" s="103">
        <v>2000</v>
      </c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95" t="s">
        <v>60</v>
      </c>
      <c r="G410" s="295"/>
      <c r="H410" s="57"/>
      <c r="I410" s="295" t="s">
        <v>61</v>
      </c>
      <c r="J410" s="295"/>
      <c r="K410" s="295"/>
      <c r="L410" s="73"/>
      <c r="M410" s="57"/>
      <c r="N410" s="100"/>
      <c r="O410" s="101" t="s">
        <v>63</v>
      </c>
      <c r="P410" s="101">
        <v>29</v>
      </c>
      <c r="Q410" s="101">
        <v>2</v>
      </c>
      <c r="R410" s="101">
        <v>0</v>
      </c>
      <c r="S410" s="105"/>
      <c r="T410" s="101" t="s">
        <v>63</v>
      </c>
      <c r="U410" s="177"/>
      <c r="V410" s="103"/>
      <c r="W410" s="177" t="str">
        <f t="shared" ref="W410:W419" si="70">IF(U410="","",U410+V410)</f>
        <v/>
      </c>
      <c r="X410" s="103"/>
      <c r="Y410" s="177" t="str">
        <f t="shared" ref="Y410:Y419" si="71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>
        <v>26</v>
      </c>
      <c r="Q411" s="101">
        <v>4</v>
      </c>
      <c r="R411" s="101">
        <v>0</v>
      </c>
      <c r="S411" s="105"/>
      <c r="T411" s="101" t="s">
        <v>64</v>
      </c>
      <c r="U411" s="177" t="str">
        <f>IF($J$1="April",Y410,Y410)</f>
        <v/>
      </c>
      <c r="V411" s="103"/>
      <c r="W411" s="177" t="str">
        <f t="shared" si="70"/>
        <v/>
      </c>
      <c r="X411" s="103"/>
      <c r="Y411" s="177" t="str">
        <f t="shared" si="71"/>
        <v/>
      </c>
      <c r="Z411" s="92"/>
    </row>
    <row r="412" spans="1:26" s="55" customFormat="1" ht="21" customHeight="1" x14ac:dyDescent="0.25">
      <c r="A412" s="56"/>
      <c r="B412" s="296" t="s">
        <v>59</v>
      </c>
      <c r="C412" s="297"/>
      <c r="D412" s="57"/>
      <c r="E412" s="57"/>
      <c r="F412" s="75" t="s">
        <v>81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28</v>
      </c>
      <c r="J412" s="77" t="s">
        <v>78</v>
      </c>
      <c r="K412" s="78">
        <f>K408/$K$2*I412</f>
        <v>14451.612903225807</v>
      </c>
      <c r="L412" s="79"/>
      <c r="M412" s="57"/>
      <c r="N412" s="100"/>
      <c r="O412" s="101" t="s">
        <v>65</v>
      </c>
      <c r="P412" s="101">
        <v>28</v>
      </c>
      <c r="Q412" s="101">
        <v>3</v>
      </c>
      <c r="R412" s="101">
        <v>0</v>
      </c>
      <c r="S412" s="105"/>
      <c r="T412" s="101" t="s">
        <v>65</v>
      </c>
      <c r="U412" s="177"/>
      <c r="V412" s="103"/>
      <c r="W412" s="177" t="str">
        <f t="shared" si="70"/>
        <v/>
      </c>
      <c r="X412" s="103"/>
      <c r="Y412" s="177" t="str">
        <f t="shared" si="71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7.73</v>
      </c>
      <c r="J413" s="77" t="s">
        <v>79</v>
      </c>
      <c r="K413" s="80">
        <f>K408/$K$2/8*I413</f>
        <v>498.70967741935488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/>
      <c r="V413" s="103">
        <v>50</v>
      </c>
      <c r="W413" s="177" t="str">
        <f t="shared" si="70"/>
        <v/>
      </c>
      <c r="X413" s="103"/>
      <c r="Y413" s="177" t="str">
        <f t="shared" si="71"/>
        <v/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28</v>
      </c>
      <c r="D414" s="57"/>
      <c r="E414" s="57"/>
      <c r="F414" s="75" t="s">
        <v>82</v>
      </c>
      <c r="G414" s="70" t="str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/>
      </c>
      <c r="H414" s="74"/>
      <c r="I414" s="298" t="s">
        <v>86</v>
      </c>
      <c r="J414" s="299"/>
      <c r="K414" s="80">
        <f>K412+K413</f>
        <v>14950.322580645161</v>
      </c>
      <c r="L414" s="81"/>
      <c r="M414" s="57"/>
      <c r="N414" s="100"/>
      <c r="O414" s="101" t="s">
        <v>67</v>
      </c>
      <c r="P414" s="101"/>
      <c r="Q414" s="101"/>
      <c r="R414" s="101" t="str">
        <f t="shared" ref="R414:R419" si="72">IF(Q414="","",R413-Q414)</f>
        <v/>
      </c>
      <c r="S414" s="105"/>
      <c r="T414" s="101" t="s">
        <v>67</v>
      </c>
      <c r="U414" s="177"/>
      <c r="V414" s="103"/>
      <c r="W414" s="177" t="str">
        <f t="shared" si="70"/>
        <v/>
      </c>
      <c r="X414" s="103"/>
      <c r="Y414" s="177" t="str">
        <f t="shared" si="71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3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98" t="s">
        <v>87</v>
      </c>
      <c r="J415" s="299"/>
      <c r="K415" s="70">
        <f>G415</f>
        <v>0</v>
      </c>
      <c r="L415" s="82"/>
      <c r="M415" s="57"/>
      <c r="N415" s="100"/>
      <c r="O415" s="101" t="s">
        <v>68</v>
      </c>
      <c r="P415" s="101"/>
      <c r="Q415" s="101"/>
      <c r="R415" s="101">
        <v>0</v>
      </c>
      <c r="S415" s="105"/>
      <c r="T415" s="101" t="s">
        <v>68</v>
      </c>
      <c r="U415" s="177"/>
      <c r="V415" s="103"/>
      <c r="W415" s="177" t="str">
        <f t="shared" si="70"/>
        <v/>
      </c>
      <c r="X415" s="103"/>
      <c r="Y415" s="177" t="str">
        <f t="shared" si="71"/>
        <v/>
      </c>
      <c r="Z415" s="92"/>
    </row>
    <row r="416" spans="1:26" s="55" customFormat="1" ht="21" customHeight="1" x14ac:dyDescent="0.25">
      <c r="A416" s="56"/>
      <c r="B416" s="83" t="s">
        <v>85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84</v>
      </c>
      <c r="G416" s="70" t="str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/>
      </c>
      <c r="H416" s="57"/>
      <c r="I416" s="284" t="s">
        <v>80</v>
      </c>
      <c r="J416" s="285"/>
      <c r="K416" s="84">
        <f>K414-K415</f>
        <v>14950.322580645161</v>
      </c>
      <c r="L416" s="85"/>
      <c r="M416" s="57"/>
      <c r="N416" s="100"/>
      <c r="O416" s="101" t="s">
        <v>73</v>
      </c>
      <c r="P416" s="101"/>
      <c r="Q416" s="101"/>
      <c r="R416" s="101">
        <v>0</v>
      </c>
      <c r="S416" s="105"/>
      <c r="T416" s="101" t="s">
        <v>73</v>
      </c>
      <c r="U416" s="177"/>
      <c r="V416" s="103"/>
      <c r="W416" s="177" t="str">
        <f t="shared" si="70"/>
        <v/>
      </c>
      <c r="X416" s="103"/>
      <c r="Y416" s="177" t="str">
        <f t="shared" si="71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/>
      <c r="Q417" s="101"/>
      <c r="R417" s="101">
        <v>0</v>
      </c>
      <c r="S417" s="105"/>
      <c r="T417" s="101" t="s">
        <v>69</v>
      </c>
      <c r="U417" s="177"/>
      <c r="V417" s="103"/>
      <c r="W417" s="177" t="str">
        <f t="shared" si="70"/>
        <v/>
      </c>
      <c r="X417" s="103"/>
      <c r="Y417" s="177" t="str">
        <f t="shared" si="71"/>
        <v/>
      </c>
      <c r="Z417" s="92"/>
    </row>
    <row r="418" spans="1:26" s="55" customFormat="1" ht="21" customHeight="1" x14ac:dyDescent="0.25">
      <c r="A418" s="56"/>
      <c r="B418" s="286" t="s">
        <v>118</v>
      </c>
      <c r="C418" s="286"/>
      <c r="D418" s="286"/>
      <c r="E418" s="286"/>
      <c r="F418" s="286"/>
      <c r="G418" s="286"/>
      <c r="H418" s="286"/>
      <c r="I418" s="286"/>
      <c r="J418" s="286"/>
      <c r="K418" s="286"/>
      <c r="L418" s="73"/>
      <c r="M418" s="57"/>
      <c r="N418" s="100"/>
      <c r="O418" s="101" t="s">
        <v>74</v>
      </c>
      <c r="P418" s="101"/>
      <c r="Q418" s="101"/>
      <c r="R418" s="101" t="str">
        <f t="shared" si="72"/>
        <v/>
      </c>
      <c r="S418" s="105"/>
      <c r="T418" s="101" t="s">
        <v>74</v>
      </c>
      <c r="U418" s="177" t="str">
        <f t="shared" ref="U418" si="73">Y417</f>
        <v/>
      </c>
      <c r="V418" s="103"/>
      <c r="W418" s="177" t="str">
        <f t="shared" si="70"/>
        <v/>
      </c>
      <c r="X418" s="103"/>
      <c r="Y418" s="177" t="str">
        <f t="shared" si="71"/>
        <v/>
      </c>
      <c r="Z418" s="92"/>
    </row>
    <row r="419" spans="1:26" s="55" customFormat="1" ht="21" customHeight="1" x14ac:dyDescent="0.25">
      <c r="A419" s="56"/>
      <c r="B419" s="286"/>
      <c r="C419" s="286"/>
      <c r="D419" s="286"/>
      <c r="E419" s="286"/>
      <c r="F419" s="286"/>
      <c r="G419" s="286"/>
      <c r="H419" s="286"/>
      <c r="I419" s="286"/>
      <c r="J419" s="286"/>
      <c r="K419" s="286"/>
      <c r="L419" s="73"/>
      <c r="M419" s="57"/>
      <c r="N419" s="100"/>
      <c r="O419" s="101" t="s">
        <v>75</v>
      </c>
      <c r="P419" s="101"/>
      <c r="Q419" s="101"/>
      <c r="R419" s="101" t="str">
        <f t="shared" si="72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70"/>
        <v/>
      </c>
      <c r="X419" s="103"/>
      <c r="Y419" s="177" t="str">
        <f t="shared" si="71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300" t="s">
        <v>57</v>
      </c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02"/>
      <c r="M422" s="115"/>
      <c r="N422" s="93"/>
      <c r="O422" s="290" t="s">
        <v>59</v>
      </c>
      <c r="P422" s="291"/>
      <c r="Q422" s="291"/>
      <c r="R422" s="292"/>
      <c r="S422" s="94"/>
      <c r="T422" s="290" t="s">
        <v>60</v>
      </c>
      <c r="U422" s="291"/>
      <c r="V422" s="291"/>
      <c r="W422" s="291"/>
      <c r="X422" s="291"/>
      <c r="Y422" s="292"/>
      <c r="Z422" s="95"/>
    </row>
    <row r="423" spans="1:26" s="55" customFormat="1" ht="21" customHeight="1" x14ac:dyDescent="0.25">
      <c r="A423" s="56"/>
      <c r="B423" s="57"/>
      <c r="C423" s="293" t="s">
        <v>116</v>
      </c>
      <c r="D423" s="293"/>
      <c r="E423" s="293"/>
      <c r="F423" s="293"/>
      <c r="G423" s="58" t="str">
        <f>$J$1</f>
        <v>May</v>
      </c>
      <c r="H423" s="294">
        <f>$K$1</f>
        <v>2019</v>
      </c>
      <c r="I423" s="294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26</v>
      </c>
      <c r="Q424" s="101">
        <v>5</v>
      </c>
      <c r="R424" s="101">
        <v>0</v>
      </c>
      <c r="S424" s="102"/>
      <c r="T424" s="101" t="s">
        <v>62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>
        <v>28</v>
      </c>
      <c r="Q425" s="101">
        <v>0</v>
      </c>
      <c r="R425" s="101">
        <v>0</v>
      </c>
      <c r="S425" s="105"/>
      <c r="T425" s="101" t="s">
        <v>88</v>
      </c>
      <c r="U425" s="177">
        <f>Y424</f>
        <v>11000</v>
      </c>
      <c r="V425" s="103">
        <v>1000</v>
      </c>
      <c r="W425" s="177">
        <f>IF(U425="","",U425+V425)</f>
        <v>12000</v>
      </c>
      <c r="X425" s="103">
        <v>5000</v>
      </c>
      <c r="Y425" s="177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95" t="s">
        <v>60</v>
      </c>
      <c r="G426" s="295"/>
      <c r="H426" s="57"/>
      <c r="I426" s="295" t="s">
        <v>61</v>
      </c>
      <c r="J426" s="295"/>
      <c r="K426" s="295"/>
      <c r="L426" s="73"/>
      <c r="M426" s="57"/>
      <c r="N426" s="100"/>
      <c r="O426" s="101" t="s">
        <v>63</v>
      </c>
      <c r="P426" s="101">
        <v>26</v>
      </c>
      <c r="Q426" s="101">
        <v>5</v>
      </c>
      <c r="R426" s="101">
        <v>0</v>
      </c>
      <c r="S426" s="105"/>
      <c r="T426" s="101" t="s">
        <v>63</v>
      </c>
      <c r="U426" s="177">
        <f>Y425</f>
        <v>7000</v>
      </c>
      <c r="V426" s="103">
        <f>4800+2000+2000+1000</f>
        <v>9800</v>
      </c>
      <c r="W426" s="177">
        <f t="shared" ref="W426:W435" si="74">IF(U426="","",U426+V426)</f>
        <v>16800</v>
      </c>
      <c r="X426" s="103">
        <v>8000</v>
      </c>
      <c r="Y426" s="177">
        <f t="shared" ref="Y426:Y435" si="75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>
        <v>26</v>
      </c>
      <c r="Q427" s="101">
        <v>4</v>
      </c>
      <c r="R427" s="101">
        <v>0</v>
      </c>
      <c r="S427" s="105"/>
      <c r="T427" s="101" t="s">
        <v>64</v>
      </c>
      <c r="U427" s="177">
        <f>Y426-4800</f>
        <v>4000</v>
      </c>
      <c r="V427" s="103">
        <f>3000+2500+2500</f>
        <v>8000</v>
      </c>
      <c r="W427" s="177">
        <f t="shared" si="74"/>
        <v>12000</v>
      </c>
      <c r="X427" s="103">
        <v>5500</v>
      </c>
      <c r="Y427" s="177">
        <f t="shared" si="75"/>
        <v>6500</v>
      </c>
      <c r="Z427" s="106"/>
    </row>
    <row r="428" spans="1:26" s="55" customFormat="1" ht="21" customHeight="1" x14ac:dyDescent="0.25">
      <c r="A428" s="56"/>
      <c r="B428" s="296" t="s">
        <v>59</v>
      </c>
      <c r="C428" s="297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6500</v>
      </c>
      <c r="H428" s="74"/>
      <c r="I428" s="76">
        <f>IF(C432&gt;0,$K$2,C430)</f>
        <v>28</v>
      </c>
      <c r="J428" s="77" t="s">
        <v>78</v>
      </c>
      <c r="K428" s="78">
        <f>K424/$K$2*I428</f>
        <v>15354.838709677419</v>
      </c>
      <c r="L428" s="79"/>
      <c r="M428" s="57"/>
      <c r="N428" s="100"/>
      <c r="O428" s="101" t="s">
        <v>65</v>
      </c>
      <c r="P428" s="101">
        <v>28</v>
      </c>
      <c r="Q428" s="101">
        <v>3</v>
      </c>
      <c r="R428" s="101">
        <v>0</v>
      </c>
      <c r="S428" s="105"/>
      <c r="T428" s="101" t="s">
        <v>65</v>
      </c>
      <c r="U428" s="177">
        <f>Y427</f>
        <v>6500</v>
      </c>
      <c r="V428" s="103">
        <v>4500</v>
      </c>
      <c r="W428" s="177">
        <f t="shared" si="74"/>
        <v>11000</v>
      </c>
      <c r="X428" s="103">
        <v>5500</v>
      </c>
      <c r="Y428" s="177">
        <f t="shared" si="75"/>
        <v>5500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4500</v>
      </c>
      <c r="H429" s="74"/>
      <c r="I429" s="120">
        <v>49.09</v>
      </c>
      <c r="J429" s="77" t="s">
        <v>79</v>
      </c>
      <c r="K429" s="80">
        <f>K424/$K$2/8*I429</f>
        <v>3365.0403225806454</v>
      </c>
      <c r="L429" s="81"/>
      <c r="M429" s="57"/>
      <c r="N429" s="100"/>
      <c r="O429" s="101" t="s">
        <v>66</v>
      </c>
      <c r="P429" s="101"/>
      <c r="Q429" s="101"/>
      <c r="R429" s="101">
        <v>0</v>
      </c>
      <c r="S429" s="105"/>
      <c r="T429" s="101" t="s">
        <v>66</v>
      </c>
      <c r="U429" s="177"/>
      <c r="V429" s="103"/>
      <c r="W429" s="177" t="str">
        <f t="shared" si="74"/>
        <v/>
      </c>
      <c r="X429" s="103"/>
      <c r="Y429" s="177" t="str">
        <f t="shared" si="75"/>
        <v/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28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11000</v>
      </c>
      <c r="H430" s="74"/>
      <c r="I430" s="298" t="s">
        <v>86</v>
      </c>
      <c r="J430" s="299"/>
      <c r="K430" s="80">
        <f>K428+K429</f>
        <v>18719.879032258064</v>
      </c>
      <c r="L430" s="81"/>
      <c r="M430" s="57"/>
      <c r="N430" s="100"/>
      <c r="O430" s="101" t="s">
        <v>67</v>
      </c>
      <c r="P430" s="101"/>
      <c r="Q430" s="101"/>
      <c r="R430" s="101" t="str">
        <f>IF(Q430="","",R429-Q430)</f>
        <v/>
      </c>
      <c r="S430" s="105"/>
      <c r="T430" s="101" t="s">
        <v>67</v>
      </c>
      <c r="U430" s="177"/>
      <c r="V430" s="103"/>
      <c r="W430" s="177" t="str">
        <f t="shared" si="74"/>
        <v/>
      </c>
      <c r="X430" s="103"/>
      <c r="Y430" s="177" t="str">
        <f t="shared" si="75"/>
        <v/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3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5500</v>
      </c>
      <c r="H431" s="74"/>
      <c r="I431" s="298" t="s">
        <v>87</v>
      </c>
      <c r="J431" s="299"/>
      <c r="K431" s="70">
        <f>G431</f>
        <v>5500</v>
      </c>
      <c r="L431" s="82"/>
      <c r="M431" s="57"/>
      <c r="N431" s="100"/>
      <c r="O431" s="101" t="s">
        <v>68</v>
      </c>
      <c r="P431" s="101"/>
      <c r="Q431" s="101"/>
      <c r="R431" s="101">
        <v>0</v>
      </c>
      <c r="S431" s="105"/>
      <c r="T431" s="101" t="s">
        <v>68</v>
      </c>
      <c r="U431" s="177"/>
      <c r="V431" s="103"/>
      <c r="W431" s="177" t="str">
        <f t="shared" si="74"/>
        <v/>
      </c>
      <c r="X431" s="103"/>
      <c r="Y431" s="177" t="str">
        <f t="shared" si="75"/>
        <v/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5500</v>
      </c>
      <c r="H432" s="57"/>
      <c r="I432" s="284" t="s">
        <v>80</v>
      </c>
      <c r="J432" s="285"/>
      <c r="K432" s="84">
        <f>K430-K431</f>
        <v>13219.879032258064</v>
      </c>
      <c r="L432" s="85"/>
      <c r="M432" s="57"/>
      <c r="N432" s="100"/>
      <c r="O432" s="101" t="s">
        <v>73</v>
      </c>
      <c r="P432" s="101"/>
      <c r="Q432" s="101"/>
      <c r="R432" s="101">
        <v>0</v>
      </c>
      <c r="S432" s="105"/>
      <c r="T432" s="101" t="s">
        <v>73</v>
      </c>
      <c r="U432" s="177"/>
      <c r="V432" s="103"/>
      <c r="W432" s="177" t="str">
        <f t="shared" si="74"/>
        <v/>
      </c>
      <c r="X432" s="103"/>
      <c r="Y432" s="177" t="str">
        <f t="shared" si="75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/>
      <c r="Q433" s="101"/>
      <c r="R433" s="101">
        <v>0</v>
      </c>
      <c r="S433" s="105"/>
      <c r="T433" s="101" t="s">
        <v>69</v>
      </c>
      <c r="U433" s="177"/>
      <c r="V433" s="103"/>
      <c r="W433" s="177" t="str">
        <f t="shared" si="74"/>
        <v/>
      </c>
      <c r="X433" s="103"/>
      <c r="Y433" s="177" t="str">
        <f t="shared" si="75"/>
        <v/>
      </c>
      <c r="Z433" s="106"/>
    </row>
    <row r="434" spans="1:27" s="55" customFormat="1" ht="21" customHeight="1" x14ac:dyDescent="0.25">
      <c r="A434" s="56"/>
      <c r="B434" s="286" t="s">
        <v>118</v>
      </c>
      <c r="C434" s="286"/>
      <c r="D434" s="286"/>
      <c r="E434" s="286"/>
      <c r="F434" s="286"/>
      <c r="G434" s="286"/>
      <c r="H434" s="286"/>
      <c r="I434" s="286"/>
      <c r="J434" s="286"/>
      <c r="K434" s="286"/>
      <c r="L434" s="73"/>
      <c r="M434" s="57"/>
      <c r="N434" s="100"/>
      <c r="O434" s="101" t="s">
        <v>74</v>
      </c>
      <c r="P434" s="101"/>
      <c r="Q434" s="101"/>
      <c r="R434" s="101">
        <v>0</v>
      </c>
      <c r="S434" s="105"/>
      <c r="T434" s="101" t="s">
        <v>74</v>
      </c>
      <c r="U434" s="177"/>
      <c r="V434" s="103"/>
      <c r="W434" s="177" t="str">
        <f t="shared" si="74"/>
        <v/>
      </c>
      <c r="X434" s="103"/>
      <c r="Y434" s="177" t="str">
        <f t="shared" si="75"/>
        <v/>
      </c>
      <c r="Z434" s="106"/>
    </row>
    <row r="435" spans="1:27" s="55" customFormat="1" ht="21" customHeight="1" x14ac:dyDescent="0.25">
      <c r="A435" s="56"/>
      <c r="B435" s="286"/>
      <c r="C435" s="286"/>
      <c r="D435" s="286"/>
      <c r="E435" s="286"/>
      <c r="F435" s="286"/>
      <c r="G435" s="286"/>
      <c r="H435" s="286"/>
      <c r="I435" s="286"/>
      <c r="J435" s="286"/>
      <c r="K435" s="286"/>
      <c r="L435" s="73"/>
      <c r="M435" s="57"/>
      <c r="N435" s="100"/>
      <c r="O435" s="101" t="s">
        <v>75</v>
      </c>
      <c r="P435" s="101"/>
      <c r="Q435" s="101"/>
      <c r="R435" s="101">
        <v>0</v>
      </c>
      <c r="S435" s="105"/>
      <c r="T435" s="101" t="s">
        <v>75</v>
      </c>
      <c r="U435" s="177"/>
      <c r="V435" s="103"/>
      <c r="W435" s="177" t="str">
        <f t="shared" si="74"/>
        <v/>
      </c>
      <c r="X435" s="103"/>
      <c r="Y435" s="177" t="str">
        <f t="shared" si="75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300" t="s">
        <v>57</v>
      </c>
      <c r="B438" s="301"/>
      <c r="C438" s="301"/>
      <c r="D438" s="301"/>
      <c r="E438" s="301"/>
      <c r="F438" s="301"/>
      <c r="G438" s="301"/>
      <c r="H438" s="301"/>
      <c r="I438" s="301"/>
      <c r="J438" s="301"/>
      <c r="K438" s="301"/>
      <c r="L438" s="302"/>
      <c r="M438" s="54"/>
      <c r="N438" s="93"/>
      <c r="O438" s="290" t="s">
        <v>59</v>
      </c>
      <c r="P438" s="291"/>
      <c r="Q438" s="291"/>
      <c r="R438" s="292"/>
      <c r="S438" s="94"/>
      <c r="T438" s="290" t="s">
        <v>60</v>
      </c>
      <c r="U438" s="291"/>
      <c r="V438" s="291"/>
      <c r="W438" s="291"/>
      <c r="X438" s="291"/>
      <c r="Y438" s="292"/>
      <c r="Z438" s="95"/>
      <c r="AA438" s="54"/>
    </row>
    <row r="439" spans="1:27" s="55" customFormat="1" ht="21" customHeight="1" x14ac:dyDescent="0.25">
      <c r="A439" s="56"/>
      <c r="B439" s="57"/>
      <c r="C439" s="293" t="s">
        <v>116</v>
      </c>
      <c r="D439" s="293"/>
      <c r="E439" s="293"/>
      <c r="F439" s="293"/>
      <c r="G439" s="58" t="str">
        <f>$J$1</f>
        <v>May</v>
      </c>
      <c r="H439" s="294">
        <f>$K$1</f>
        <v>2019</v>
      </c>
      <c r="I439" s="294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62</v>
      </c>
      <c r="P440" s="101">
        <v>31</v>
      </c>
      <c r="Q440" s="101">
        <v>0</v>
      </c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178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>
        <v>22</v>
      </c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95" t="s">
        <v>60</v>
      </c>
      <c r="G442" s="295"/>
      <c r="H442" s="57"/>
      <c r="I442" s="295" t="s">
        <v>61</v>
      </c>
      <c r="J442" s="295"/>
      <c r="K442" s="295"/>
      <c r="L442" s="73"/>
      <c r="M442" s="57"/>
      <c r="N442" s="100"/>
      <c r="O442" s="101" t="s">
        <v>63</v>
      </c>
      <c r="P442" s="101">
        <v>30</v>
      </c>
      <c r="Q442" s="101">
        <v>1</v>
      </c>
      <c r="R442" s="101">
        <v>0</v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76">IF(U442="","",U442+V442)</f>
        <v>0</v>
      </c>
      <c r="X442" s="103"/>
      <c r="Y442" s="177">
        <f t="shared" ref="Y442:Y451" si="77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>
        <v>27</v>
      </c>
      <c r="Q443" s="101">
        <v>3</v>
      </c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76"/>
        <v>0</v>
      </c>
      <c r="X443" s="103"/>
      <c r="Y443" s="177">
        <f t="shared" si="77"/>
        <v>0</v>
      </c>
      <c r="Z443" s="106"/>
      <c r="AA443" s="57"/>
    </row>
    <row r="444" spans="1:27" s="55" customFormat="1" ht="21" customHeight="1" x14ac:dyDescent="0.25">
      <c r="A444" s="56"/>
      <c r="B444" s="296" t="s">
        <v>59</v>
      </c>
      <c r="C444" s="297"/>
      <c r="D444" s="57"/>
      <c r="E444" s="57"/>
      <c r="F444" s="75" t="s">
        <v>81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29</v>
      </c>
      <c r="J444" s="77" t="s">
        <v>78</v>
      </c>
      <c r="K444" s="78">
        <f>K440/$K$2*I444</f>
        <v>11225.806451612903</v>
      </c>
      <c r="L444" s="79"/>
      <c r="M444" s="57"/>
      <c r="N444" s="100"/>
      <c r="O444" s="101" t="s">
        <v>65</v>
      </c>
      <c r="P444" s="101">
        <v>29</v>
      </c>
      <c r="Q444" s="101">
        <v>2</v>
      </c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76"/>
        <v>0</v>
      </c>
      <c r="X444" s="103"/>
      <c r="Y444" s="177">
        <f t="shared" si="77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/>
      <c r="J445" s="77" t="s">
        <v>79</v>
      </c>
      <c r="K445" s="80">
        <f>K440/$K$2/8*I445</f>
        <v>0</v>
      </c>
      <c r="L445" s="81"/>
      <c r="M445" s="57"/>
      <c r="N445" s="100"/>
      <c r="O445" s="101" t="s">
        <v>66</v>
      </c>
      <c r="P445" s="101"/>
      <c r="Q445" s="101"/>
      <c r="R445" s="101" t="str">
        <f t="shared" ref="R445:R451" si="78">IF(Q445="","",R444-Q445)</f>
        <v/>
      </c>
      <c r="S445" s="105"/>
      <c r="T445" s="101" t="s">
        <v>66</v>
      </c>
      <c r="U445" s="177">
        <f>IF($J$1="May",Y444,Y444)</f>
        <v>0</v>
      </c>
      <c r="V445" s="103">
        <f>11500-11226</f>
        <v>274</v>
      </c>
      <c r="W445" s="177">
        <f t="shared" si="76"/>
        <v>274</v>
      </c>
      <c r="X445" s="103"/>
      <c r="Y445" s="177">
        <f t="shared" si="77"/>
        <v>274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29</v>
      </c>
      <c r="D446" s="57"/>
      <c r="E446" s="57"/>
      <c r="F446" s="75" t="s">
        <v>82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98" t="s">
        <v>86</v>
      </c>
      <c r="J446" s="299"/>
      <c r="K446" s="80">
        <f>K444+K445</f>
        <v>11225.806451612903</v>
      </c>
      <c r="L446" s="81"/>
      <c r="M446" s="57"/>
      <c r="N446" s="100"/>
      <c r="O446" s="101" t="s">
        <v>67</v>
      </c>
      <c r="P446" s="101"/>
      <c r="Q446" s="101"/>
      <c r="R446" s="101">
        <v>0</v>
      </c>
      <c r="S446" s="105"/>
      <c r="T446" s="101" t="s">
        <v>67</v>
      </c>
      <c r="U446" s="177"/>
      <c r="V446" s="103"/>
      <c r="W446" s="177" t="str">
        <f t="shared" si="76"/>
        <v/>
      </c>
      <c r="X446" s="103"/>
      <c r="Y446" s="177" t="str">
        <f t="shared" si="77"/>
        <v/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2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98" t="s">
        <v>87</v>
      </c>
      <c r="J447" s="299"/>
      <c r="K447" s="70">
        <f>G447</f>
        <v>0</v>
      </c>
      <c r="L447" s="82"/>
      <c r="M447" s="57"/>
      <c r="N447" s="100"/>
      <c r="O447" s="101" t="s">
        <v>68</v>
      </c>
      <c r="P447" s="101"/>
      <c r="Q447" s="101"/>
      <c r="R447" s="101" t="str">
        <f t="shared" si="78"/>
        <v/>
      </c>
      <c r="S447" s="105"/>
      <c r="T447" s="101" t="s">
        <v>68</v>
      </c>
      <c r="U447" s="177"/>
      <c r="V447" s="103"/>
      <c r="W447" s="177" t="str">
        <f t="shared" si="76"/>
        <v/>
      </c>
      <c r="X447" s="103"/>
      <c r="Y447" s="177" t="str">
        <f t="shared" si="77"/>
        <v/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84" t="s">
        <v>80</v>
      </c>
      <c r="J448" s="285"/>
      <c r="K448" s="84">
        <f>K446-K447</f>
        <v>11225.806451612903</v>
      </c>
      <c r="L448" s="85"/>
      <c r="M448" s="57"/>
      <c r="N448" s="100"/>
      <c r="O448" s="101" t="s">
        <v>73</v>
      </c>
      <c r="P448" s="101"/>
      <c r="Q448" s="101"/>
      <c r="R448" s="101" t="str">
        <f t="shared" si="78"/>
        <v/>
      </c>
      <c r="S448" s="105"/>
      <c r="T448" s="101" t="s">
        <v>73</v>
      </c>
      <c r="U448" s="177"/>
      <c r="V448" s="103"/>
      <c r="W448" s="177" t="str">
        <f t="shared" si="76"/>
        <v/>
      </c>
      <c r="X448" s="103"/>
      <c r="Y448" s="177" t="str">
        <f t="shared" si="77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/>
      <c r="Q449" s="101"/>
      <c r="R449" s="101" t="str">
        <f t="shared" si="78"/>
        <v/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76"/>
        <v/>
      </c>
      <c r="X449" s="103"/>
      <c r="Y449" s="177" t="str">
        <f t="shared" si="77"/>
        <v/>
      </c>
      <c r="Z449" s="106"/>
      <c r="AA449" s="57"/>
    </row>
    <row r="450" spans="1:27" s="55" customFormat="1" ht="21" customHeight="1" x14ac:dyDescent="0.25">
      <c r="A450" s="56"/>
      <c r="B450" s="286" t="s">
        <v>118</v>
      </c>
      <c r="C450" s="286"/>
      <c r="D450" s="286"/>
      <c r="E450" s="286"/>
      <c r="F450" s="286"/>
      <c r="G450" s="286"/>
      <c r="H450" s="286"/>
      <c r="I450" s="286"/>
      <c r="J450" s="286"/>
      <c r="K450" s="286"/>
      <c r="L450" s="73"/>
      <c r="M450" s="57"/>
      <c r="N450" s="100"/>
      <c r="O450" s="101" t="s">
        <v>74</v>
      </c>
      <c r="P450" s="101"/>
      <c r="Q450" s="101"/>
      <c r="R450" s="101" t="str">
        <f t="shared" si="78"/>
        <v/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76"/>
        <v/>
      </c>
      <c r="X450" s="103"/>
      <c r="Y450" s="177" t="str">
        <f t="shared" si="77"/>
        <v/>
      </c>
      <c r="Z450" s="106"/>
      <c r="AA450" s="57"/>
    </row>
    <row r="451" spans="1:27" s="55" customFormat="1" ht="21" customHeight="1" x14ac:dyDescent="0.25">
      <c r="A451" s="56"/>
      <c r="B451" s="286"/>
      <c r="C451" s="286"/>
      <c r="D451" s="286"/>
      <c r="E451" s="286"/>
      <c r="F451" s="286"/>
      <c r="G451" s="286"/>
      <c r="H451" s="286"/>
      <c r="I451" s="286"/>
      <c r="J451" s="286"/>
      <c r="K451" s="286"/>
      <c r="L451" s="73"/>
      <c r="M451" s="57"/>
      <c r="N451" s="100"/>
      <c r="O451" s="101" t="s">
        <v>75</v>
      </c>
      <c r="P451" s="101"/>
      <c r="Q451" s="101"/>
      <c r="R451" s="101" t="str">
        <f t="shared" si="78"/>
        <v/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76"/>
        <v/>
      </c>
      <c r="X451" s="103"/>
      <c r="Y451" s="177" t="str">
        <f t="shared" si="77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300" t="s">
        <v>57</v>
      </c>
      <c r="B454" s="301"/>
      <c r="C454" s="301"/>
      <c r="D454" s="301"/>
      <c r="E454" s="301"/>
      <c r="F454" s="301"/>
      <c r="G454" s="301"/>
      <c r="H454" s="301"/>
      <c r="I454" s="301"/>
      <c r="J454" s="301"/>
      <c r="K454" s="301"/>
      <c r="L454" s="302"/>
      <c r="M454" s="54"/>
      <c r="N454" s="93"/>
      <c r="O454" s="290" t="s">
        <v>59</v>
      </c>
      <c r="P454" s="291"/>
      <c r="Q454" s="291"/>
      <c r="R454" s="292"/>
      <c r="S454" s="94"/>
      <c r="T454" s="290" t="s">
        <v>60</v>
      </c>
      <c r="U454" s="291"/>
      <c r="V454" s="291"/>
      <c r="W454" s="291"/>
      <c r="X454" s="291"/>
      <c r="Y454" s="292"/>
      <c r="Z454" s="95"/>
      <c r="AA454" s="54"/>
    </row>
    <row r="455" spans="1:27" s="55" customFormat="1" ht="21" customHeight="1" x14ac:dyDescent="0.25">
      <c r="A455" s="56"/>
      <c r="B455" s="57"/>
      <c r="C455" s="293" t="s">
        <v>116</v>
      </c>
      <c r="D455" s="293"/>
      <c r="E455" s="293"/>
      <c r="F455" s="293"/>
      <c r="G455" s="58" t="str">
        <f>$J$1</f>
        <v>May</v>
      </c>
      <c r="H455" s="294">
        <f>$K$1</f>
        <v>2019</v>
      </c>
      <c r="I455" s="294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30</v>
      </c>
      <c r="Q456" s="101">
        <v>1</v>
      </c>
      <c r="R456" s="101">
        <f>15-Q456</f>
        <v>14</v>
      </c>
      <c r="S456" s="102"/>
      <c r="T456" s="101" t="s">
        <v>62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88</v>
      </c>
      <c r="U457" s="177">
        <f>Y456</f>
        <v>45000</v>
      </c>
      <c r="V457" s="103"/>
      <c r="W457" s="177">
        <f>IF(U457="","",U457+V457)</f>
        <v>45000</v>
      </c>
      <c r="X457" s="103">
        <v>5000</v>
      </c>
      <c r="Y457" s="177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95" t="s">
        <v>60</v>
      </c>
      <c r="G458" s="295"/>
      <c r="H458" s="57"/>
      <c r="I458" s="295" t="s">
        <v>61</v>
      </c>
      <c r="J458" s="295"/>
      <c r="K458" s="295"/>
      <c r="L458" s="73"/>
      <c r="M458" s="57"/>
      <c r="N458" s="100"/>
      <c r="O458" s="101" t="s">
        <v>63</v>
      </c>
      <c r="P458" s="101">
        <v>31</v>
      </c>
      <c r="Q458" s="101">
        <v>0</v>
      </c>
      <c r="R458" s="101">
        <f t="shared" ref="R458:R467" si="79">IF(Q458="","",R457-Q458)</f>
        <v>13</v>
      </c>
      <c r="S458" s="105"/>
      <c r="T458" s="101" t="s">
        <v>63</v>
      </c>
      <c r="U458" s="177">
        <f>Y457</f>
        <v>40000</v>
      </c>
      <c r="V458" s="103"/>
      <c r="W458" s="177">
        <f t="shared" ref="W458:W467" si="80">IF(U458="","",U458+V458)</f>
        <v>40000</v>
      </c>
      <c r="X458" s="103">
        <v>5000</v>
      </c>
      <c r="Y458" s="177">
        <f t="shared" ref="Y458:Y467" si="81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>
        <v>29</v>
      </c>
      <c r="Q459" s="101">
        <v>1</v>
      </c>
      <c r="R459" s="101">
        <f t="shared" si="79"/>
        <v>12</v>
      </c>
      <c r="S459" s="105"/>
      <c r="T459" s="101" t="s">
        <v>64</v>
      </c>
      <c r="U459" s="177">
        <f>Y458</f>
        <v>35000</v>
      </c>
      <c r="V459" s="103"/>
      <c r="W459" s="177">
        <f t="shared" si="80"/>
        <v>35000</v>
      </c>
      <c r="X459" s="103">
        <v>5000</v>
      </c>
      <c r="Y459" s="177">
        <f t="shared" si="81"/>
        <v>30000</v>
      </c>
      <c r="Z459" s="106"/>
      <c r="AA459" s="57"/>
    </row>
    <row r="460" spans="1:27" s="55" customFormat="1" ht="21" customHeight="1" x14ac:dyDescent="0.25">
      <c r="A460" s="56"/>
      <c r="B460" s="296" t="s">
        <v>59</v>
      </c>
      <c r="C460" s="297"/>
      <c r="D460" s="57"/>
      <c r="E460" s="57"/>
      <c r="F460" s="75" t="s">
        <v>81</v>
      </c>
      <c r="G460" s="196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30000</v>
      </c>
      <c r="H460" s="74"/>
      <c r="I460" s="76">
        <f>IF(C464&gt;0,$K$2,C462)</f>
        <v>31</v>
      </c>
      <c r="J460" s="77" t="s">
        <v>78</v>
      </c>
      <c r="K460" s="78">
        <f>K456/$K$2*I460</f>
        <v>26000</v>
      </c>
      <c r="L460" s="79"/>
      <c r="M460" s="57"/>
      <c r="N460" s="100"/>
      <c r="O460" s="101" t="s">
        <v>65</v>
      </c>
      <c r="P460" s="101">
        <v>30</v>
      </c>
      <c r="Q460" s="101">
        <v>1</v>
      </c>
      <c r="R460" s="101">
        <f t="shared" si="79"/>
        <v>11</v>
      </c>
      <c r="S460" s="105"/>
      <c r="T460" s="101" t="s">
        <v>65</v>
      </c>
      <c r="U460" s="177">
        <f>Y459</f>
        <v>30000</v>
      </c>
      <c r="V460" s="103"/>
      <c r="W460" s="177">
        <f t="shared" si="80"/>
        <v>30000</v>
      </c>
      <c r="X460" s="103">
        <v>5000</v>
      </c>
      <c r="Y460" s="177">
        <f t="shared" si="81"/>
        <v>25000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6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54.85</v>
      </c>
      <c r="J461" s="77" t="s">
        <v>79</v>
      </c>
      <c r="K461" s="80">
        <f>K456/$K$2/8*I461</f>
        <v>5750.4032258064517</v>
      </c>
      <c r="L461" s="81"/>
      <c r="M461" s="57"/>
      <c r="N461" s="100"/>
      <c r="O461" s="101" t="s">
        <v>66</v>
      </c>
      <c r="P461" s="101"/>
      <c r="Q461" s="101"/>
      <c r="R461" s="101" t="str">
        <f t="shared" si="79"/>
        <v/>
      </c>
      <c r="S461" s="105"/>
      <c r="T461" s="101" t="s">
        <v>66</v>
      </c>
      <c r="U461" s="177"/>
      <c r="V461" s="103"/>
      <c r="W461" s="177" t="str">
        <f t="shared" si="80"/>
        <v/>
      </c>
      <c r="X461" s="103"/>
      <c r="Y461" s="177" t="str">
        <f t="shared" si="81"/>
        <v/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30</v>
      </c>
      <c r="D462" s="57"/>
      <c r="E462" s="57"/>
      <c r="F462" s="75" t="s">
        <v>82</v>
      </c>
      <c r="G462" s="196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30000</v>
      </c>
      <c r="H462" s="74"/>
      <c r="I462" s="298" t="s">
        <v>86</v>
      </c>
      <c r="J462" s="299"/>
      <c r="K462" s="80">
        <f>K460+K461</f>
        <v>31750.403225806451</v>
      </c>
      <c r="L462" s="81"/>
      <c r="M462" s="57"/>
      <c r="N462" s="100"/>
      <c r="O462" s="101" t="s">
        <v>67</v>
      </c>
      <c r="P462" s="101"/>
      <c r="Q462" s="101"/>
      <c r="R462" s="101" t="str">
        <f t="shared" si="79"/>
        <v/>
      </c>
      <c r="S462" s="105"/>
      <c r="T462" s="101" t="s">
        <v>67</v>
      </c>
      <c r="U462" s="177"/>
      <c r="V462" s="103"/>
      <c r="W462" s="177" t="str">
        <f t="shared" si="80"/>
        <v/>
      </c>
      <c r="X462" s="103"/>
      <c r="Y462" s="177" t="str">
        <f t="shared" si="81"/>
        <v/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196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98" t="s">
        <v>87</v>
      </c>
      <c r="J463" s="299"/>
      <c r="K463" s="70">
        <f>G463</f>
        <v>5000</v>
      </c>
      <c r="L463" s="82"/>
      <c r="M463" s="57"/>
      <c r="N463" s="100"/>
      <c r="O463" s="101" t="s">
        <v>68</v>
      </c>
      <c r="P463" s="101"/>
      <c r="Q463" s="101"/>
      <c r="R463" s="101" t="str">
        <f t="shared" si="79"/>
        <v/>
      </c>
      <c r="S463" s="105"/>
      <c r="T463" s="101" t="s">
        <v>68</v>
      </c>
      <c r="U463" s="177"/>
      <c r="V463" s="103"/>
      <c r="W463" s="177" t="str">
        <f t="shared" si="80"/>
        <v/>
      </c>
      <c r="X463" s="103"/>
      <c r="Y463" s="177" t="str">
        <f t="shared" si="81"/>
        <v/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11</v>
      </c>
      <c r="D464" s="57"/>
      <c r="E464" s="57"/>
      <c r="F464" s="75" t="s">
        <v>84</v>
      </c>
      <c r="G464" s="196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25000</v>
      </c>
      <c r="H464" s="57"/>
      <c r="I464" s="284" t="s">
        <v>80</v>
      </c>
      <c r="J464" s="285"/>
      <c r="K464" s="84">
        <f>K462-K463</f>
        <v>26750.403225806451</v>
      </c>
      <c r="L464" s="85"/>
      <c r="M464" s="57"/>
      <c r="N464" s="100"/>
      <c r="O464" s="101" t="s">
        <v>73</v>
      </c>
      <c r="P464" s="101"/>
      <c r="Q464" s="101"/>
      <c r="R464" s="101" t="str">
        <f t="shared" si="79"/>
        <v/>
      </c>
      <c r="S464" s="105"/>
      <c r="T464" s="101" t="s">
        <v>73</v>
      </c>
      <c r="U464" s="177"/>
      <c r="V464" s="103"/>
      <c r="W464" s="177" t="str">
        <f t="shared" si="80"/>
        <v/>
      </c>
      <c r="X464" s="103"/>
      <c r="Y464" s="177" t="str">
        <f t="shared" si="81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/>
      <c r="Q465" s="101"/>
      <c r="R465" s="101">
        <v>0</v>
      </c>
      <c r="S465" s="105"/>
      <c r="T465" s="101" t="s">
        <v>69</v>
      </c>
      <c r="U465" s="177"/>
      <c r="V465" s="103"/>
      <c r="W465" s="177" t="str">
        <f t="shared" si="80"/>
        <v/>
      </c>
      <c r="X465" s="103"/>
      <c r="Y465" s="177" t="str">
        <f t="shared" si="81"/>
        <v/>
      </c>
      <c r="Z465" s="106"/>
      <c r="AA465" s="57"/>
    </row>
    <row r="466" spans="1:27" s="55" customFormat="1" ht="21" customHeight="1" x14ac:dyDescent="0.25">
      <c r="A466" s="56"/>
      <c r="B466" s="286" t="s">
        <v>118</v>
      </c>
      <c r="C466" s="286"/>
      <c r="D466" s="286"/>
      <c r="E466" s="286"/>
      <c r="F466" s="286"/>
      <c r="G466" s="286"/>
      <c r="H466" s="286"/>
      <c r="I466" s="286"/>
      <c r="J466" s="286"/>
      <c r="K466" s="286"/>
      <c r="L466" s="73"/>
      <c r="M466" s="57"/>
      <c r="N466" s="100"/>
      <c r="O466" s="101" t="s">
        <v>74</v>
      </c>
      <c r="P466" s="101"/>
      <c r="Q466" s="101"/>
      <c r="R466" s="101">
        <v>0</v>
      </c>
      <c r="S466" s="105"/>
      <c r="T466" s="101" t="s">
        <v>74</v>
      </c>
      <c r="U466" s="177"/>
      <c r="V466" s="103"/>
      <c r="W466" s="177" t="str">
        <f t="shared" si="80"/>
        <v/>
      </c>
      <c r="X466" s="103"/>
      <c r="Y466" s="177" t="str">
        <f t="shared" si="81"/>
        <v/>
      </c>
      <c r="Z466" s="106"/>
      <c r="AA466" s="57"/>
    </row>
    <row r="467" spans="1:27" s="55" customFormat="1" ht="21" customHeight="1" x14ac:dyDescent="0.25">
      <c r="A467" s="56"/>
      <c r="B467" s="286"/>
      <c r="C467" s="286"/>
      <c r="D467" s="286"/>
      <c r="E467" s="286"/>
      <c r="F467" s="286"/>
      <c r="G467" s="286"/>
      <c r="H467" s="286"/>
      <c r="I467" s="286"/>
      <c r="J467" s="286"/>
      <c r="K467" s="286"/>
      <c r="L467" s="73"/>
      <c r="M467" s="57"/>
      <c r="N467" s="100"/>
      <c r="O467" s="101" t="s">
        <v>75</v>
      </c>
      <c r="P467" s="101"/>
      <c r="Q467" s="101"/>
      <c r="R467" s="101" t="str">
        <f t="shared" si="79"/>
        <v/>
      </c>
      <c r="S467" s="105"/>
      <c r="T467" s="101" t="s">
        <v>75</v>
      </c>
      <c r="U467" s="177"/>
      <c r="V467" s="103"/>
      <c r="W467" s="177" t="str">
        <f t="shared" si="80"/>
        <v/>
      </c>
      <c r="X467" s="103"/>
      <c r="Y467" s="177" t="str">
        <f t="shared" si="81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300" t="s">
        <v>57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2"/>
      <c r="M470" s="54"/>
      <c r="N470" s="93"/>
      <c r="O470" s="290" t="s">
        <v>59</v>
      </c>
      <c r="P470" s="291"/>
      <c r="Q470" s="291"/>
      <c r="R470" s="292"/>
      <c r="S470" s="94"/>
      <c r="T470" s="290" t="s">
        <v>60</v>
      </c>
      <c r="U470" s="291"/>
      <c r="V470" s="291"/>
      <c r="W470" s="291"/>
      <c r="X470" s="291"/>
      <c r="Y470" s="292"/>
      <c r="Z470" s="95"/>
      <c r="AA470" s="54"/>
    </row>
    <row r="471" spans="1:27" s="55" customFormat="1" ht="21" customHeight="1" x14ac:dyDescent="0.25">
      <c r="A471" s="56"/>
      <c r="B471" s="57"/>
      <c r="C471" s="293" t="s">
        <v>116</v>
      </c>
      <c r="D471" s="293"/>
      <c r="E471" s="293"/>
      <c r="F471" s="293"/>
      <c r="G471" s="58" t="str">
        <f>$J$1</f>
        <v>May</v>
      </c>
      <c r="H471" s="294">
        <f>$K$1</f>
        <v>2019</v>
      </c>
      <c r="I471" s="294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9</v>
      </c>
      <c r="Q472" s="101"/>
      <c r="R472" s="101">
        <f>15-Q472</f>
        <v>15</v>
      </c>
      <c r="S472" s="102"/>
      <c r="T472" s="101" t="s">
        <v>62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>
        <f>28-12</f>
        <v>16</v>
      </c>
      <c r="Q473" s="101">
        <v>12</v>
      </c>
      <c r="R473" s="101">
        <f>R472-Q473</f>
        <v>3</v>
      </c>
      <c r="S473" s="105"/>
      <c r="T473" s="101" t="s">
        <v>88</v>
      </c>
      <c r="U473" s="177"/>
      <c r="V473" s="103">
        <v>5000</v>
      </c>
      <c r="W473" s="103">
        <f>V473+U473</f>
        <v>5000</v>
      </c>
      <c r="X473" s="103">
        <v>5000</v>
      </c>
      <c r="Y473" s="177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95" t="s">
        <v>60</v>
      </c>
      <c r="G474" s="295"/>
      <c r="H474" s="57"/>
      <c r="I474" s="295" t="s">
        <v>61</v>
      </c>
      <c r="J474" s="295"/>
      <c r="K474" s="295"/>
      <c r="L474" s="73"/>
      <c r="M474" s="57"/>
      <c r="N474" s="100"/>
      <c r="O474" s="101" t="s">
        <v>63</v>
      </c>
      <c r="P474" s="101">
        <v>21</v>
      </c>
      <c r="Q474" s="101">
        <v>10</v>
      </c>
      <c r="R474" s="101">
        <v>0</v>
      </c>
      <c r="S474" s="105"/>
      <c r="T474" s="101" t="s">
        <v>63</v>
      </c>
      <c r="U474" s="177"/>
      <c r="V474" s="103">
        <v>5000</v>
      </c>
      <c r="W474" s="103">
        <f>V474+U474</f>
        <v>5000</v>
      </c>
      <c r="X474" s="103">
        <v>5000</v>
      </c>
      <c r="Y474" s="177">
        <f t="shared" ref="Y474:Y483" si="82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>
        <v>13</v>
      </c>
      <c r="Q475" s="101">
        <v>17</v>
      </c>
      <c r="R475" s="101">
        <v>0</v>
      </c>
      <c r="S475" s="105"/>
      <c r="T475" s="101" t="s">
        <v>64</v>
      </c>
      <c r="U475" s="177"/>
      <c r="V475" s="103"/>
      <c r="W475" s="177" t="str">
        <f t="shared" ref="W475:W483" si="83">IF(U475="","",U475+V475)</f>
        <v/>
      </c>
      <c r="X475" s="103"/>
      <c r="Y475" s="177" t="str">
        <f t="shared" si="82"/>
        <v/>
      </c>
      <c r="Z475" s="106"/>
      <c r="AA475" s="57"/>
    </row>
    <row r="476" spans="1:27" s="55" customFormat="1" ht="21" customHeight="1" x14ac:dyDescent="0.25">
      <c r="A476" s="56"/>
      <c r="B476" s="296" t="s">
        <v>59</v>
      </c>
      <c r="C476" s="297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f>IF(C480&gt;0,$K$2,C478)</f>
        <v>18</v>
      </c>
      <c r="J476" s="77" t="s">
        <v>78</v>
      </c>
      <c r="K476" s="78">
        <f>K472/$K$2*I476</f>
        <v>9290.322580645161</v>
      </c>
      <c r="L476" s="79"/>
      <c r="M476" s="57"/>
      <c r="N476" s="100"/>
      <c r="O476" s="101" t="s">
        <v>65</v>
      </c>
      <c r="P476" s="101">
        <v>18</v>
      </c>
      <c r="Q476" s="101">
        <v>13</v>
      </c>
      <c r="R476" s="101">
        <v>0</v>
      </c>
      <c r="S476" s="105"/>
      <c r="T476" s="101" t="s">
        <v>65</v>
      </c>
      <c r="U476" s="177"/>
      <c r="V476" s="103"/>
      <c r="W476" s="177" t="str">
        <f>IF(U476="","",U476+V476)</f>
        <v/>
      </c>
      <c r="X476" s="103"/>
      <c r="Y476" s="177" t="str">
        <f t="shared" si="82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79</v>
      </c>
      <c r="K477" s="80">
        <f>K472/$K$2/8*I477</f>
        <v>0</v>
      </c>
      <c r="L477" s="81"/>
      <c r="M477" s="57"/>
      <c r="N477" s="100"/>
      <c r="O477" s="101" t="s">
        <v>66</v>
      </c>
      <c r="P477" s="101"/>
      <c r="Q477" s="101"/>
      <c r="R477" s="101">
        <v>0</v>
      </c>
      <c r="S477" s="105"/>
      <c r="T477" s="101" t="s">
        <v>66</v>
      </c>
      <c r="U477" s="177"/>
      <c r="V477" s="103">
        <f>9500-9290</f>
        <v>210</v>
      </c>
      <c r="W477" s="177" t="str">
        <f t="shared" si="83"/>
        <v/>
      </c>
      <c r="X477" s="103"/>
      <c r="Y477" s="177" t="str">
        <f t="shared" si="82"/>
        <v/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18</v>
      </c>
      <c r="D478" s="57"/>
      <c r="E478" s="57"/>
      <c r="F478" s="75" t="s">
        <v>82</v>
      </c>
      <c r="G478" s="196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4"/>
      <c r="I478" s="298" t="s">
        <v>86</v>
      </c>
      <c r="J478" s="299"/>
      <c r="K478" s="80">
        <f>K476+K477</f>
        <v>9290.322580645161</v>
      </c>
      <c r="L478" s="81"/>
      <c r="M478" s="57"/>
      <c r="N478" s="100"/>
      <c r="O478" s="101" t="s">
        <v>67</v>
      </c>
      <c r="P478" s="101"/>
      <c r="Q478" s="101"/>
      <c r="R478" s="101">
        <v>0</v>
      </c>
      <c r="S478" s="105"/>
      <c r="T478" s="101" t="s">
        <v>67</v>
      </c>
      <c r="U478" s="177"/>
      <c r="V478" s="103"/>
      <c r="W478" s="177" t="str">
        <f t="shared" si="83"/>
        <v/>
      </c>
      <c r="X478" s="103"/>
      <c r="Y478" s="177" t="str">
        <f t="shared" si="82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13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298" t="s">
        <v>87</v>
      </c>
      <c r="J479" s="299"/>
      <c r="K479" s="70">
        <f>G479</f>
        <v>0</v>
      </c>
      <c r="L479" s="82"/>
      <c r="M479" s="57"/>
      <c r="N479" s="100"/>
      <c r="O479" s="101" t="s">
        <v>68</v>
      </c>
      <c r="P479" s="101"/>
      <c r="Q479" s="101"/>
      <c r="R479" s="101">
        <v>0</v>
      </c>
      <c r="S479" s="105"/>
      <c r="T479" s="101" t="s">
        <v>68</v>
      </c>
      <c r="U479" s="177"/>
      <c r="V479" s="103"/>
      <c r="W479" s="177" t="str">
        <f t="shared" si="83"/>
        <v/>
      </c>
      <c r="X479" s="103"/>
      <c r="Y479" s="177" t="str">
        <f t="shared" si="82"/>
        <v/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84</v>
      </c>
      <c r="G480" s="70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7"/>
      <c r="I480" s="284" t="s">
        <v>80</v>
      </c>
      <c r="J480" s="285"/>
      <c r="K480" s="84">
        <f>K478-K479</f>
        <v>9290.322580645161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/>
      <c r="V480" s="103"/>
      <c r="W480" s="177" t="str">
        <f t="shared" si="83"/>
        <v/>
      </c>
      <c r="X480" s="103"/>
      <c r="Y480" s="177" t="str">
        <f t="shared" si="82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/>
      <c r="Q481" s="101"/>
      <c r="R481" s="101">
        <v>0</v>
      </c>
      <c r="S481" s="105"/>
      <c r="T481" s="101" t="s">
        <v>69</v>
      </c>
      <c r="U481" s="177"/>
      <c r="V481" s="103"/>
      <c r="W481" s="177" t="str">
        <f t="shared" si="83"/>
        <v/>
      </c>
      <c r="X481" s="103"/>
      <c r="Y481" s="177" t="str">
        <f t="shared" si="82"/>
        <v/>
      </c>
      <c r="Z481" s="106"/>
      <c r="AA481" s="57"/>
    </row>
    <row r="482" spans="1:27" s="55" customFormat="1" ht="21" customHeight="1" x14ac:dyDescent="0.25">
      <c r="A482" s="56"/>
      <c r="B482" s="286" t="s">
        <v>118</v>
      </c>
      <c r="C482" s="286"/>
      <c r="D482" s="286"/>
      <c r="E482" s="286"/>
      <c r="F482" s="286"/>
      <c r="G482" s="286"/>
      <c r="H482" s="286"/>
      <c r="I482" s="286"/>
      <c r="J482" s="286"/>
      <c r="K482" s="286"/>
      <c r="L482" s="73"/>
      <c r="M482" s="57"/>
      <c r="N482" s="100"/>
      <c r="O482" s="101" t="s">
        <v>74</v>
      </c>
      <c r="P482" s="101"/>
      <c r="Q482" s="101"/>
      <c r="R482" s="101">
        <v>0</v>
      </c>
      <c r="S482" s="105"/>
      <c r="T482" s="101" t="s">
        <v>74</v>
      </c>
      <c r="U482" s="177" t="str">
        <f t="shared" ref="U482:U483" si="84">Y481</f>
        <v/>
      </c>
      <c r="V482" s="103"/>
      <c r="W482" s="177" t="str">
        <f t="shared" si="83"/>
        <v/>
      </c>
      <c r="X482" s="103"/>
      <c r="Y482" s="177" t="str">
        <f t="shared" si="82"/>
        <v/>
      </c>
      <c r="Z482" s="106"/>
      <c r="AA482" s="57"/>
    </row>
    <row r="483" spans="1:27" s="55" customFormat="1" ht="21" customHeight="1" x14ac:dyDescent="0.25">
      <c r="A483" s="56"/>
      <c r="B483" s="286"/>
      <c r="C483" s="286"/>
      <c r="D483" s="286"/>
      <c r="E483" s="286"/>
      <c r="F483" s="286"/>
      <c r="G483" s="286"/>
      <c r="H483" s="286"/>
      <c r="I483" s="286"/>
      <c r="J483" s="286"/>
      <c r="K483" s="286"/>
      <c r="L483" s="73"/>
      <c r="M483" s="57"/>
      <c r="N483" s="100"/>
      <c r="O483" s="101" t="s">
        <v>75</v>
      </c>
      <c r="P483" s="101"/>
      <c r="Q483" s="101"/>
      <c r="R483" s="101">
        <v>0</v>
      </c>
      <c r="S483" s="105"/>
      <c r="T483" s="101" t="s">
        <v>75</v>
      </c>
      <c r="U483" s="177" t="str">
        <f t="shared" si="84"/>
        <v/>
      </c>
      <c r="V483" s="103"/>
      <c r="W483" s="177" t="str">
        <f t="shared" si="83"/>
        <v/>
      </c>
      <c r="X483" s="103"/>
      <c r="Y483" s="177" t="str">
        <f t="shared" si="82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300" t="s">
        <v>57</v>
      </c>
      <c r="B486" s="301"/>
      <c r="C486" s="301"/>
      <c r="D486" s="301"/>
      <c r="E486" s="301"/>
      <c r="F486" s="301"/>
      <c r="G486" s="301"/>
      <c r="H486" s="301"/>
      <c r="I486" s="301"/>
      <c r="J486" s="301"/>
      <c r="K486" s="301"/>
      <c r="L486" s="302"/>
      <c r="M486" s="54"/>
      <c r="N486" s="93"/>
      <c r="O486" s="290" t="s">
        <v>59</v>
      </c>
      <c r="P486" s="291"/>
      <c r="Q486" s="291"/>
      <c r="R486" s="292"/>
      <c r="S486" s="94"/>
      <c r="T486" s="290" t="s">
        <v>60</v>
      </c>
      <c r="U486" s="291"/>
      <c r="V486" s="291"/>
      <c r="W486" s="291"/>
      <c r="X486" s="291"/>
      <c r="Y486" s="292"/>
      <c r="Z486" s="95"/>
      <c r="AA486" s="54"/>
    </row>
    <row r="487" spans="1:27" s="55" customFormat="1" ht="21" customHeight="1" x14ac:dyDescent="0.25">
      <c r="A487" s="56"/>
      <c r="B487" s="57"/>
      <c r="C487" s="293" t="s">
        <v>116</v>
      </c>
      <c r="D487" s="293"/>
      <c r="E487" s="293"/>
      <c r="F487" s="293"/>
      <c r="G487" s="58" t="str">
        <f>$J$1</f>
        <v>May</v>
      </c>
      <c r="H487" s="294">
        <f>$K$1</f>
        <v>2019</v>
      </c>
      <c r="I487" s="294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>
        <v>30</v>
      </c>
      <c r="Q488" s="101">
        <v>1</v>
      </c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145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>
        <v>28</v>
      </c>
      <c r="Q489" s="101">
        <v>0</v>
      </c>
      <c r="R489" s="101">
        <f>IF(Q489="","",R488-Q489)</f>
        <v>0</v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95" t="s">
        <v>60</v>
      </c>
      <c r="G490" s="295"/>
      <c r="H490" s="57"/>
      <c r="I490" s="295" t="s">
        <v>61</v>
      </c>
      <c r="J490" s="295"/>
      <c r="K490" s="295"/>
      <c r="L490" s="73"/>
      <c r="M490" s="57"/>
      <c r="N490" s="100"/>
      <c r="O490" s="101" t="s">
        <v>63</v>
      </c>
      <c r="P490" s="101">
        <v>31</v>
      </c>
      <c r="Q490" s="101">
        <v>0</v>
      </c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>
        <v>30</v>
      </c>
      <c r="Q491" s="101">
        <v>0</v>
      </c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96" t="s">
        <v>59</v>
      </c>
      <c r="C492" s="297"/>
      <c r="D492" s="57"/>
      <c r="E492" s="57"/>
      <c r="F492" s="75" t="s">
        <v>81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30</v>
      </c>
      <c r="J492" s="77" t="s">
        <v>78</v>
      </c>
      <c r="K492" s="78">
        <f>K488/$K$2*I492</f>
        <v>14516.129032258064</v>
      </c>
      <c r="L492" s="79"/>
      <c r="M492" s="57"/>
      <c r="N492" s="100"/>
      <c r="O492" s="101" t="s">
        <v>65</v>
      </c>
      <c r="P492" s="101">
        <v>30</v>
      </c>
      <c r="Q492" s="101">
        <v>1</v>
      </c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/>
      <c r="J493" s="77" t="s">
        <v>79</v>
      </c>
      <c r="K493" s="80">
        <f>K488/$K$2/8*I493</f>
        <v>0</v>
      </c>
      <c r="L493" s="81"/>
      <c r="M493" s="57"/>
      <c r="N493" s="100"/>
      <c r="O493" s="101" t="s">
        <v>66</v>
      </c>
      <c r="P493" s="101"/>
      <c r="Q493" s="101"/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82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98" t="s">
        <v>86</v>
      </c>
      <c r="J494" s="299"/>
      <c r="K494" s="80">
        <f>K492+K493</f>
        <v>14516.129032258064</v>
      </c>
      <c r="L494" s="81"/>
      <c r="M494" s="57"/>
      <c r="N494" s="100"/>
      <c r="O494" s="101" t="s">
        <v>67</v>
      </c>
      <c r="P494" s="101"/>
      <c r="Q494" s="101"/>
      <c r="R494" s="101" t="str">
        <f t="shared" ref="R494:R499" si="87">IF(Q494="","",R493-Q494)</f>
        <v/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1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98" t="s">
        <v>87</v>
      </c>
      <c r="J495" s="299"/>
      <c r="K495" s="70">
        <f>G495</f>
        <v>0</v>
      </c>
      <c r="L495" s="82"/>
      <c r="M495" s="57"/>
      <c r="N495" s="100"/>
      <c r="O495" s="101" t="s">
        <v>68</v>
      </c>
      <c r="P495" s="101"/>
      <c r="Q495" s="101"/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84" t="s">
        <v>80</v>
      </c>
      <c r="J496" s="285"/>
      <c r="K496" s="84">
        <f>K494-K495</f>
        <v>14516.129032258064</v>
      </c>
      <c r="L496" s="85"/>
      <c r="M496" s="57"/>
      <c r="N496" s="100"/>
      <c r="O496" s="101" t="s">
        <v>73</v>
      </c>
      <c r="P496" s="101"/>
      <c r="Q496" s="101"/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/>
      <c r="Q497" s="101"/>
      <c r="R497" s="101" t="str">
        <f t="shared" si="87"/>
        <v/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86" t="s">
        <v>118</v>
      </c>
      <c r="C498" s="286"/>
      <c r="D498" s="286"/>
      <c r="E498" s="286"/>
      <c r="F498" s="286"/>
      <c r="G498" s="286"/>
      <c r="H498" s="286"/>
      <c r="I498" s="286"/>
      <c r="J498" s="286"/>
      <c r="K498" s="286"/>
      <c r="L498" s="73"/>
      <c r="M498" s="57"/>
      <c r="N498" s="100"/>
      <c r="O498" s="101" t="s">
        <v>74</v>
      </c>
      <c r="P498" s="101"/>
      <c r="Q498" s="101"/>
      <c r="R498" s="101" t="str">
        <f t="shared" si="87"/>
        <v/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86"/>
      <c r="C499" s="286"/>
      <c r="D499" s="286"/>
      <c r="E499" s="286"/>
      <c r="F499" s="286"/>
      <c r="G499" s="286"/>
      <c r="H499" s="286"/>
      <c r="I499" s="286"/>
      <c r="J499" s="286"/>
      <c r="K499" s="286"/>
      <c r="L499" s="73"/>
      <c r="M499" s="57"/>
      <c r="N499" s="100"/>
      <c r="O499" s="101" t="s">
        <v>75</v>
      </c>
      <c r="P499" s="101"/>
      <c r="Q499" s="101"/>
      <c r="R499" s="101" t="str">
        <f t="shared" si="87"/>
        <v/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300" t="s">
        <v>57</v>
      </c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2"/>
      <c r="M502" s="54"/>
      <c r="N502" s="93"/>
      <c r="O502" s="290" t="s">
        <v>59</v>
      </c>
      <c r="P502" s="291"/>
      <c r="Q502" s="291"/>
      <c r="R502" s="292"/>
      <c r="S502" s="94"/>
      <c r="T502" s="290" t="s">
        <v>60</v>
      </c>
      <c r="U502" s="291"/>
      <c r="V502" s="291"/>
      <c r="W502" s="291"/>
      <c r="X502" s="291"/>
      <c r="Y502" s="292"/>
      <c r="Z502" s="95"/>
      <c r="AA502" s="54"/>
    </row>
    <row r="503" spans="1:27" s="55" customFormat="1" ht="21" customHeight="1" x14ac:dyDescent="0.25">
      <c r="A503" s="56"/>
      <c r="B503" s="57"/>
      <c r="C503" s="293" t="s">
        <v>116</v>
      </c>
      <c r="D503" s="293"/>
      <c r="E503" s="293"/>
      <c r="F503" s="293"/>
      <c r="G503" s="58" t="str">
        <f>$J$1</f>
        <v>May</v>
      </c>
      <c r="H503" s="294">
        <f>$K$1</f>
        <v>2019</v>
      </c>
      <c r="I503" s="294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30</v>
      </c>
      <c r="Q504" s="101">
        <v>1</v>
      </c>
      <c r="R504" s="101">
        <f>15-Q504</f>
        <v>14</v>
      </c>
      <c r="S504" s="102"/>
      <c r="T504" s="101" t="s">
        <v>62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88</v>
      </c>
      <c r="U505" s="177">
        <f>Y504</f>
        <v>60000</v>
      </c>
      <c r="V505" s="103"/>
      <c r="W505" s="177">
        <f>IF(U505="","",U505+V505)</f>
        <v>60000</v>
      </c>
      <c r="X505" s="103">
        <v>5000</v>
      </c>
      <c r="Y505" s="177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95" t="s">
        <v>60</v>
      </c>
      <c r="G506" s="295"/>
      <c r="H506" s="57"/>
      <c r="I506" s="295" t="s">
        <v>61</v>
      </c>
      <c r="J506" s="295"/>
      <c r="K506" s="295"/>
      <c r="L506" s="73"/>
      <c r="M506" s="57"/>
      <c r="N506" s="100"/>
      <c r="O506" s="101" t="s">
        <v>63</v>
      </c>
      <c r="P506" s="101">
        <v>30</v>
      </c>
      <c r="Q506" s="101">
        <v>1</v>
      </c>
      <c r="R506" s="101">
        <f t="shared" ref="R506:R511" si="88">IF(Q506="","",R505-Q506)</f>
        <v>8</v>
      </c>
      <c r="S506" s="105"/>
      <c r="T506" s="101" t="s">
        <v>63</v>
      </c>
      <c r="U506" s="177">
        <f>Y505</f>
        <v>55000</v>
      </c>
      <c r="V506" s="103"/>
      <c r="W506" s="177">
        <f t="shared" ref="W506:W515" si="89">IF(U506="","",U506+V506)</f>
        <v>55000</v>
      </c>
      <c r="X506" s="103">
        <v>5000</v>
      </c>
      <c r="Y506" s="177">
        <f t="shared" ref="Y506:Y515" si="90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>
        <v>26</v>
      </c>
      <c r="Q507" s="101">
        <v>4</v>
      </c>
      <c r="R507" s="101">
        <f t="shared" si="88"/>
        <v>4</v>
      </c>
      <c r="S507" s="105"/>
      <c r="T507" s="101" t="s">
        <v>64</v>
      </c>
      <c r="U507" s="177">
        <f>Y506</f>
        <v>50000</v>
      </c>
      <c r="V507" s="103">
        <v>5000</v>
      </c>
      <c r="W507" s="177">
        <f t="shared" si="89"/>
        <v>55000</v>
      </c>
      <c r="X507" s="103">
        <v>5000</v>
      </c>
      <c r="Y507" s="177">
        <f t="shared" si="90"/>
        <v>50000</v>
      </c>
      <c r="Z507" s="106"/>
      <c r="AA507" s="57"/>
    </row>
    <row r="508" spans="1:27" s="55" customFormat="1" ht="21" customHeight="1" x14ac:dyDescent="0.25">
      <c r="A508" s="56"/>
      <c r="B508" s="296" t="s">
        <v>59</v>
      </c>
      <c r="C508" s="297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50000</v>
      </c>
      <c r="H508" s="74"/>
      <c r="I508" s="76">
        <f>IF(C512&gt;0,$K$2,C510)</f>
        <v>31</v>
      </c>
      <c r="J508" s="77" t="s">
        <v>78</v>
      </c>
      <c r="K508" s="78">
        <f>K504/$K$2*I508</f>
        <v>24000</v>
      </c>
      <c r="L508" s="79"/>
      <c r="M508" s="57"/>
      <c r="N508" s="100"/>
      <c r="O508" s="101" t="s">
        <v>65</v>
      </c>
      <c r="P508" s="101">
        <v>29</v>
      </c>
      <c r="Q508" s="101">
        <v>2</v>
      </c>
      <c r="R508" s="101">
        <f t="shared" si="88"/>
        <v>2</v>
      </c>
      <c r="S508" s="105"/>
      <c r="T508" s="101" t="s">
        <v>65</v>
      </c>
      <c r="U508" s="177">
        <f>Y507</f>
        <v>50000</v>
      </c>
      <c r="V508" s="103">
        <v>1000</v>
      </c>
      <c r="W508" s="177">
        <f t="shared" si="89"/>
        <v>51000</v>
      </c>
      <c r="X508" s="103"/>
      <c r="Y508" s="177">
        <f t="shared" si="90"/>
        <v>51000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1000</v>
      </c>
      <c r="H509" s="74"/>
      <c r="I509" s="120">
        <v>5.17</v>
      </c>
      <c r="J509" s="77" t="s">
        <v>79</v>
      </c>
      <c r="K509" s="80">
        <f>K504/$K$2/8*I509</f>
        <v>500.32258064516134</v>
      </c>
      <c r="L509" s="81"/>
      <c r="M509" s="57"/>
      <c r="N509" s="100"/>
      <c r="O509" s="101" t="s">
        <v>66</v>
      </c>
      <c r="P509" s="101"/>
      <c r="Q509" s="101"/>
      <c r="R509" s="101" t="str">
        <f t="shared" si="88"/>
        <v/>
      </c>
      <c r="S509" s="105"/>
      <c r="T509" s="101" t="s">
        <v>66</v>
      </c>
      <c r="U509" s="177"/>
      <c r="V509" s="103"/>
      <c r="W509" s="177" t="str">
        <f t="shared" si="89"/>
        <v/>
      </c>
      <c r="X509" s="103"/>
      <c r="Y509" s="177" t="str">
        <f t="shared" si="90"/>
        <v/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51000</v>
      </c>
      <c r="H510" s="74"/>
      <c r="I510" s="298" t="s">
        <v>86</v>
      </c>
      <c r="J510" s="299"/>
      <c r="K510" s="80">
        <f>K508+K509</f>
        <v>24500.322580645163</v>
      </c>
      <c r="L510" s="81"/>
      <c r="M510" s="57"/>
      <c r="N510" s="100"/>
      <c r="O510" s="101" t="s">
        <v>67</v>
      </c>
      <c r="P510" s="101"/>
      <c r="Q510" s="101"/>
      <c r="R510" s="101" t="str">
        <f t="shared" si="88"/>
        <v/>
      </c>
      <c r="S510" s="105"/>
      <c r="T510" s="101" t="s">
        <v>67</v>
      </c>
      <c r="U510" s="177"/>
      <c r="V510" s="103"/>
      <c r="W510" s="177" t="str">
        <f t="shared" si="89"/>
        <v/>
      </c>
      <c r="X510" s="103"/>
      <c r="Y510" s="177" t="str">
        <f t="shared" si="90"/>
        <v/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2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4"/>
      <c r="I511" s="298" t="s">
        <v>87</v>
      </c>
      <c r="J511" s="299"/>
      <c r="K511" s="70">
        <f>G511</f>
        <v>0</v>
      </c>
      <c r="L511" s="82"/>
      <c r="M511" s="57"/>
      <c r="N511" s="100"/>
      <c r="O511" s="101" t="s">
        <v>68</v>
      </c>
      <c r="P511" s="101"/>
      <c r="Q511" s="101"/>
      <c r="R511" s="101" t="str">
        <f t="shared" si="88"/>
        <v/>
      </c>
      <c r="S511" s="105"/>
      <c r="T511" s="101" t="s">
        <v>68</v>
      </c>
      <c r="U511" s="177"/>
      <c r="V511" s="103"/>
      <c r="W511" s="177" t="str">
        <f t="shared" si="89"/>
        <v/>
      </c>
      <c r="X511" s="103"/>
      <c r="Y511" s="177" t="str">
        <f t="shared" si="90"/>
        <v/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2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51000</v>
      </c>
      <c r="H512" s="57"/>
      <c r="I512" s="284" t="s">
        <v>80</v>
      </c>
      <c r="J512" s="285"/>
      <c r="K512" s="84">
        <f>K510-K511</f>
        <v>24500.322580645163</v>
      </c>
      <c r="L512" s="85"/>
      <c r="M512" s="57"/>
      <c r="N512" s="100"/>
      <c r="O512" s="101" t="s">
        <v>73</v>
      </c>
      <c r="P512" s="101"/>
      <c r="Q512" s="101"/>
      <c r="R512" s="101">
        <v>0</v>
      </c>
      <c r="S512" s="105"/>
      <c r="T512" s="101" t="s">
        <v>73</v>
      </c>
      <c r="U512" s="177"/>
      <c r="V512" s="103"/>
      <c r="W512" s="177" t="str">
        <f t="shared" si="89"/>
        <v/>
      </c>
      <c r="X512" s="103"/>
      <c r="Y512" s="177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69</v>
      </c>
      <c r="P513" s="101"/>
      <c r="Q513" s="101"/>
      <c r="R513" s="101">
        <v>0</v>
      </c>
      <c r="S513" s="105"/>
      <c r="T513" s="101" t="s">
        <v>69</v>
      </c>
      <c r="U513" s="177"/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86" t="s">
        <v>118</v>
      </c>
      <c r="C514" s="286"/>
      <c r="D514" s="286"/>
      <c r="E514" s="286"/>
      <c r="F514" s="286"/>
      <c r="G514" s="286"/>
      <c r="H514" s="286"/>
      <c r="I514" s="286"/>
      <c r="J514" s="286"/>
      <c r="K514" s="286"/>
      <c r="L514" s="73"/>
      <c r="M514" s="57"/>
      <c r="N514" s="100"/>
      <c r="O514" s="101" t="s">
        <v>74</v>
      </c>
      <c r="P514" s="101"/>
      <c r="Q514" s="101"/>
      <c r="R514" s="101">
        <v>0</v>
      </c>
      <c r="S514" s="105"/>
      <c r="T514" s="101" t="s">
        <v>74</v>
      </c>
      <c r="U514" s="177"/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86"/>
      <c r="C515" s="286"/>
      <c r="D515" s="286"/>
      <c r="E515" s="286"/>
      <c r="F515" s="286"/>
      <c r="G515" s="286"/>
      <c r="H515" s="286"/>
      <c r="I515" s="286"/>
      <c r="J515" s="286"/>
      <c r="K515" s="286"/>
      <c r="L515" s="73"/>
      <c r="M515" s="57"/>
      <c r="N515" s="100"/>
      <c r="O515" s="101" t="s">
        <v>75</v>
      </c>
      <c r="P515" s="101"/>
      <c r="Q515" s="101"/>
      <c r="R515" s="101">
        <v>0</v>
      </c>
      <c r="S515" s="105"/>
      <c r="T515" s="101" t="s">
        <v>75</v>
      </c>
      <c r="U515" s="177"/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300" t="s">
        <v>57</v>
      </c>
      <c r="B518" s="301"/>
      <c r="C518" s="301"/>
      <c r="D518" s="301"/>
      <c r="E518" s="301"/>
      <c r="F518" s="301"/>
      <c r="G518" s="301"/>
      <c r="H518" s="301"/>
      <c r="I518" s="301"/>
      <c r="J518" s="301"/>
      <c r="K518" s="301"/>
      <c r="L518" s="302"/>
      <c r="M518" s="54"/>
      <c r="N518" s="93"/>
      <c r="O518" s="290" t="s">
        <v>59</v>
      </c>
      <c r="P518" s="291"/>
      <c r="Q518" s="291"/>
      <c r="R518" s="292"/>
      <c r="S518" s="94"/>
      <c r="T518" s="290" t="s">
        <v>60</v>
      </c>
      <c r="U518" s="291"/>
      <c r="V518" s="291"/>
      <c r="W518" s="291"/>
      <c r="X518" s="291"/>
      <c r="Y518" s="292"/>
      <c r="Z518" s="95"/>
      <c r="AA518" s="54"/>
    </row>
    <row r="519" spans="1:27" s="55" customFormat="1" ht="21" customHeight="1" x14ac:dyDescent="0.25">
      <c r="A519" s="56"/>
      <c r="B519" s="57"/>
      <c r="C519" s="293" t="s">
        <v>116</v>
      </c>
      <c r="D519" s="293"/>
      <c r="E519" s="293"/>
      <c r="F519" s="293"/>
      <c r="G519" s="58" t="str">
        <f>$J$1</f>
        <v>May</v>
      </c>
      <c r="H519" s="294">
        <f>$K$1</f>
        <v>2019</v>
      </c>
      <c r="I519" s="294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31</v>
      </c>
      <c r="Q520" s="101">
        <v>0</v>
      </c>
      <c r="R520" s="101">
        <f>19+15</f>
        <v>34</v>
      </c>
      <c r="S520" s="102"/>
      <c r="T520" s="101" t="s">
        <v>62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88</v>
      </c>
      <c r="U521" s="177">
        <f>Y520</f>
        <v>278000</v>
      </c>
      <c r="V521" s="103"/>
      <c r="W521" s="177">
        <f>IF(U521="","",U521+V521)</f>
        <v>278000</v>
      </c>
      <c r="X521" s="103">
        <v>5000</v>
      </c>
      <c r="Y521" s="177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95" t="s">
        <v>60</v>
      </c>
      <c r="G522" s="295"/>
      <c r="H522" s="57"/>
      <c r="I522" s="295" t="s">
        <v>61</v>
      </c>
      <c r="J522" s="295"/>
      <c r="K522" s="295"/>
      <c r="L522" s="73"/>
      <c r="M522" s="57"/>
      <c r="N522" s="100"/>
      <c r="O522" s="101" t="s">
        <v>63</v>
      </c>
      <c r="P522" s="101">
        <v>29</v>
      </c>
      <c r="Q522" s="101">
        <v>2</v>
      </c>
      <c r="R522" s="101">
        <f t="shared" ref="R522:R531" si="91">IF(Q522="","",R521-Q522)</f>
        <v>32</v>
      </c>
      <c r="S522" s="105"/>
      <c r="T522" s="101" t="s">
        <v>63</v>
      </c>
      <c r="U522" s="177">
        <f>Y521</f>
        <v>273000</v>
      </c>
      <c r="V522" s="103"/>
      <c r="W522" s="177">
        <f t="shared" ref="W522:W531" si="92">IF(U522="","",U522+V522)</f>
        <v>273000</v>
      </c>
      <c r="X522" s="103">
        <v>5000</v>
      </c>
      <c r="Y522" s="177">
        <f t="shared" ref="Y522:Y531" si="93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>
        <v>30</v>
      </c>
      <c r="Q523" s="101">
        <v>0</v>
      </c>
      <c r="R523" s="101">
        <f t="shared" si="91"/>
        <v>32</v>
      </c>
      <c r="S523" s="105"/>
      <c r="T523" s="101" t="s">
        <v>64</v>
      </c>
      <c r="U523" s="177">
        <f>Y522</f>
        <v>268000</v>
      </c>
      <c r="V523" s="103"/>
      <c r="W523" s="177">
        <f t="shared" si="92"/>
        <v>268000</v>
      </c>
      <c r="X523" s="103">
        <v>5000</v>
      </c>
      <c r="Y523" s="177">
        <f t="shared" si="93"/>
        <v>263000</v>
      </c>
      <c r="Z523" s="106"/>
      <c r="AA523" s="57"/>
    </row>
    <row r="524" spans="1:27" s="55" customFormat="1" ht="21" customHeight="1" x14ac:dyDescent="0.25">
      <c r="A524" s="56"/>
      <c r="B524" s="296" t="s">
        <v>59</v>
      </c>
      <c r="C524" s="297"/>
      <c r="D524" s="57"/>
      <c r="E524" s="57"/>
      <c r="F524" s="75" t="s">
        <v>81</v>
      </c>
      <c r="G524" s="19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263000</v>
      </c>
      <c r="H524" s="74"/>
      <c r="I524" s="76">
        <f>IF(C528&gt;=C527,$K$2,C526+C528)</f>
        <v>31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>
        <v>31</v>
      </c>
      <c r="Q524" s="101">
        <v>0</v>
      </c>
      <c r="R524" s="101">
        <f t="shared" si="91"/>
        <v>32</v>
      </c>
      <c r="S524" s="105"/>
      <c r="T524" s="101" t="s">
        <v>65</v>
      </c>
      <c r="U524" s="177">
        <f>Y523</f>
        <v>263000</v>
      </c>
      <c r="V524" s="103"/>
      <c r="W524" s="177">
        <f t="shared" si="92"/>
        <v>263000</v>
      </c>
      <c r="X524" s="103">
        <v>5000</v>
      </c>
      <c r="Y524" s="177">
        <f t="shared" si="93"/>
        <v>258000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19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9.8019999999999996</v>
      </c>
      <c r="J525" s="77" t="s">
        <v>79</v>
      </c>
      <c r="K525" s="80">
        <f>K520/$K$2/8*I525</f>
        <v>1699.5403225806449</v>
      </c>
      <c r="L525" s="81"/>
      <c r="M525" s="57"/>
      <c r="N525" s="100"/>
      <c r="O525" s="101" t="s">
        <v>66</v>
      </c>
      <c r="P525" s="101"/>
      <c r="Q525" s="101"/>
      <c r="R525" s="101" t="str">
        <f t="shared" si="91"/>
        <v/>
      </c>
      <c r="S525" s="105"/>
      <c r="T525" s="101" t="s">
        <v>66</v>
      </c>
      <c r="U525" s="177"/>
      <c r="V525" s="103">
        <v>300</v>
      </c>
      <c r="W525" s="177" t="str">
        <f t="shared" si="92"/>
        <v/>
      </c>
      <c r="X525" s="103"/>
      <c r="Y525" s="177" t="str">
        <f t="shared" si="93"/>
        <v/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57"/>
      <c r="E526" s="57"/>
      <c r="F526" s="75" t="s">
        <v>82</v>
      </c>
      <c r="G526" s="19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263000</v>
      </c>
      <c r="H526" s="74"/>
      <c r="I526" s="298" t="s">
        <v>86</v>
      </c>
      <c r="J526" s="299"/>
      <c r="K526" s="80">
        <f>K524+K525</f>
        <v>44699.540322580644</v>
      </c>
      <c r="L526" s="81"/>
      <c r="M526" s="57"/>
      <c r="N526" s="100"/>
      <c r="O526" s="101" t="s">
        <v>67</v>
      </c>
      <c r="P526" s="101"/>
      <c r="Q526" s="101"/>
      <c r="R526" s="101" t="str">
        <f t="shared" si="91"/>
        <v/>
      </c>
      <c r="S526" s="105"/>
      <c r="T526" s="101" t="s">
        <v>67</v>
      </c>
      <c r="U526" s="177"/>
      <c r="V526" s="103"/>
      <c r="W526" s="177" t="str">
        <f t="shared" si="92"/>
        <v/>
      </c>
      <c r="X526" s="103"/>
      <c r="Y526" s="177" t="str">
        <f t="shared" si="93"/>
        <v/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19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98" t="s">
        <v>87</v>
      </c>
      <c r="J527" s="299"/>
      <c r="K527" s="70">
        <f>G527</f>
        <v>5000</v>
      </c>
      <c r="L527" s="82"/>
      <c r="M527" s="57"/>
      <c r="N527" s="100"/>
      <c r="O527" s="101" t="s">
        <v>68</v>
      </c>
      <c r="P527" s="101"/>
      <c r="Q527" s="101"/>
      <c r="R527" s="101" t="str">
        <f t="shared" si="91"/>
        <v/>
      </c>
      <c r="S527" s="105"/>
      <c r="T527" s="101" t="s">
        <v>68</v>
      </c>
      <c r="U527" s="177"/>
      <c r="V527" s="103"/>
      <c r="W527" s="177" t="str">
        <f t="shared" si="92"/>
        <v/>
      </c>
      <c r="X527" s="103"/>
      <c r="Y527" s="177" t="str">
        <f t="shared" si="93"/>
        <v/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32</v>
      </c>
      <c r="D528" s="57"/>
      <c r="E528" s="57"/>
      <c r="F528" s="75" t="s">
        <v>84</v>
      </c>
      <c r="G528" s="19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258000</v>
      </c>
      <c r="H528" s="57"/>
      <c r="I528" s="284" t="s">
        <v>80</v>
      </c>
      <c r="J528" s="285"/>
      <c r="K528" s="84">
        <f>K526-K527</f>
        <v>39699.540322580644</v>
      </c>
      <c r="L528" s="85"/>
      <c r="M528" s="57"/>
      <c r="N528" s="100"/>
      <c r="O528" s="101" t="s">
        <v>73</v>
      </c>
      <c r="P528" s="101"/>
      <c r="Q528" s="101"/>
      <c r="R528" s="101" t="str">
        <f t="shared" si="91"/>
        <v/>
      </c>
      <c r="S528" s="105"/>
      <c r="T528" s="101" t="s">
        <v>73</v>
      </c>
      <c r="U528" s="177"/>
      <c r="V528" s="103"/>
      <c r="W528" s="177" t="str">
        <f t="shared" si="92"/>
        <v/>
      </c>
      <c r="X528" s="103"/>
      <c r="Y528" s="177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/>
      <c r="Q529" s="101"/>
      <c r="R529" s="101" t="str">
        <f t="shared" si="91"/>
        <v/>
      </c>
      <c r="S529" s="105"/>
      <c r="T529" s="101" t="s">
        <v>69</v>
      </c>
      <c r="U529" s="177"/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86" t="s">
        <v>118</v>
      </c>
      <c r="C530" s="286"/>
      <c r="D530" s="286"/>
      <c r="E530" s="286"/>
      <c r="F530" s="286"/>
      <c r="G530" s="286"/>
      <c r="H530" s="286"/>
      <c r="I530" s="286"/>
      <c r="J530" s="286"/>
      <c r="K530" s="286"/>
      <c r="L530" s="73"/>
      <c r="M530" s="57"/>
      <c r="N530" s="100"/>
      <c r="O530" s="101" t="s">
        <v>74</v>
      </c>
      <c r="P530" s="101"/>
      <c r="Q530" s="101"/>
      <c r="R530" s="101" t="str">
        <f t="shared" si="91"/>
        <v/>
      </c>
      <c r="S530" s="105"/>
      <c r="T530" s="101" t="s">
        <v>74</v>
      </c>
      <c r="U530" s="177"/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86"/>
      <c r="C531" s="286"/>
      <c r="D531" s="286"/>
      <c r="E531" s="286"/>
      <c r="F531" s="286"/>
      <c r="G531" s="286"/>
      <c r="H531" s="286"/>
      <c r="I531" s="286"/>
      <c r="J531" s="286"/>
      <c r="K531" s="286"/>
      <c r="L531" s="73"/>
      <c r="M531" s="57"/>
      <c r="N531" s="100"/>
      <c r="O531" s="101" t="s">
        <v>75</v>
      </c>
      <c r="P531" s="101"/>
      <c r="Q531" s="101"/>
      <c r="R531" s="101" t="str">
        <f t="shared" si="91"/>
        <v/>
      </c>
      <c r="S531" s="105"/>
      <c r="T531" s="101" t="s">
        <v>75</v>
      </c>
      <c r="U531" s="177"/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300" t="s">
        <v>57</v>
      </c>
      <c r="B534" s="301"/>
      <c r="C534" s="301"/>
      <c r="D534" s="301"/>
      <c r="E534" s="301"/>
      <c r="F534" s="301"/>
      <c r="G534" s="301"/>
      <c r="H534" s="301"/>
      <c r="I534" s="301"/>
      <c r="J534" s="301"/>
      <c r="K534" s="301"/>
      <c r="L534" s="302"/>
      <c r="M534" s="54"/>
      <c r="N534" s="93"/>
      <c r="O534" s="290" t="s">
        <v>59</v>
      </c>
      <c r="P534" s="291"/>
      <c r="Q534" s="291"/>
      <c r="R534" s="292"/>
      <c r="S534" s="94"/>
      <c r="T534" s="290" t="s">
        <v>60</v>
      </c>
      <c r="U534" s="291"/>
      <c r="V534" s="291"/>
      <c r="W534" s="291"/>
      <c r="X534" s="291"/>
      <c r="Y534" s="292"/>
      <c r="Z534" s="95"/>
      <c r="AA534" s="54"/>
    </row>
    <row r="535" spans="1:27" s="55" customFormat="1" ht="21" customHeight="1" x14ac:dyDescent="0.25">
      <c r="A535" s="56"/>
      <c r="B535" s="57"/>
      <c r="C535" s="293" t="s">
        <v>116</v>
      </c>
      <c r="D535" s="293"/>
      <c r="E535" s="293"/>
      <c r="F535" s="293"/>
      <c r="G535" s="58" t="str">
        <f>$J$1</f>
        <v>May</v>
      </c>
      <c r="H535" s="294">
        <f>$K$1</f>
        <v>2019</v>
      </c>
      <c r="I535" s="294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15000</v>
      </c>
      <c r="L536" s="65"/>
      <c r="M536" s="57"/>
      <c r="N536" s="100"/>
      <c r="O536" s="101" t="s">
        <v>62</v>
      </c>
      <c r="P536" s="101"/>
      <c r="Q536" s="101"/>
      <c r="R536" s="101">
        <v>0</v>
      </c>
      <c r="S536" s="102"/>
      <c r="T536" s="101" t="s">
        <v>62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182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/>
      <c r="Q537" s="101"/>
      <c r="R537" s="101">
        <v>0</v>
      </c>
      <c r="S537" s="105"/>
      <c r="T537" s="101" t="s">
        <v>88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95" t="s">
        <v>60</v>
      </c>
      <c r="G538" s="295"/>
      <c r="H538" s="57"/>
      <c r="I538" s="295" t="s">
        <v>61</v>
      </c>
      <c r="J538" s="295"/>
      <c r="K538" s="295"/>
      <c r="L538" s="73"/>
      <c r="M538" s="57"/>
      <c r="N538" s="100"/>
      <c r="O538" s="101" t="s">
        <v>63</v>
      </c>
      <c r="P538" s="101">
        <v>24</v>
      </c>
      <c r="Q538" s="101">
        <v>7</v>
      </c>
      <c r="R538" s="101">
        <v>0</v>
      </c>
      <c r="S538" s="105"/>
      <c r="T538" s="101" t="s">
        <v>63</v>
      </c>
      <c r="U538" s="177"/>
      <c r="V538" s="103"/>
      <c r="W538" s="177" t="str">
        <f t="shared" ref="W538:W547" si="94">IF(U538="","",U538+V538)</f>
        <v/>
      </c>
      <c r="X538" s="103"/>
      <c r="Y538" s="177" t="str">
        <f t="shared" ref="Y538:Y547" si="95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>
        <v>28</v>
      </c>
      <c r="Q539" s="101">
        <v>2</v>
      </c>
      <c r="R539" s="101">
        <v>0</v>
      </c>
      <c r="S539" s="105"/>
      <c r="T539" s="101" t="s">
        <v>64</v>
      </c>
      <c r="U539" s="177"/>
      <c r="V539" s="103"/>
      <c r="W539" s="177" t="str">
        <f t="shared" si="94"/>
        <v/>
      </c>
      <c r="X539" s="103"/>
      <c r="Y539" s="177" t="str">
        <f t="shared" si="95"/>
        <v/>
      </c>
      <c r="Z539" s="106"/>
      <c r="AA539" s="57"/>
    </row>
    <row r="540" spans="1:27" s="55" customFormat="1" ht="21" customHeight="1" x14ac:dyDescent="0.25">
      <c r="A540" s="56"/>
      <c r="B540" s="296" t="s">
        <v>59</v>
      </c>
      <c r="C540" s="297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29</v>
      </c>
      <c r="J540" s="77" t="s">
        <v>78</v>
      </c>
      <c r="K540" s="78">
        <f>K536/$K$2*I540</f>
        <v>14032.258064516129</v>
      </c>
      <c r="L540" s="79"/>
      <c r="M540" s="57"/>
      <c r="N540" s="100"/>
      <c r="O540" s="101" t="s">
        <v>65</v>
      </c>
      <c r="P540" s="101">
        <v>29</v>
      </c>
      <c r="Q540" s="101">
        <v>2</v>
      </c>
      <c r="R540" s="101">
        <v>0</v>
      </c>
      <c r="S540" s="105"/>
      <c r="T540" s="101" t="s">
        <v>65</v>
      </c>
      <c r="U540" s="177"/>
      <c r="V540" s="103"/>
      <c r="W540" s="177" t="str">
        <f t="shared" si="94"/>
        <v/>
      </c>
      <c r="X540" s="103"/>
      <c r="Y540" s="177" t="str">
        <f t="shared" si="95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>
        <v>11.04</v>
      </c>
      <c r="J541" s="77" t="s">
        <v>79</v>
      </c>
      <c r="K541" s="80">
        <f>K536/$K$2/8*I541</f>
        <v>667.74193548387098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/>
      <c r="V541" s="103"/>
      <c r="W541" s="177" t="str">
        <f t="shared" si="94"/>
        <v/>
      </c>
      <c r="X541" s="103"/>
      <c r="Y541" s="177" t="str">
        <f t="shared" si="95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29</v>
      </c>
      <c r="D542" s="57"/>
      <c r="E542" s="57"/>
      <c r="F542" s="75" t="s">
        <v>82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298" t="s">
        <v>86</v>
      </c>
      <c r="J542" s="299"/>
      <c r="K542" s="80">
        <f>K540+K541</f>
        <v>14700</v>
      </c>
      <c r="L542" s="81"/>
      <c r="M542" s="57"/>
      <c r="N542" s="100"/>
      <c r="O542" s="101" t="s">
        <v>67</v>
      </c>
      <c r="P542" s="101"/>
      <c r="Q542" s="101"/>
      <c r="R542" s="101">
        <v>0</v>
      </c>
      <c r="S542" s="105"/>
      <c r="T542" s="101" t="s">
        <v>67</v>
      </c>
      <c r="U542" s="177"/>
      <c r="V542" s="103"/>
      <c r="W542" s="177" t="str">
        <f t="shared" si="94"/>
        <v/>
      </c>
      <c r="X542" s="103"/>
      <c r="Y542" s="177" t="str">
        <f t="shared" si="95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2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298" t="s">
        <v>87</v>
      </c>
      <c r="J543" s="299"/>
      <c r="K543" s="70">
        <f>G543</f>
        <v>0</v>
      </c>
      <c r="L543" s="82"/>
      <c r="M543" s="57"/>
      <c r="N543" s="100"/>
      <c r="O543" s="101" t="s">
        <v>68</v>
      </c>
      <c r="P543" s="101"/>
      <c r="Q543" s="101"/>
      <c r="R543" s="101" t="str">
        <f t="shared" ref="R543:R546" si="96">IF(Q543="","",R542-Q543)</f>
        <v/>
      </c>
      <c r="S543" s="105"/>
      <c r="T543" s="101" t="s">
        <v>68</v>
      </c>
      <c r="U543" s="177"/>
      <c r="V543" s="103"/>
      <c r="W543" s="177" t="str">
        <f t="shared" si="94"/>
        <v/>
      </c>
      <c r="X543" s="103"/>
      <c r="Y543" s="177" t="str">
        <f t="shared" si="95"/>
        <v/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84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284" t="s">
        <v>80</v>
      </c>
      <c r="J544" s="285"/>
      <c r="K544" s="84">
        <f>K542-K543</f>
        <v>14700</v>
      </c>
      <c r="L544" s="85"/>
      <c r="M544" s="57"/>
      <c r="N544" s="100"/>
      <c r="O544" s="101" t="s">
        <v>73</v>
      </c>
      <c r="P544" s="101"/>
      <c r="Q544" s="101"/>
      <c r="R544" s="101">
        <v>0</v>
      </c>
      <c r="S544" s="105"/>
      <c r="T544" s="101" t="s">
        <v>73</v>
      </c>
      <c r="U544" s="177"/>
      <c r="V544" s="103"/>
      <c r="W544" s="177" t="str">
        <f t="shared" si="94"/>
        <v/>
      </c>
      <c r="X544" s="103"/>
      <c r="Y544" s="177" t="str">
        <f t="shared" si="95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/>
      <c r="Q545" s="101"/>
      <c r="R545" s="101">
        <v>0</v>
      </c>
      <c r="S545" s="105"/>
      <c r="T545" s="101" t="s">
        <v>69</v>
      </c>
      <c r="U545" s="177"/>
      <c r="V545" s="103"/>
      <c r="W545" s="177" t="str">
        <f t="shared" si="94"/>
        <v/>
      </c>
      <c r="X545" s="103"/>
      <c r="Y545" s="177" t="str">
        <f t="shared" si="95"/>
        <v/>
      </c>
      <c r="Z545" s="106"/>
      <c r="AA545" s="57"/>
    </row>
    <row r="546" spans="1:27" s="55" customFormat="1" ht="21" customHeight="1" x14ac:dyDescent="0.25">
      <c r="A546" s="56"/>
      <c r="B546" s="286" t="s">
        <v>118</v>
      </c>
      <c r="C546" s="286"/>
      <c r="D546" s="286"/>
      <c r="E546" s="286"/>
      <c r="F546" s="286"/>
      <c r="G546" s="286"/>
      <c r="H546" s="286"/>
      <c r="I546" s="286"/>
      <c r="J546" s="286"/>
      <c r="K546" s="286"/>
      <c r="L546" s="73"/>
      <c r="M546" s="57"/>
      <c r="N546" s="100"/>
      <c r="O546" s="101" t="s">
        <v>74</v>
      </c>
      <c r="P546" s="101"/>
      <c r="Q546" s="101"/>
      <c r="R546" s="101" t="str">
        <f t="shared" si="96"/>
        <v/>
      </c>
      <c r="S546" s="105"/>
      <c r="T546" s="101" t="s">
        <v>74</v>
      </c>
      <c r="U546" s="177"/>
      <c r="V546" s="103"/>
      <c r="W546" s="177" t="str">
        <f t="shared" si="94"/>
        <v/>
      </c>
      <c r="X546" s="103"/>
      <c r="Y546" s="177" t="str">
        <f t="shared" si="95"/>
        <v/>
      </c>
      <c r="Z546" s="106"/>
      <c r="AA546" s="57"/>
    </row>
    <row r="547" spans="1:27" s="55" customFormat="1" ht="21" customHeight="1" x14ac:dyDescent="0.25">
      <c r="A547" s="56"/>
      <c r="B547" s="286"/>
      <c r="C547" s="286"/>
      <c r="D547" s="286"/>
      <c r="E547" s="286"/>
      <c r="F547" s="286"/>
      <c r="G547" s="286"/>
      <c r="H547" s="286"/>
      <c r="I547" s="286"/>
      <c r="J547" s="286"/>
      <c r="K547" s="286"/>
      <c r="L547" s="73"/>
      <c r="M547" s="57"/>
      <c r="N547" s="100"/>
      <c r="O547" s="101" t="s">
        <v>75</v>
      </c>
      <c r="P547" s="101"/>
      <c r="Q547" s="101"/>
      <c r="R547" s="101">
        <v>0</v>
      </c>
      <c r="S547" s="105"/>
      <c r="T547" s="101" t="s">
        <v>75</v>
      </c>
      <c r="U547" s="177"/>
      <c r="V547" s="103"/>
      <c r="W547" s="177" t="str">
        <f t="shared" si="94"/>
        <v/>
      </c>
      <c r="X547" s="103"/>
      <c r="Y547" s="177" t="str">
        <f t="shared" si="95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300" t="s">
        <v>57</v>
      </c>
      <c r="B550" s="301"/>
      <c r="C550" s="301"/>
      <c r="D550" s="301"/>
      <c r="E550" s="301"/>
      <c r="F550" s="301"/>
      <c r="G550" s="301"/>
      <c r="H550" s="301"/>
      <c r="I550" s="301"/>
      <c r="J550" s="301"/>
      <c r="K550" s="301"/>
      <c r="L550" s="302"/>
      <c r="M550" s="54"/>
      <c r="N550" s="93"/>
      <c r="O550" s="290" t="s">
        <v>59</v>
      </c>
      <c r="P550" s="291"/>
      <c r="Q550" s="291"/>
      <c r="R550" s="292"/>
      <c r="S550" s="94"/>
      <c r="T550" s="290" t="s">
        <v>60</v>
      </c>
      <c r="U550" s="291"/>
      <c r="V550" s="291"/>
      <c r="W550" s="291"/>
      <c r="X550" s="291"/>
      <c r="Y550" s="292"/>
      <c r="Z550" s="95"/>
      <c r="AA550" s="54"/>
    </row>
    <row r="551" spans="1:27" s="55" customFormat="1" ht="21" customHeight="1" x14ac:dyDescent="0.25">
      <c r="A551" s="56"/>
      <c r="B551" s="57"/>
      <c r="C551" s="293" t="s">
        <v>116</v>
      </c>
      <c r="D551" s="293"/>
      <c r="E551" s="293"/>
      <c r="F551" s="293"/>
      <c r="G551" s="58" t="str">
        <f>$J$1</f>
        <v>May</v>
      </c>
      <c r="H551" s="294">
        <f>$K$1</f>
        <v>2019</v>
      </c>
      <c r="I551" s="294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v>29</v>
      </c>
      <c r="Q552" s="101">
        <v>2</v>
      </c>
      <c r="R552" s="101">
        <f>15-Q552</f>
        <v>13</v>
      </c>
      <c r="S552" s="102"/>
      <c r="T552" s="101" t="s">
        <v>62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88</v>
      </c>
      <c r="U553" s="177">
        <f>Y552</f>
        <v>10000</v>
      </c>
      <c r="V553" s="103"/>
      <c r="W553" s="177">
        <f>IF(U553="","",U553+V553)</f>
        <v>10000</v>
      </c>
      <c r="X553" s="103">
        <v>5000</v>
      </c>
      <c r="Y553" s="177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95" t="s">
        <v>60</v>
      </c>
      <c r="G554" s="295"/>
      <c r="H554" s="57"/>
      <c r="I554" s="295" t="s">
        <v>61</v>
      </c>
      <c r="J554" s="295"/>
      <c r="K554" s="295"/>
      <c r="L554" s="73"/>
      <c r="M554" s="57"/>
      <c r="N554" s="100"/>
      <c r="O554" s="101" t="s">
        <v>63</v>
      </c>
      <c r="P554" s="101">
        <v>31</v>
      </c>
      <c r="Q554" s="101">
        <v>0</v>
      </c>
      <c r="R554" s="101">
        <f t="shared" ref="R554:R563" si="97">IF(Q554="","",R553-Q554)</f>
        <v>8</v>
      </c>
      <c r="S554" s="105"/>
      <c r="T554" s="101" t="s">
        <v>63</v>
      </c>
      <c r="U554" s="177">
        <f>Y553</f>
        <v>5000</v>
      </c>
      <c r="V554" s="103">
        <v>5000</v>
      </c>
      <c r="W554" s="177">
        <f t="shared" ref="W554:W563" si="98">IF(U554="","",U554+V554)</f>
        <v>10000</v>
      </c>
      <c r="X554" s="103">
        <v>5000</v>
      </c>
      <c r="Y554" s="177">
        <f t="shared" ref="Y554:Y563" si="99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>
        <v>27</v>
      </c>
      <c r="Q555" s="101">
        <v>3</v>
      </c>
      <c r="R555" s="101">
        <f t="shared" si="97"/>
        <v>5</v>
      </c>
      <c r="S555" s="105"/>
      <c r="T555" s="101" t="s">
        <v>64</v>
      </c>
      <c r="U555" s="177">
        <f>Y554</f>
        <v>5000</v>
      </c>
      <c r="V555" s="103"/>
      <c r="W555" s="177">
        <f t="shared" si="98"/>
        <v>5000</v>
      </c>
      <c r="X555" s="103">
        <v>5000</v>
      </c>
      <c r="Y555" s="177">
        <f t="shared" si="99"/>
        <v>0</v>
      </c>
      <c r="Z555" s="106"/>
      <c r="AA555" s="57"/>
    </row>
    <row r="556" spans="1:27" s="55" customFormat="1" ht="21" customHeight="1" x14ac:dyDescent="0.25">
      <c r="A556" s="56"/>
      <c r="B556" s="296" t="s">
        <v>59</v>
      </c>
      <c r="C556" s="297"/>
      <c r="D556" s="57"/>
      <c r="E556" s="57"/>
      <c r="F556" s="75" t="s">
        <v>81</v>
      </c>
      <c r="G556" s="196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74"/>
      <c r="I556" s="76">
        <f>IF(C560&gt;0,$K$2,C558)</f>
        <v>31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>
        <v>30</v>
      </c>
      <c r="Q556" s="101">
        <v>1</v>
      </c>
      <c r="R556" s="101">
        <f t="shared" si="97"/>
        <v>4</v>
      </c>
      <c r="S556" s="105"/>
      <c r="T556" s="101" t="s">
        <v>65</v>
      </c>
      <c r="U556" s="177">
        <f>Y555</f>
        <v>0</v>
      </c>
      <c r="V556" s="103">
        <v>5000</v>
      </c>
      <c r="W556" s="177">
        <f t="shared" si="98"/>
        <v>5000</v>
      </c>
      <c r="X556" s="103">
        <v>5000</v>
      </c>
      <c r="Y556" s="177">
        <f t="shared" si="99"/>
        <v>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6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4"/>
      <c r="I557" s="120">
        <v>7.58</v>
      </c>
      <c r="J557" s="77" t="s">
        <v>79</v>
      </c>
      <c r="K557" s="80">
        <f>K552/$K$2/8*I557</f>
        <v>550.16129032258061</v>
      </c>
      <c r="L557" s="81"/>
      <c r="M557" s="57"/>
      <c r="N557" s="100"/>
      <c r="O557" s="101" t="s">
        <v>66</v>
      </c>
      <c r="P557" s="101"/>
      <c r="Q557" s="101"/>
      <c r="R557" s="101" t="str">
        <f t="shared" si="97"/>
        <v/>
      </c>
      <c r="S557" s="105"/>
      <c r="T557" s="101" t="s">
        <v>66</v>
      </c>
      <c r="U557" s="177"/>
      <c r="V557" s="103"/>
      <c r="W557" s="177" t="str">
        <f t="shared" si="98"/>
        <v/>
      </c>
      <c r="X557" s="103"/>
      <c r="Y557" s="177" t="str">
        <f t="shared" si="99"/>
        <v/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57"/>
      <c r="E558" s="57"/>
      <c r="F558" s="75" t="s">
        <v>82</v>
      </c>
      <c r="G558" s="196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5000</v>
      </c>
      <c r="H558" s="74"/>
      <c r="I558" s="298" t="s">
        <v>86</v>
      </c>
      <c r="J558" s="299"/>
      <c r="K558" s="80">
        <f>K556+K557</f>
        <v>18550.16129032258</v>
      </c>
      <c r="L558" s="81"/>
      <c r="M558" s="57"/>
      <c r="N558" s="100"/>
      <c r="O558" s="101" t="s">
        <v>67</v>
      </c>
      <c r="P558" s="101"/>
      <c r="Q558" s="101"/>
      <c r="R558" s="101" t="str">
        <f t="shared" si="97"/>
        <v/>
      </c>
      <c r="S558" s="105"/>
      <c r="T558" s="101" t="s">
        <v>67</v>
      </c>
      <c r="U558" s="177"/>
      <c r="V558" s="103"/>
      <c r="W558" s="177" t="str">
        <f t="shared" si="98"/>
        <v/>
      </c>
      <c r="X558" s="103"/>
      <c r="Y558" s="177" t="str">
        <f t="shared" si="99"/>
        <v/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7"/>
      <c r="E559" s="57"/>
      <c r="F559" s="75" t="s">
        <v>31</v>
      </c>
      <c r="G559" s="196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4"/>
      <c r="I559" s="298" t="s">
        <v>87</v>
      </c>
      <c r="J559" s="299"/>
      <c r="K559" s="70">
        <f>G559</f>
        <v>5000</v>
      </c>
      <c r="L559" s="82"/>
      <c r="M559" s="57"/>
      <c r="N559" s="100"/>
      <c r="O559" s="101" t="s">
        <v>68</v>
      </c>
      <c r="P559" s="101"/>
      <c r="Q559" s="101"/>
      <c r="R559" s="101" t="str">
        <f t="shared" si="97"/>
        <v/>
      </c>
      <c r="S559" s="105"/>
      <c r="T559" s="101" t="s">
        <v>68</v>
      </c>
      <c r="U559" s="177"/>
      <c r="V559" s="103"/>
      <c r="W559" s="177" t="str">
        <f t="shared" si="98"/>
        <v/>
      </c>
      <c r="X559" s="103"/>
      <c r="Y559" s="177" t="str">
        <f t="shared" si="99"/>
        <v/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4</v>
      </c>
      <c r="D560" s="57"/>
      <c r="E560" s="57"/>
      <c r="F560" s="75" t="s">
        <v>84</v>
      </c>
      <c r="G560" s="196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57"/>
      <c r="I560" s="284" t="s">
        <v>80</v>
      </c>
      <c r="J560" s="285"/>
      <c r="K560" s="84">
        <f>K558-K559</f>
        <v>13550.16129032258</v>
      </c>
      <c r="L560" s="85"/>
      <c r="M560" s="57"/>
      <c r="N560" s="100"/>
      <c r="O560" s="101" t="s">
        <v>73</v>
      </c>
      <c r="P560" s="101"/>
      <c r="Q560" s="101"/>
      <c r="R560" s="101">
        <v>0</v>
      </c>
      <c r="S560" s="105"/>
      <c r="T560" s="101" t="s">
        <v>73</v>
      </c>
      <c r="U560" s="177"/>
      <c r="V560" s="103"/>
      <c r="W560" s="177" t="str">
        <f t="shared" si="98"/>
        <v/>
      </c>
      <c r="X560" s="103"/>
      <c r="Y560" s="177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/>
      <c r="Q561" s="101"/>
      <c r="R561" s="101">
        <v>0</v>
      </c>
      <c r="S561" s="105"/>
      <c r="T561" s="101" t="s">
        <v>69</v>
      </c>
      <c r="U561" s="177"/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86" t="s">
        <v>118</v>
      </c>
      <c r="C562" s="286"/>
      <c r="D562" s="286"/>
      <c r="E562" s="286"/>
      <c r="F562" s="286"/>
      <c r="G562" s="286"/>
      <c r="H562" s="286"/>
      <c r="I562" s="286"/>
      <c r="J562" s="286"/>
      <c r="K562" s="286"/>
      <c r="L562" s="73"/>
      <c r="M562" s="57"/>
      <c r="N562" s="100"/>
      <c r="O562" s="101" t="s">
        <v>74</v>
      </c>
      <c r="P562" s="101"/>
      <c r="Q562" s="101"/>
      <c r="R562" s="101" t="str">
        <f t="shared" si="97"/>
        <v/>
      </c>
      <c r="S562" s="105"/>
      <c r="T562" s="101" t="s">
        <v>74</v>
      </c>
      <c r="U562" s="177"/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86"/>
      <c r="C563" s="286"/>
      <c r="D563" s="286"/>
      <c r="E563" s="286"/>
      <c r="F563" s="286"/>
      <c r="G563" s="286"/>
      <c r="H563" s="286"/>
      <c r="I563" s="286"/>
      <c r="J563" s="286"/>
      <c r="K563" s="286"/>
      <c r="L563" s="73"/>
      <c r="M563" s="57"/>
      <c r="N563" s="100"/>
      <c r="O563" s="101" t="s">
        <v>75</v>
      </c>
      <c r="P563" s="101"/>
      <c r="Q563" s="101"/>
      <c r="R563" s="101" t="str">
        <f t="shared" si="97"/>
        <v/>
      </c>
      <c r="S563" s="105"/>
      <c r="T563" s="101" t="s">
        <v>75</v>
      </c>
      <c r="U563" s="177"/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300" t="s">
        <v>57</v>
      </c>
      <c r="B566" s="301"/>
      <c r="C566" s="301"/>
      <c r="D566" s="301"/>
      <c r="E566" s="301"/>
      <c r="F566" s="301"/>
      <c r="G566" s="301"/>
      <c r="H566" s="301"/>
      <c r="I566" s="301"/>
      <c r="J566" s="301"/>
      <c r="K566" s="301"/>
      <c r="L566" s="302"/>
      <c r="M566" s="54"/>
      <c r="N566" s="93"/>
      <c r="O566" s="290" t="s">
        <v>59</v>
      </c>
      <c r="P566" s="291"/>
      <c r="Q566" s="291"/>
      <c r="R566" s="292"/>
      <c r="S566" s="94"/>
      <c r="T566" s="290" t="s">
        <v>60</v>
      </c>
      <c r="U566" s="291"/>
      <c r="V566" s="291"/>
      <c r="W566" s="291"/>
      <c r="X566" s="291"/>
      <c r="Y566" s="292"/>
      <c r="Z566" s="95"/>
      <c r="AA566" s="54"/>
    </row>
    <row r="567" spans="1:27" s="55" customFormat="1" ht="21" customHeight="1" x14ac:dyDescent="0.25">
      <c r="A567" s="56"/>
      <c r="B567" s="57"/>
      <c r="C567" s="293" t="s">
        <v>116</v>
      </c>
      <c r="D567" s="293"/>
      <c r="E567" s="293"/>
      <c r="F567" s="293"/>
      <c r="G567" s="58" t="str">
        <f>$J$1</f>
        <v>May</v>
      </c>
      <c r="H567" s="294">
        <f>$K$1</f>
        <v>2019</v>
      </c>
      <c r="I567" s="294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30</v>
      </c>
      <c r="Q568" s="101">
        <v>1</v>
      </c>
      <c r="R568" s="101">
        <f>15-Q568</f>
        <v>14</v>
      </c>
      <c r="S568" s="102"/>
      <c r="T568" s="101" t="s">
        <v>62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88</v>
      </c>
      <c r="U569" s="177">
        <f>Y568</f>
        <v>9000</v>
      </c>
      <c r="V569" s="103"/>
      <c r="W569" s="177">
        <f>IF(U569="","",U569+V569)</f>
        <v>9000</v>
      </c>
      <c r="X569" s="103">
        <v>5000</v>
      </c>
      <c r="Y569" s="177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95" t="s">
        <v>60</v>
      </c>
      <c r="G570" s="295"/>
      <c r="H570" s="57"/>
      <c r="I570" s="295" t="s">
        <v>61</v>
      </c>
      <c r="J570" s="295"/>
      <c r="K570" s="295"/>
      <c r="L570" s="73"/>
      <c r="M570" s="57"/>
      <c r="N570" s="100"/>
      <c r="O570" s="101" t="s">
        <v>63</v>
      </c>
      <c r="P570" s="101">
        <v>31</v>
      </c>
      <c r="Q570" s="101">
        <v>0</v>
      </c>
      <c r="R570" s="101">
        <f t="shared" ref="R570:R574" si="100">IF(Q570="","",R569-Q570)</f>
        <v>12</v>
      </c>
      <c r="S570" s="105"/>
      <c r="T570" s="101" t="s">
        <v>63</v>
      </c>
      <c r="U570" s="177">
        <f>Y569</f>
        <v>4000</v>
      </c>
      <c r="V570" s="103">
        <f>3000+700+5000</f>
        <v>8700</v>
      </c>
      <c r="W570" s="177">
        <f t="shared" ref="W570:W579" si="101">IF(U570="","",U570+V570)</f>
        <v>12700</v>
      </c>
      <c r="X570" s="103">
        <v>8700</v>
      </c>
      <c r="Y570" s="177">
        <f t="shared" ref="Y570:Y579" si="102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>
        <v>28</v>
      </c>
      <c r="Q571" s="101">
        <v>2</v>
      </c>
      <c r="R571" s="101">
        <f t="shared" si="100"/>
        <v>10</v>
      </c>
      <c r="S571" s="105"/>
      <c r="T571" s="101" t="s">
        <v>64</v>
      </c>
      <c r="U571" s="177">
        <f>Y570</f>
        <v>4000</v>
      </c>
      <c r="V571" s="103"/>
      <c r="W571" s="177">
        <f t="shared" si="101"/>
        <v>4000</v>
      </c>
      <c r="X571" s="103">
        <v>4000</v>
      </c>
      <c r="Y571" s="177">
        <f t="shared" si="102"/>
        <v>0</v>
      </c>
      <c r="Z571" s="106"/>
      <c r="AA571" s="57"/>
    </row>
    <row r="572" spans="1:27" s="55" customFormat="1" ht="21" customHeight="1" x14ac:dyDescent="0.25">
      <c r="A572" s="56"/>
      <c r="B572" s="296" t="s">
        <v>59</v>
      </c>
      <c r="C572" s="297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74"/>
      <c r="I572" s="76">
        <f>IF(C576&gt;0,$K$2,C574)</f>
        <v>31</v>
      </c>
      <c r="J572" s="77" t="s">
        <v>78</v>
      </c>
      <c r="K572" s="78">
        <f>K568/$K$2*I572</f>
        <v>18000</v>
      </c>
      <c r="L572" s="79"/>
      <c r="M572" s="57"/>
      <c r="N572" s="100"/>
      <c r="O572" s="101" t="s">
        <v>65</v>
      </c>
      <c r="P572" s="101">
        <v>29</v>
      </c>
      <c r="Q572" s="101">
        <v>2</v>
      </c>
      <c r="R572" s="101">
        <f t="shared" si="100"/>
        <v>8</v>
      </c>
      <c r="S572" s="105"/>
      <c r="T572" s="101" t="s">
        <v>65</v>
      </c>
      <c r="U572" s="177">
        <f>Y571</f>
        <v>0</v>
      </c>
      <c r="V572" s="103">
        <v>25000</v>
      </c>
      <c r="W572" s="177">
        <f t="shared" si="101"/>
        <v>25000</v>
      </c>
      <c r="X572" s="103"/>
      <c r="Y572" s="177">
        <f t="shared" si="102"/>
        <v>25000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6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25000</v>
      </c>
      <c r="H573" s="74"/>
      <c r="I573" s="120">
        <v>37</v>
      </c>
      <c r="J573" s="77" t="s">
        <v>79</v>
      </c>
      <c r="K573" s="80">
        <f>K568/$K$2/8*I573</f>
        <v>2685.483870967742</v>
      </c>
      <c r="L573" s="81"/>
      <c r="M573" s="57"/>
      <c r="N573" s="100"/>
      <c r="O573" s="101" t="s">
        <v>66</v>
      </c>
      <c r="P573" s="101"/>
      <c r="Q573" s="101"/>
      <c r="R573" s="101" t="str">
        <f t="shared" si="100"/>
        <v/>
      </c>
      <c r="S573" s="105"/>
      <c r="T573" s="101" t="s">
        <v>66</v>
      </c>
      <c r="U573" s="177"/>
      <c r="V573" s="103"/>
      <c r="W573" s="177" t="str">
        <f t="shared" si="101"/>
        <v/>
      </c>
      <c r="X573" s="103"/>
      <c r="Y573" s="177" t="str">
        <f t="shared" si="102"/>
        <v/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29</v>
      </c>
      <c r="D574" s="57"/>
      <c r="E574" s="57"/>
      <c r="F574" s="75" t="s">
        <v>82</v>
      </c>
      <c r="G574" s="196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25000</v>
      </c>
      <c r="H574" s="74"/>
      <c r="I574" s="298" t="s">
        <v>86</v>
      </c>
      <c r="J574" s="299"/>
      <c r="K574" s="80">
        <f>K572+K573</f>
        <v>20685.483870967742</v>
      </c>
      <c r="L574" s="81"/>
      <c r="M574" s="57"/>
      <c r="N574" s="100"/>
      <c r="O574" s="101" t="s">
        <v>67</v>
      </c>
      <c r="P574" s="101"/>
      <c r="Q574" s="101"/>
      <c r="R574" s="101" t="str">
        <f t="shared" si="100"/>
        <v/>
      </c>
      <c r="S574" s="105"/>
      <c r="T574" s="101" t="s">
        <v>67</v>
      </c>
      <c r="U574" s="177"/>
      <c r="V574" s="103"/>
      <c r="W574" s="177" t="str">
        <f t="shared" si="101"/>
        <v/>
      </c>
      <c r="X574" s="103"/>
      <c r="Y574" s="177" t="str">
        <f t="shared" si="102"/>
        <v/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31</v>
      </c>
      <c r="G575" s="196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4"/>
      <c r="I575" s="298" t="s">
        <v>87</v>
      </c>
      <c r="J575" s="299"/>
      <c r="K575" s="70">
        <f>G575</f>
        <v>0</v>
      </c>
      <c r="L575" s="82"/>
      <c r="M575" s="57"/>
      <c r="N575" s="100"/>
      <c r="O575" s="101" t="s">
        <v>68</v>
      </c>
      <c r="P575" s="101"/>
      <c r="Q575" s="101"/>
      <c r="R575" s="101">
        <v>0</v>
      </c>
      <c r="S575" s="105"/>
      <c r="T575" s="101" t="s">
        <v>68</v>
      </c>
      <c r="U575" s="177"/>
      <c r="V575" s="103"/>
      <c r="W575" s="177" t="str">
        <f t="shared" si="101"/>
        <v/>
      </c>
      <c r="X575" s="103"/>
      <c r="Y575" s="177" t="str">
        <f t="shared" si="102"/>
        <v/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8</v>
      </c>
      <c r="D576" s="57"/>
      <c r="E576" s="57"/>
      <c r="F576" s="75" t="s">
        <v>84</v>
      </c>
      <c r="G576" s="196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25000</v>
      </c>
      <c r="H576" s="57"/>
      <c r="I576" s="284" t="s">
        <v>80</v>
      </c>
      <c r="J576" s="285"/>
      <c r="K576" s="84">
        <f>K574-K575</f>
        <v>20685.483870967742</v>
      </c>
      <c r="L576" s="85"/>
      <c r="M576" s="57"/>
      <c r="N576" s="100"/>
      <c r="O576" s="101" t="s">
        <v>73</v>
      </c>
      <c r="P576" s="101"/>
      <c r="Q576" s="101"/>
      <c r="R576" s="101">
        <v>0</v>
      </c>
      <c r="S576" s="105"/>
      <c r="T576" s="101" t="s">
        <v>73</v>
      </c>
      <c r="U576" s="177"/>
      <c r="V576" s="103"/>
      <c r="W576" s="177" t="str">
        <f t="shared" si="101"/>
        <v/>
      </c>
      <c r="X576" s="103"/>
      <c r="Y576" s="177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/>
      <c r="Q577" s="101"/>
      <c r="R577" s="101">
        <v>0</v>
      </c>
      <c r="S577" s="105"/>
      <c r="T577" s="101" t="s">
        <v>69</v>
      </c>
      <c r="U577" s="177"/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86" t="s">
        <v>118</v>
      </c>
      <c r="C578" s="286"/>
      <c r="D578" s="286"/>
      <c r="E578" s="286"/>
      <c r="F578" s="286"/>
      <c r="G578" s="286"/>
      <c r="H578" s="286"/>
      <c r="I578" s="286"/>
      <c r="J578" s="286"/>
      <c r="K578" s="286"/>
      <c r="L578" s="73"/>
      <c r="M578" s="57"/>
      <c r="N578" s="100"/>
      <c r="O578" s="101" t="s">
        <v>74</v>
      </c>
      <c r="P578" s="101"/>
      <c r="Q578" s="101"/>
      <c r="R578" s="101">
        <v>0</v>
      </c>
      <c r="S578" s="105"/>
      <c r="T578" s="101" t="s">
        <v>74</v>
      </c>
      <c r="U578" s="177"/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86"/>
      <c r="C579" s="286"/>
      <c r="D579" s="286"/>
      <c r="E579" s="286"/>
      <c r="F579" s="286"/>
      <c r="G579" s="286"/>
      <c r="H579" s="286"/>
      <c r="I579" s="286"/>
      <c r="J579" s="286"/>
      <c r="K579" s="286"/>
      <c r="L579" s="73"/>
      <c r="M579" s="57"/>
      <c r="N579" s="100"/>
      <c r="O579" s="101" t="s">
        <v>75</v>
      </c>
      <c r="P579" s="101"/>
      <c r="Q579" s="101"/>
      <c r="R579" s="101">
        <v>0</v>
      </c>
      <c r="S579" s="105"/>
      <c r="T579" s="101" t="s">
        <v>75</v>
      </c>
      <c r="U579" s="177"/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300" t="s">
        <v>57</v>
      </c>
      <c r="B582" s="301"/>
      <c r="C582" s="301"/>
      <c r="D582" s="301"/>
      <c r="E582" s="301"/>
      <c r="F582" s="301"/>
      <c r="G582" s="301"/>
      <c r="H582" s="301"/>
      <c r="I582" s="301"/>
      <c r="J582" s="301"/>
      <c r="K582" s="301"/>
      <c r="L582" s="302"/>
      <c r="M582" s="54"/>
      <c r="N582" s="93"/>
      <c r="O582" s="290" t="s">
        <v>59</v>
      </c>
      <c r="P582" s="291"/>
      <c r="Q582" s="291"/>
      <c r="R582" s="292"/>
      <c r="S582" s="94"/>
      <c r="T582" s="290" t="s">
        <v>60</v>
      </c>
      <c r="U582" s="291"/>
      <c r="V582" s="291"/>
      <c r="W582" s="291"/>
      <c r="X582" s="291"/>
      <c r="Y582" s="292"/>
      <c r="Z582" s="95"/>
      <c r="AA582" s="54"/>
    </row>
    <row r="583" spans="1:27" s="55" customFormat="1" ht="21" customHeight="1" x14ac:dyDescent="0.25">
      <c r="A583" s="56"/>
      <c r="B583" s="57"/>
      <c r="C583" s="293" t="s">
        <v>116</v>
      </c>
      <c r="D583" s="293"/>
      <c r="E583" s="293"/>
      <c r="F583" s="293"/>
      <c r="G583" s="58" t="str">
        <f>$J$1</f>
        <v>May</v>
      </c>
      <c r="H583" s="294">
        <f>$K$1</f>
        <v>2019</v>
      </c>
      <c r="I583" s="294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62</v>
      </c>
      <c r="P584" s="101">
        <v>29</v>
      </c>
      <c r="Q584" s="101">
        <v>2</v>
      </c>
      <c r="R584" s="101">
        <f>15-Q584</f>
        <v>13</v>
      </c>
      <c r="S584" s="102"/>
      <c r="T584" s="101" t="s">
        <v>62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88</v>
      </c>
      <c r="U585" s="177"/>
      <c r="V585" s="103"/>
      <c r="W585" s="177" t="str">
        <f>IF(U585="","",U585+V585)</f>
        <v/>
      </c>
      <c r="X585" s="103"/>
      <c r="Y585" s="177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95" t="s">
        <v>60</v>
      </c>
      <c r="G586" s="295"/>
      <c r="H586" s="57"/>
      <c r="I586" s="295" t="s">
        <v>61</v>
      </c>
      <c r="J586" s="295"/>
      <c r="K586" s="295"/>
      <c r="L586" s="73"/>
      <c r="M586" s="57"/>
      <c r="N586" s="100"/>
      <c r="O586" s="101" t="s">
        <v>63</v>
      </c>
      <c r="P586" s="101">
        <v>29</v>
      </c>
      <c r="Q586" s="101">
        <v>2</v>
      </c>
      <c r="R586" s="101">
        <f t="shared" ref="R586:R595" si="103">IF(Q586="","",R585-Q586)</f>
        <v>9</v>
      </c>
      <c r="S586" s="105"/>
      <c r="T586" s="101" t="s">
        <v>63</v>
      </c>
      <c r="U586" s="177"/>
      <c r="V586" s="103"/>
      <c r="W586" s="177" t="str">
        <f t="shared" ref="W586:W595" si="104">IF(U586="","",U586+V586)</f>
        <v/>
      </c>
      <c r="X586" s="103"/>
      <c r="Y586" s="177" t="str">
        <f t="shared" ref="Y586:Y595" si="105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>
        <v>28</v>
      </c>
      <c r="Q587" s="101">
        <v>2</v>
      </c>
      <c r="R587" s="101">
        <f t="shared" si="103"/>
        <v>7</v>
      </c>
      <c r="S587" s="105"/>
      <c r="T587" s="101" t="s">
        <v>64</v>
      </c>
      <c r="U587" s="177"/>
      <c r="V587" s="103"/>
      <c r="W587" s="177" t="str">
        <f t="shared" si="104"/>
        <v/>
      </c>
      <c r="X587" s="103"/>
      <c r="Y587" s="177" t="str">
        <f t="shared" si="105"/>
        <v/>
      </c>
      <c r="Z587" s="106"/>
      <c r="AA587" s="57"/>
    </row>
    <row r="588" spans="1:27" s="55" customFormat="1" ht="21" customHeight="1" x14ac:dyDescent="0.25">
      <c r="A588" s="56"/>
      <c r="B588" s="296" t="s">
        <v>59</v>
      </c>
      <c r="C588" s="297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76">
        <f>IF(C592&gt;0,$K$2,C590)</f>
        <v>31</v>
      </c>
      <c r="J588" s="77" t="s">
        <v>78</v>
      </c>
      <c r="K588" s="78">
        <f>K584/$K$2*I588</f>
        <v>34000</v>
      </c>
      <c r="L588" s="79"/>
      <c r="M588" s="57"/>
      <c r="N588" s="100"/>
      <c r="O588" s="101" t="s">
        <v>65</v>
      </c>
      <c r="P588" s="101">
        <v>30</v>
      </c>
      <c r="Q588" s="101">
        <v>1</v>
      </c>
      <c r="R588" s="101">
        <f t="shared" si="103"/>
        <v>6</v>
      </c>
      <c r="S588" s="105"/>
      <c r="T588" s="101" t="s">
        <v>65</v>
      </c>
      <c r="U588" s="177"/>
      <c r="V588" s="103">
        <v>10000</v>
      </c>
      <c r="W588" s="103">
        <f>V588+U588</f>
        <v>10000</v>
      </c>
      <c r="X588" s="103"/>
      <c r="Y588" s="177">
        <f t="shared" si="105"/>
        <v>10000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10000</v>
      </c>
      <c r="H589" s="74"/>
      <c r="I589" s="120">
        <v>62.73</v>
      </c>
      <c r="J589" s="77" t="s">
        <v>79</v>
      </c>
      <c r="K589" s="80">
        <f>K584/$K$2/8*I589</f>
        <v>8600.0806451612898</v>
      </c>
      <c r="L589" s="81"/>
      <c r="M589" s="57"/>
      <c r="N589" s="100"/>
      <c r="O589" s="101" t="s">
        <v>66</v>
      </c>
      <c r="P589" s="101"/>
      <c r="Q589" s="101"/>
      <c r="R589" s="101" t="str">
        <f t="shared" si="103"/>
        <v/>
      </c>
      <c r="S589" s="105"/>
      <c r="T589" s="101" t="s">
        <v>66</v>
      </c>
      <c r="U589" s="177"/>
      <c r="V589" s="103"/>
      <c r="W589" s="177" t="str">
        <f t="shared" si="104"/>
        <v/>
      </c>
      <c r="X589" s="103"/>
      <c r="Y589" s="177" t="str">
        <f t="shared" si="105"/>
        <v/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7"/>
      <c r="E590" s="57"/>
      <c r="F590" s="75" t="s">
        <v>82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10000</v>
      </c>
      <c r="H590" s="74"/>
      <c r="I590" s="298" t="s">
        <v>86</v>
      </c>
      <c r="J590" s="299"/>
      <c r="K590" s="80">
        <f>K588+K589</f>
        <v>42600.080645161288</v>
      </c>
      <c r="L590" s="81"/>
      <c r="M590" s="57"/>
      <c r="N590" s="100"/>
      <c r="O590" s="101" t="s">
        <v>67</v>
      </c>
      <c r="P590" s="101"/>
      <c r="Q590" s="101"/>
      <c r="R590" s="101" t="str">
        <f t="shared" si="103"/>
        <v/>
      </c>
      <c r="S590" s="105"/>
      <c r="T590" s="101" t="s">
        <v>67</v>
      </c>
      <c r="U590" s="177"/>
      <c r="V590" s="103"/>
      <c r="W590" s="177" t="str">
        <f t="shared" si="104"/>
        <v/>
      </c>
      <c r="X590" s="103"/>
      <c r="Y590" s="177" t="str">
        <f t="shared" si="105"/>
        <v/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98" t="s">
        <v>87</v>
      </c>
      <c r="J591" s="299"/>
      <c r="K591" s="70">
        <f>G591</f>
        <v>0</v>
      </c>
      <c r="L591" s="82"/>
      <c r="M591" s="57"/>
      <c r="N591" s="100"/>
      <c r="O591" s="101" t="s">
        <v>68</v>
      </c>
      <c r="P591" s="101"/>
      <c r="Q591" s="101"/>
      <c r="R591" s="101" t="str">
        <f t="shared" si="103"/>
        <v/>
      </c>
      <c r="S591" s="105"/>
      <c r="T591" s="101" t="s">
        <v>68</v>
      </c>
      <c r="U591" s="177"/>
      <c r="V591" s="103"/>
      <c r="W591" s="177" t="str">
        <f t="shared" si="104"/>
        <v/>
      </c>
      <c r="X591" s="103"/>
      <c r="Y591" s="177" t="str">
        <f t="shared" si="105"/>
        <v/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6</v>
      </c>
      <c r="D592" s="57"/>
      <c r="E592" s="57"/>
      <c r="F592" s="75" t="s">
        <v>84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10000</v>
      </c>
      <c r="H592" s="57"/>
      <c r="I592" s="284" t="s">
        <v>80</v>
      </c>
      <c r="J592" s="285"/>
      <c r="K592" s="84">
        <f>K590-K591</f>
        <v>42600.080645161288</v>
      </c>
      <c r="L592" s="85"/>
      <c r="M592" s="57"/>
      <c r="N592" s="100"/>
      <c r="O592" s="101" t="s">
        <v>73</v>
      </c>
      <c r="P592" s="101"/>
      <c r="Q592" s="101"/>
      <c r="R592" s="101" t="str">
        <f t="shared" si="103"/>
        <v/>
      </c>
      <c r="S592" s="105"/>
      <c r="T592" s="101" t="s">
        <v>73</v>
      </c>
      <c r="U592" s="177"/>
      <c r="V592" s="103"/>
      <c r="W592" s="177" t="str">
        <f t="shared" si="104"/>
        <v/>
      </c>
      <c r="X592" s="103"/>
      <c r="Y592" s="177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/>
      <c r="Q593" s="101"/>
      <c r="R593" s="101" t="str">
        <f t="shared" si="103"/>
        <v/>
      </c>
      <c r="S593" s="105"/>
      <c r="T593" s="101" t="s">
        <v>69</v>
      </c>
      <c r="U593" s="177"/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86" t="s">
        <v>118</v>
      </c>
      <c r="C594" s="286"/>
      <c r="D594" s="286"/>
      <c r="E594" s="286"/>
      <c r="F594" s="286"/>
      <c r="G594" s="286"/>
      <c r="H594" s="286"/>
      <c r="I594" s="286"/>
      <c r="J594" s="286"/>
      <c r="K594" s="286"/>
      <c r="L594" s="73"/>
      <c r="M594" s="57"/>
      <c r="N594" s="100"/>
      <c r="O594" s="101" t="s">
        <v>74</v>
      </c>
      <c r="P594" s="101"/>
      <c r="Q594" s="101"/>
      <c r="R594" s="101" t="str">
        <f t="shared" si="103"/>
        <v/>
      </c>
      <c r="S594" s="105"/>
      <c r="T594" s="101" t="s">
        <v>74</v>
      </c>
      <c r="U594" s="177"/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86"/>
      <c r="C595" s="286"/>
      <c r="D595" s="286"/>
      <c r="E595" s="286"/>
      <c r="F595" s="286"/>
      <c r="G595" s="286"/>
      <c r="H595" s="286"/>
      <c r="I595" s="286"/>
      <c r="J595" s="286"/>
      <c r="K595" s="286"/>
      <c r="L595" s="73"/>
      <c r="M595" s="57"/>
      <c r="N595" s="100"/>
      <c r="O595" s="101" t="s">
        <v>75</v>
      </c>
      <c r="P595" s="101"/>
      <c r="Q595" s="101"/>
      <c r="R595" s="101" t="str">
        <f t="shared" si="103"/>
        <v/>
      </c>
      <c r="S595" s="105"/>
      <c r="T595" s="101" t="s">
        <v>75</v>
      </c>
      <c r="U595" s="177"/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300" t="s">
        <v>57</v>
      </c>
      <c r="B598" s="301"/>
      <c r="C598" s="301"/>
      <c r="D598" s="301"/>
      <c r="E598" s="301"/>
      <c r="F598" s="301"/>
      <c r="G598" s="301"/>
      <c r="H598" s="301"/>
      <c r="I598" s="301"/>
      <c r="J598" s="301"/>
      <c r="K598" s="301"/>
      <c r="L598" s="302"/>
      <c r="M598" s="54"/>
      <c r="N598" s="93"/>
      <c r="O598" s="290" t="s">
        <v>59</v>
      </c>
      <c r="P598" s="291"/>
      <c r="Q598" s="291"/>
      <c r="R598" s="292"/>
      <c r="S598" s="94"/>
      <c r="T598" s="290" t="s">
        <v>60</v>
      </c>
      <c r="U598" s="291"/>
      <c r="V598" s="291"/>
      <c r="W598" s="291"/>
      <c r="X598" s="291"/>
      <c r="Y598" s="292"/>
      <c r="Z598" s="95"/>
      <c r="AA598" s="54"/>
    </row>
    <row r="599" spans="1:27" s="55" customFormat="1" ht="21" customHeight="1" x14ac:dyDescent="0.25">
      <c r="A599" s="56"/>
      <c r="B599" s="57"/>
      <c r="C599" s="293" t="s">
        <v>116</v>
      </c>
      <c r="D599" s="293"/>
      <c r="E599" s="293"/>
      <c r="F599" s="293"/>
      <c r="G599" s="58" t="str">
        <f>$J$1</f>
        <v>May</v>
      </c>
      <c r="H599" s="294">
        <f>$K$1</f>
        <v>2019</v>
      </c>
      <c r="I599" s="294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17000</v>
      </c>
      <c r="L600" s="65"/>
      <c r="M600" s="57"/>
      <c r="N600" s="100"/>
      <c r="O600" s="101" t="s">
        <v>62</v>
      </c>
      <c r="P600" s="101"/>
      <c r="Q600" s="101"/>
      <c r="R600" s="101">
        <v>0</v>
      </c>
      <c r="S600" s="102"/>
      <c r="T600" s="101" t="s">
        <v>62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191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/>
      <c r="Q601" s="101"/>
      <c r="R601" s="101" t="str">
        <f>IF(Q601="","",R600-Q601)</f>
        <v/>
      </c>
      <c r="S601" s="105"/>
      <c r="T601" s="101" t="s">
        <v>88</v>
      </c>
      <c r="U601" s="177">
        <f>Y600</f>
        <v>0</v>
      </c>
      <c r="V601" s="103"/>
      <c r="W601" s="103">
        <f>V601+U601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95" t="s">
        <v>60</v>
      </c>
      <c r="G602" s="295"/>
      <c r="H602" s="57"/>
      <c r="I602" s="295" t="s">
        <v>61</v>
      </c>
      <c r="J602" s="295"/>
      <c r="K602" s="295"/>
      <c r="L602" s="73"/>
      <c r="M602" s="57"/>
      <c r="N602" s="100"/>
      <c r="O602" s="101" t="s">
        <v>63</v>
      </c>
      <c r="P602" s="101"/>
      <c r="Q602" s="101"/>
      <c r="R602" s="101">
        <v>0</v>
      </c>
      <c r="S602" s="105"/>
      <c r="T602" s="101" t="s">
        <v>63</v>
      </c>
      <c r="U602" s="177">
        <f>Y601</f>
        <v>0</v>
      </c>
      <c r="V602" s="103"/>
      <c r="W602" s="103">
        <f>V602+U602</f>
        <v>0</v>
      </c>
      <c r="X602" s="103"/>
      <c r="Y602" s="177">
        <f t="shared" ref="Y602:Y611" si="106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/>
      <c r="Q603" s="101"/>
      <c r="R603" s="101">
        <v>0</v>
      </c>
      <c r="S603" s="105"/>
      <c r="T603" s="101" t="s">
        <v>64</v>
      </c>
      <c r="U603" s="177">
        <f>Y602</f>
        <v>0</v>
      </c>
      <c r="V603" s="103"/>
      <c r="W603" s="177">
        <f t="shared" ref="W603:W611" si="107">IF(U603="","",U603+V603)</f>
        <v>0</v>
      </c>
      <c r="X603" s="103"/>
      <c r="Y603" s="177">
        <f t="shared" si="106"/>
        <v>0</v>
      </c>
      <c r="Z603" s="106"/>
      <c r="AA603" s="57"/>
    </row>
    <row r="604" spans="1:27" s="55" customFormat="1" ht="21" customHeight="1" x14ac:dyDescent="0.25">
      <c r="A604" s="56"/>
      <c r="B604" s="296" t="s">
        <v>59</v>
      </c>
      <c r="C604" s="297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23</v>
      </c>
      <c r="J604" s="77" t="s">
        <v>78</v>
      </c>
      <c r="K604" s="78">
        <f>K600/$K$2*I604</f>
        <v>12612.903225806451</v>
      </c>
      <c r="L604" s="79"/>
      <c r="M604" s="57"/>
      <c r="N604" s="100"/>
      <c r="O604" s="101" t="s">
        <v>65</v>
      </c>
      <c r="P604" s="101">
        <v>23</v>
      </c>
      <c r="Q604" s="101">
        <v>8</v>
      </c>
      <c r="R604" s="101">
        <v>0</v>
      </c>
      <c r="S604" s="105"/>
      <c r="T604" s="101" t="s">
        <v>65</v>
      </c>
      <c r="U604" s="177">
        <f>Y603</f>
        <v>0</v>
      </c>
      <c r="V604" s="103">
        <f>3000+2000</f>
        <v>5000</v>
      </c>
      <c r="W604" s="177">
        <f t="shared" si="107"/>
        <v>5000</v>
      </c>
      <c r="X604" s="103">
        <v>5000</v>
      </c>
      <c r="Y604" s="177">
        <f t="shared" si="106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5000</v>
      </c>
      <c r="H605" s="74"/>
      <c r="I605" s="120"/>
      <c r="J605" s="77" t="s">
        <v>79</v>
      </c>
      <c r="K605" s="80">
        <f>K600/$K$2/8*I605</f>
        <v>0</v>
      </c>
      <c r="L605" s="81"/>
      <c r="M605" s="57"/>
      <c r="N605" s="100"/>
      <c r="O605" s="101" t="s">
        <v>66</v>
      </c>
      <c r="P605" s="101"/>
      <c r="Q605" s="101"/>
      <c r="R605" s="101" t="str">
        <f t="shared" ref="R605:R609" si="108">IF(Q605="","",R604-Q605)</f>
        <v/>
      </c>
      <c r="S605" s="105"/>
      <c r="T605" s="101" t="s">
        <v>66</v>
      </c>
      <c r="U605" s="177"/>
      <c r="V605" s="103"/>
      <c r="W605" s="177" t="str">
        <f t="shared" si="107"/>
        <v/>
      </c>
      <c r="X605" s="103"/>
      <c r="Y605" s="177" t="str">
        <f t="shared" si="106"/>
        <v/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23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5000</v>
      </c>
      <c r="H606" s="74"/>
      <c r="I606" s="298" t="s">
        <v>86</v>
      </c>
      <c r="J606" s="299"/>
      <c r="K606" s="80">
        <f>K604+K605</f>
        <v>12612.903225806451</v>
      </c>
      <c r="L606" s="81"/>
      <c r="M606" s="57"/>
      <c r="N606" s="100"/>
      <c r="O606" s="101" t="s">
        <v>67</v>
      </c>
      <c r="P606" s="101"/>
      <c r="Q606" s="101"/>
      <c r="R606" s="101" t="str">
        <f t="shared" si="108"/>
        <v/>
      </c>
      <c r="S606" s="105"/>
      <c r="T606" s="101" t="s">
        <v>67</v>
      </c>
      <c r="U606" s="177"/>
      <c r="V606" s="103"/>
      <c r="W606" s="177" t="str">
        <f t="shared" si="107"/>
        <v/>
      </c>
      <c r="X606" s="103"/>
      <c r="Y606" s="177" t="str">
        <f t="shared" si="106"/>
        <v/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8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5000</v>
      </c>
      <c r="H607" s="74"/>
      <c r="I607" s="298" t="s">
        <v>87</v>
      </c>
      <c r="J607" s="299"/>
      <c r="K607" s="70">
        <f>G607</f>
        <v>5000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/>
      <c r="V607" s="103"/>
      <c r="W607" s="177" t="str">
        <f t="shared" si="107"/>
        <v/>
      </c>
      <c r="X607" s="103"/>
      <c r="Y607" s="177" t="str">
        <f t="shared" si="106"/>
        <v/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84" t="s">
        <v>80</v>
      </c>
      <c r="J608" s="285"/>
      <c r="K608" s="84">
        <f>K606-K607</f>
        <v>7612.9032258064508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/>
      <c r="V608" s="103"/>
      <c r="W608" s="177" t="str">
        <f t="shared" si="107"/>
        <v/>
      </c>
      <c r="X608" s="103"/>
      <c r="Y608" s="177" t="str">
        <f t="shared" si="106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/>
      <c r="Q609" s="101"/>
      <c r="R609" s="101" t="str">
        <f t="shared" si="108"/>
        <v/>
      </c>
      <c r="S609" s="105"/>
      <c r="T609" s="101" t="s">
        <v>69</v>
      </c>
      <c r="U609" s="177"/>
      <c r="V609" s="103"/>
      <c r="W609" s="177" t="str">
        <f t="shared" si="107"/>
        <v/>
      </c>
      <c r="X609" s="103"/>
      <c r="Y609" s="177" t="str">
        <f t="shared" si="106"/>
        <v/>
      </c>
      <c r="Z609" s="106"/>
      <c r="AA609" s="57"/>
    </row>
    <row r="610" spans="1:27" s="55" customFormat="1" ht="21" customHeight="1" x14ac:dyDescent="0.25">
      <c r="A610" s="56"/>
      <c r="B610" s="286" t="s">
        <v>118</v>
      </c>
      <c r="C610" s="286"/>
      <c r="D610" s="286"/>
      <c r="E610" s="286"/>
      <c r="F610" s="286"/>
      <c r="G610" s="286"/>
      <c r="H610" s="286"/>
      <c r="I610" s="286"/>
      <c r="J610" s="286"/>
      <c r="K610" s="286"/>
      <c r="L610" s="73"/>
      <c r="M610" s="57"/>
      <c r="N610" s="100"/>
      <c r="O610" s="101" t="s">
        <v>74</v>
      </c>
      <c r="P610" s="101"/>
      <c r="Q610" s="101"/>
      <c r="R610" s="101">
        <v>0</v>
      </c>
      <c r="S610" s="105"/>
      <c r="T610" s="101" t="s">
        <v>74</v>
      </c>
      <c r="U610" s="177"/>
      <c r="V610" s="103"/>
      <c r="W610" s="177" t="str">
        <f t="shared" si="107"/>
        <v/>
      </c>
      <c r="X610" s="103"/>
      <c r="Y610" s="177" t="str">
        <f t="shared" si="106"/>
        <v/>
      </c>
      <c r="Z610" s="106"/>
      <c r="AA610" s="57"/>
    </row>
    <row r="611" spans="1:27" s="55" customFormat="1" ht="21" customHeight="1" x14ac:dyDescent="0.25">
      <c r="A611" s="56"/>
      <c r="B611" s="286"/>
      <c r="C611" s="286"/>
      <c r="D611" s="286"/>
      <c r="E611" s="286"/>
      <c r="F611" s="286"/>
      <c r="G611" s="286"/>
      <c r="H611" s="286"/>
      <c r="I611" s="286"/>
      <c r="J611" s="286"/>
      <c r="K611" s="286"/>
      <c r="L611" s="73"/>
      <c r="M611" s="57"/>
      <c r="N611" s="100"/>
      <c r="O611" s="101" t="s">
        <v>75</v>
      </c>
      <c r="P611" s="101"/>
      <c r="Q611" s="101"/>
      <c r="R611" s="101">
        <v>0</v>
      </c>
      <c r="S611" s="105"/>
      <c r="T611" s="101" t="s">
        <v>75</v>
      </c>
      <c r="U611" s="177"/>
      <c r="V611" s="103"/>
      <c r="W611" s="177" t="str">
        <f t="shared" si="107"/>
        <v/>
      </c>
      <c r="X611" s="103"/>
      <c r="Y611" s="177" t="str">
        <f t="shared" si="106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00" t="s">
        <v>57</v>
      </c>
      <c r="B614" s="301"/>
      <c r="C614" s="301"/>
      <c r="D614" s="301"/>
      <c r="E614" s="301"/>
      <c r="F614" s="301"/>
      <c r="G614" s="301"/>
      <c r="H614" s="301"/>
      <c r="I614" s="301"/>
      <c r="J614" s="301"/>
      <c r="K614" s="301"/>
      <c r="L614" s="302"/>
      <c r="M614" s="54"/>
      <c r="N614" s="93"/>
      <c r="O614" s="290" t="s">
        <v>59</v>
      </c>
      <c r="P614" s="291"/>
      <c r="Q614" s="291"/>
      <c r="R614" s="292"/>
      <c r="S614" s="94"/>
      <c r="T614" s="290" t="s">
        <v>60</v>
      </c>
      <c r="U614" s="291"/>
      <c r="V614" s="291"/>
      <c r="W614" s="291"/>
      <c r="X614" s="291"/>
      <c r="Y614" s="292"/>
      <c r="Z614" s="95"/>
      <c r="AA614" s="54"/>
    </row>
    <row r="615" spans="1:27" s="55" customFormat="1" ht="21" customHeight="1" x14ac:dyDescent="0.25">
      <c r="A615" s="56"/>
      <c r="B615" s="57"/>
      <c r="C615" s="293" t="s">
        <v>116</v>
      </c>
      <c r="D615" s="293"/>
      <c r="E615" s="293"/>
      <c r="F615" s="293"/>
      <c r="G615" s="58" t="str">
        <f>$J$1</f>
        <v>May</v>
      </c>
      <c r="H615" s="294">
        <f>$K$1</f>
        <v>2019</v>
      </c>
      <c r="I615" s="294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16000</v>
      </c>
      <c r="L616" s="65"/>
      <c r="M616" s="57"/>
      <c r="N616" s="100"/>
      <c r="O616" s="101" t="s">
        <v>62</v>
      </c>
      <c r="P616" s="101"/>
      <c r="Q616" s="101"/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187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/>
      <c r="Q617" s="101"/>
      <c r="R617" s="101" t="str">
        <f>IF(Q617="","",R616-Q617)</f>
        <v/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95" t="s">
        <v>60</v>
      </c>
      <c r="G618" s="295"/>
      <c r="H618" s="57"/>
      <c r="I618" s="295" t="s">
        <v>61</v>
      </c>
      <c r="J618" s="295"/>
      <c r="K618" s="295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63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>
        <v>22</v>
      </c>
      <c r="Q619" s="101">
        <v>8</v>
      </c>
      <c r="R619" s="101">
        <v>0</v>
      </c>
      <c r="S619" s="105"/>
      <c r="T619" s="101" t="s">
        <v>64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96" t="s">
        <v>59</v>
      </c>
      <c r="C620" s="297"/>
      <c r="D620" s="57"/>
      <c r="E620" s="57"/>
      <c r="F620" s="75" t="s">
        <v>81</v>
      </c>
      <c r="G620" s="70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4"/>
      <c r="I620" s="76">
        <f>IF(C624&gt;0,$K$2,C622)</f>
        <v>31</v>
      </c>
      <c r="J620" s="77" t="s">
        <v>78</v>
      </c>
      <c r="K620" s="78">
        <f>K616/$K$2*I620</f>
        <v>16000</v>
      </c>
      <c r="L620" s="79"/>
      <c r="M620" s="57"/>
      <c r="N620" s="100"/>
      <c r="O620" s="101" t="s">
        <v>65</v>
      </c>
      <c r="P620" s="101">
        <v>31</v>
      </c>
      <c r="Q620" s="101">
        <v>0</v>
      </c>
      <c r="R620" s="101">
        <f t="shared" si="109"/>
        <v>0</v>
      </c>
      <c r="S620" s="105"/>
      <c r="T620" s="101" t="s">
        <v>65</v>
      </c>
      <c r="U620" s="177" t="str">
        <f>Y619</f>
        <v/>
      </c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6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50</v>
      </c>
      <c r="J621" s="77" t="s">
        <v>79</v>
      </c>
      <c r="K621" s="80">
        <f>K616/$K$2/8*I621</f>
        <v>3225.8064516129034</v>
      </c>
      <c r="L621" s="81"/>
      <c r="M621" s="57"/>
      <c r="N621" s="100"/>
      <c r="O621" s="101" t="s">
        <v>66</v>
      </c>
      <c r="P621" s="101"/>
      <c r="Q621" s="101"/>
      <c r="R621" s="101" t="str">
        <f t="shared" si="109"/>
        <v/>
      </c>
      <c r="S621" s="105"/>
      <c r="T621" s="101" t="s">
        <v>66</v>
      </c>
      <c r="U621" s="177"/>
      <c r="V621" s="103">
        <v>275</v>
      </c>
      <c r="W621" s="177" t="str">
        <f t="shared" si="110"/>
        <v/>
      </c>
      <c r="X621" s="103"/>
      <c r="Y621" s="177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31</v>
      </c>
      <c r="D622" s="57"/>
      <c r="E622" s="57"/>
      <c r="F622" s="75" t="s">
        <v>82</v>
      </c>
      <c r="G622" s="196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98" t="s">
        <v>86</v>
      </c>
      <c r="J622" s="299"/>
      <c r="K622" s="80">
        <f>K620+K621</f>
        <v>19225.806451612902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6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98" t="s">
        <v>87</v>
      </c>
      <c r="J623" s="299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10"/>
        <v>0</v>
      </c>
      <c r="X623" s="103"/>
      <c r="Y623" s="177">
        <f t="shared" si="111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84</v>
      </c>
      <c r="G624" s="196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84" t="s">
        <v>80</v>
      </c>
      <c r="J624" s="285"/>
      <c r="K624" s="84">
        <f>K622-K623</f>
        <v>19225.806451612902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10"/>
        <v/>
      </c>
      <c r="X624" s="103"/>
      <c r="Y624" s="177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/>
      <c r="Q625" s="101"/>
      <c r="R625" s="101" t="str">
        <f t="shared" si="109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86" t="s">
        <v>118</v>
      </c>
      <c r="C626" s="286"/>
      <c r="D626" s="286"/>
      <c r="E626" s="286"/>
      <c r="F626" s="286"/>
      <c r="G626" s="286"/>
      <c r="H626" s="286"/>
      <c r="I626" s="286"/>
      <c r="J626" s="286"/>
      <c r="K626" s="286"/>
      <c r="L626" s="73"/>
      <c r="M626" s="57"/>
      <c r="N626" s="100"/>
      <c r="O626" s="101" t="s">
        <v>74</v>
      </c>
      <c r="P626" s="101"/>
      <c r="Q626" s="101"/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86"/>
      <c r="C627" s="286"/>
      <c r="D627" s="286"/>
      <c r="E627" s="286"/>
      <c r="F627" s="286"/>
      <c r="G627" s="286"/>
      <c r="H627" s="286"/>
      <c r="I627" s="286"/>
      <c r="J627" s="286"/>
      <c r="K627" s="286"/>
      <c r="L627" s="73"/>
      <c r="M627" s="57"/>
      <c r="N627" s="100"/>
      <c r="O627" s="101" t="s">
        <v>75</v>
      </c>
      <c r="P627" s="101"/>
      <c r="Q627" s="101"/>
      <c r="R627" s="101" t="str">
        <f t="shared" si="109"/>
        <v/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300" t="s">
        <v>57</v>
      </c>
      <c r="B630" s="301"/>
      <c r="C630" s="301"/>
      <c r="D630" s="301"/>
      <c r="E630" s="301"/>
      <c r="F630" s="301"/>
      <c r="G630" s="301"/>
      <c r="H630" s="301"/>
      <c r="I630" s="301"/>
      <c r="J630" s="301"/>
      <c r="K630" s="301"/>
      <c r="L630" s="302"/>
      <c r="M630" s="54"/>
      <c r="N630" s="93"/>
      <c r="O630" s="290" t="s">
        <v>59</v>
      </c>
      <c r="P630" s="291"/>
      <c r="Q630" s="291"/>
      <c r="R630" s="292"/>
      <c r="S630" s="94"/>
      <c r="T630" s="290" t="s">
        <v>60</v>
      </c>
      <c r="U630" s="291"/>
      <c r="V630" s="291"/>
      <c r="W630" s="291"/>
      <c r="X630" s="291"/>
      <c r="Y630" s="292"/>
      <c r="Z630" s="95"/>
      <c r="AA630" s="54"/>
    </row>
    <row r="631" spans="1:27" s="55" customFormat="1" ht="21" customHeight="1" x14ac:dyDescent="0.25">
      <c r="A631" s="56"/>
      <c r="B631" s="57"/>
      <c r="C631" s="293" t="s">
        <v>116</v>
      </c>
      <c r="D631" s="293"/>
      <c r="E631" s="293"/>
      <c r="F631" s="293"/>
      <c r="G631" s="58" t="str">
        <f>$J$1</f>
        <v>May</v>
      </c>
      <c r="H631" s="294">
        <f>$K$1</f>
        <v>2019</v>
      </c>
      <c r="I631" s="294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62</v>
      </c>
      <c r="P632" s="101">
        <v>31</v>
      </c>
      <c r="Q632" s="101">
        <v>0</v>
      </c>
      <c r="R632" s="101">
        <v>15</v>
      </c>
      <c r="S632" s="102"/>
      <c r="T632" s="101" t="s">
        <v>62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88</v>
      </c>
      <c r="U633" s="177">
        <f>Y632</f>
        <v>40000</v>
      </c>
      <c r="V633" s="103"/>
      <c r="W633" s="177">
        <f>IF(U633="","",U633+V633)</f>
        <v>40000</v>
      </c>
      <c r="X633" s="103"/>
      <c r="Y633" s="177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95" t="s">
        <v>60</v>
      </c>
      <c r="G634" s="295"/>
      <c r="H634" s="57"/>
      <c r="I634" s="295" t="s">
        <v>61</v>
      </c>
      <c r="J634" s="295"/>
      <c r="K634" s="295"/>
      <c r="L634" s="73"/>
      <c r="M634" s="57"/>
      <c r="N634" s="100"/>
      <c r="O634" s="101" t="s">
        <v>63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63</v>
      </c>
      <c r="U634" s="177">
        <f>Y633</f>
        <v>40000</v>
      </c>
      <c r="V634" s="103"/>
      <c r="W634" s="177">
        <f t="shared" ref="W634:W643" si="113">IF(U634="","",U634+V634)</f>
        <v>40000</v>
      </c>
      <c r="X634" s="103"/>
      <c r="Y634" s="177">
        <f t="shared" ref="Y634:Y643" si="114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>
        <v>30</v>
      </c>
      <c r="Q635" s="101">
        <v>0</v>
      </c>
      <c r="R635" s="101">
        <f t="shared" si="112"/>
        <v>13</v>
      </c>
      <c r="S635" s="105"/>
      <c r="T635" s="101" t="s">
        <v>64</v>
      </c>
      <c r="U635" s="177">
        <f>Y634</f>
        <v>40000</v>
      </c>
      <c r="V635" s="103">
        <f>2000+2000</f>
        <v>4000</v>
      </c>
      <c r="W635" s="177">
        <f t="shared" si="113"/>
        <v>44000</v>
      </c>
      <c r="X635" s="103">
        <v>4000</v>
      </c>
      <c r="Y635" s="177">
        <f t="shared" si="114"/>
        <v>40000</v>
      </c>
      <c r="Z635" s="106"/>
      <c r="AA635" s="57"/>
    </row>
    <row r="636" spans="1:27" s="55" customFormat="1" ht="21" customHeight="1" x14ac:dyDescent="0.25">
      <c r="A636" s="56"/>
      <c r="B636" s="296" t="s">
        <v>59</v>
      </c>
      <c r="C636" s="297"/>
      <c r="D636" s="57"/>
      <c r="E636" s="57"/>
      <c r="F636" s="75" t="s">
        <v>81</v>
      </c>
      <c r="G636" s="196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31</v>
      </c>
      <c r="J636" s="77" t="s">
        <v>78</v>
      </c>
      <c r="K636" s="78">
        <f>K632/$K$2*I636</f>
        <v>20000</v>
      </c>
      <c r="L636" s="79"/>
      <c r="M636" s="57"/>
      <c r="N636" s="100"/>
      <c r="O636" s="101" t="s">
        <v>65</v>
      </c>
      <c r="P636" s="101">
        <v>26</v>
      </c>
      <c r="Q636" s="101">
        <v>5</v>
      </c>
      <c r="R636" s="101">
        <f t="shared" si="112"/>
        <v>8</v>
      </c>
      <c r="S636" s="105"/>
      <c r="T636" s="101" t="s">
        <v>65</v>
      </c>
      <c r="U636" s="177">
        <f>Y635</f>
        <v>40000</v>
      </c>
      <c r="V636" s="103"/>
      <c r="W636" s="177">
        <f t="shared" si="113"/>
        <v>40000</v>
      </c>
      <c r="X636" s="103"/>
      <c r="Y636" s="177">
        <f t="shared" si="114"/>
        <v>40000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6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/>
      <c r="J637" s="77" t="s">
        <v>79</v>
      </c>
      <c r="K637" s="80">
        <f>K632/$K$2/8*I637</f>
        <v>0</v>
      </c>
      <c r="L637" s="81"/>
      <c r="M637" s="57"/>
      <c r="N637" s="100"/>
      <c r="O637" s="101" t="s">
        <v>66</v>
      </c>
      <c r="P637" s="101"/>
      <c r="Q637" s="101"/>
      <c r="R637" s="101" t="str">
        <f t="shared" si="112"/>
        <v/>
      </c>
      <c r="S637" s="105"/>
      <c r="T637" s="101" t="s">
        <v>66</v>
      </c>
      <c r="U637" s="177"/>
      <c r="V637" s="103"/>
      <c r="W637" s="177" t="str">
        <f t="shared" si="113"/>
        <v/>
      </c>
      <c r="X637" s="103"/>
      <c r="Y637" s="177" t="str">
        <f t="shared" si="114"/>
        <v/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26</v>
      </c>
      <c r="D638" s="57"/>
      <c r="E638" s="57"/>
      <c r="F638" s="75" t="s">
        <v>82</v>
      </c>
      <c r="G638" s="196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98" t="s">
        <v>86</v>
      </c>
      <c r="J638" s="299"/>
      <c r="K638" s="80">
        <f>K636+K637</f>
        <v>20000</v>
      </c>
      <c r="L638" s="81"/>
      <c r="M638" s="57"/>
      <c r="N638" s="100"/>
      <c r="O638" s="101" t="s">
        <v>67</v>
      </c>
      <c r="P638" s="101"/>
      <c r="Q638" s="101"/>
      <c r="R638" s="101" t="str">
        <f t="shared" si="112"/>
        <v/>
      </c>
      <c r="S638" s="105"/>
      <c r="T638" s="101" t="s">
        <v>67</v>
      </c>
      <c r="U638" s="177"/>
      <c r="V638" s="103"/>
      <c r="W638" s="177" t="str">
        <f t="shared" si="113"/>
        <v/>
      </c>
      <c r="X638" s="103"/>
      <c r="Y638" s="177" t="str">
        <f t="shared" si="114"/>
        <v/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5</v>
      </c>
      <c r="D639" s="57"/>
      <c r="E639" s="57"/>
      <c r="F639" s="75" t="s">
        <v>31</v>
      </c>
      <c r="G639" s="196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98" t="s">
        <v>87</v>
      </c>
      <c r="J639" s="299"/>
      <c r="K639" s="70">
        <f>G639</f>
        <v>0</v>
      </c>
      <c r="L639" s="82"/>
      <c r="M639" s="57"/>
      <c r="N639" s="100"/>
      <c r="O639" s="101" t="s">
        <v>68</v>
      </c>
      <c r="P639" s="101"/>
      <c r="Q639" s="101"/>
      <c r="R639" s="101" t="str">
        <f t="shared" si="112"/>
        <v/>
      </c>
      <c r="S639" s="105"/>
      <c r="T639" s="101" t="s">
        <v>68</v>
      </c>
      <c r="U639" s="177"/>
      <c r="V639" s="103"/>
      <c r="W639" s="177" t="str">
        <f t="shared" si="113"/>
        <v/>
      </c>
      <c r="X639" s="103"/>
      <c r="Y639" s="177" t="str">
        <f t="shared" si="114"/>
        <v/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8</v>
      </c>
      <c r="D640" s="57"/>
      <c r="E640" s="57"/>
      <c r="F640" s="75" t="s">
        <v>84</v>
      </c>
      <c r="G640" s="196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84" t="s">
        <v>80</v>
      </c>
      <c r="J640" s="285"/>
      <c r="K640" s="84">
        <f>K638-K639</f>
        <v>20000</v>
      </c>
      <c r="L640" s="85"/>
      <c r="M640" s="57"/>
      <c r="N640" s="100"/>
      <c r="O640" s="101" t="s">
        <v>73</v>
      </c>
      <c r="P640" s="101"/>
      <c r="Q640" s="101"/>
      <c r="R640" s="101" t="str">
        <f t="shared" si="112"/>
        <v/>
      </c>
      <c r="S640" s="105"/>
      <c r="T640" s="101" t="s">
        <v>73</v>
      </c>
      <c r="U640" s="177"/>
      <c r="V640" s="103"/>
      <c r="W640" s="177" t="str">
        <f t="shared" si="113"/>
        <v/>
      </c>
      <c r="X640" s="103"/>
      <c r="Y640" s="177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/>
      <c r="Q641" s="101"/>
      <c r="R641" s="101" t="str">
        <f t="shared" si="112"/>
        <v/>
      </c>
      <c r="S641" s="105"/>
      <c r="T641" s="101" t="s">
        <v>69</v>
      </c>
      <c r="U641" s="177"/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86" t="s">
        <v>118</v>
      </c>
      <c r="C642" s="286"/>
      <c r="D642" s="286"/>
      <c r="E642" s="286"/>
      <c r="F642" s="286"/>
      <c r="G642" s="286"/>
      <c r="H642" s="286"/>
      <c r="I642" s="286"/>
      <c r="J642" s="286"/>
      <c r="K642" s="286"/>
      <c r="L642" s="73"/>
      <c r="M642" s="57"/>
      <c r="N642" s="100"/>
      <c r="O642" s="101" t="s">
        <v>74</v>
      </c>
      <c r="P642" s="101"/>
      <c r="Q642" s="101"/>
      <c r="R642" s="101">
        <v>0</v>
      </c>
      <c r="S642" s="105"/>
      <c r="T642" s="101" t="s">
        <v>74</v>
      </c>
      <c r="U642" s="177"/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86"/>
      <c r="C643" s="286"/>
      <c r="D643" s="286"/>
      <c r="E643" s="286"/>
      <c r="F643" s="286"/>
      <c r="G643" s="286"/>
      <c r="H643" s="286"/>
      <c r="I643" s="286"/>
      <c r="J643" s="286"/>
      <c r="K643" s="286"/>
      <c r="L643" s="73"/>
      <c r="M643" s="57"/>
      <c r="N643" s="100"/>
      <c r="O643" s="101" t="s">
        <v>75</v>
      </c>
      <c r="P643" s="101"/>
      <c r="Q643" s="101"/>
      <c r="R643" s="101" t="str">
        <f t="shared" si="112"/>
        <v/>
      </c>
      <c r="S643" s="105"/>
      <c r="T643" s="101" t="s">
        <v>75</v>
      </c>
      <c r="U643" s="177"/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300" t="s">
        <v>57</v>
      </c>
      <c r="B646" s="301"/>
      <c r="C646" s="301"/>
      <c r="D646" s="301"/>
      <c r="E646" s="301"/>
      <c r="F646" s="301"/>
      <c r="G646" s="301"/>
      <c r="H646" s="301"/>
      <c r="I646" s="301"/>
      <c r="J646" s="301"/>
      <c r="K646" s="301"/>
      <c r="L646" s="302"/>
      <c r="M646" s="54"/>
      <c r="N646" s="93"/>
      <c r="O646" s="290" t="s">
        <v>59</v>
      </c>
      <c r="P646" s="291"/>
      <c r="Q646" s="291"/>
      <c r="R646" s="292"/>
      <c r="S646" s="94"/>
      <c r="T646" s="290" t="s">
        <v>60</v>
      </c>
      <c r="U646" s="291"/>
      <c r="V646" s="291"/>
      <c r="W646" s="291"/>
      <c r="X646" s="291"/>
      <c r="Y646" s="292"/>
      <c r="Z646" s="95"/>
      <c r="AA646" s="54"/>
    </row>
    <row r="647" spans="1:27" s="55" customFormat="1" ht="21" customHeight="1" x14ac:dyDescent="0.25">
      <c r="A647" s="56"/>
      <c r="B647" s="57"/>
      <c r="C647" s="293" t="s">
        <v>116</v>
      </c>
      <c r="D647" s="293"/>
      <c r="E647" s="293"/>
      <c r="F647" s="293"/>
      <c r="G647" s="58" t="str">
        <f>$J$1</f>
        <v>May</v>
      </c>
      <c r="H647" s="294">
        <f>$K$1</f>
        <v>2019</v>
      </c>
      <c r="I647" s="294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800</v>
      </c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184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>
        <v>5</v>
      </c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95" t="s">
        <v>60</v>
      </c>
      <c r="G650" s="295"/>
      <c r="H650" s="57"/>
      <c r="I650" s="295" t="s">
        <v>61</v>
      </c>
      <c r="J650" s="295"/>
      <c r="K650" s="295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>
        <v>29</v>
      </c>
      <c r="Q651" s="101">
        <v>0</v>
      </c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96" t="s">
        <v>59</v>
      </c>
      <c r="C652" s="297"/>
      <c r="D652" s="57"/>
      <c r="E652" s="57"/>
      <c r="F652" s="75" t="s">
        <v>81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f>IF(C656&gt;0,$K$2,C654)</f>
        <v>29</v>
      </c>
      <c r="J652" s="77" t="s">
        <v>78</v>
      </c>
      <c r="K652" s="78">
        <f>K648*I652</f>
        <v>23200</v>
      </c>
      <c r="L652" s="79"/>
      <c r="M652" s="57"/>
      <c r="N652" s="100"/>
      <c r="O652" s="101" t="s">
        <v>65</v>
      </c>
      <c r="P652" s="101">
        <v>29</v>
      </c>
      <c r="Q652" s="101">
        <v>0</v>
      </c>
      <c r="R652" s="101">
        <f t="shared" ref="R652:R659" si="117">IF(Q652="","",R651-Q652)</f>
        <v>0</v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4</v>
      </c>
      <c r="J653" s="77" t="s">
        <v>79</v>
      </c>
      <c r="K653" s="80">
        <f>K648/8*I653</f>
        <v>400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29</v>
      </c>
      <c r="D654" s="57"/>
      <c r="E654" s="57"/>
      <c r="F654" s="75" t="s">
        <v>82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98" t="s">
        <v>86</v>
      </c>
      <c r="J654" s="299"/>
      <c r="K654" s="80">
        <f>K652+K653</f>
        <v>23600</v>
      </c>
      <c r="L654" s="81"/>
      <c r="M654" s="57"/>
      <c r="N654" s="100"/>
      <c r="O654" s="101" t="s">
        <v>67</v>
      </c>
      <c r="P654" s="101"/>
      <c r="Q654" s="101"/>
      <c r="R654" s="101" t="str">
        <f t="shared" si="117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98" t="s">
        <v>87</v>
      </c>
      <c r="J655" s="299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15"/>
        <v/>
      </c>
      <c r="X655" s="103"/>
      <c r="Y655" s="177" t="str">
        <f t="shared" si="116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84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84" t="s">
        <v>80</v>
      </c>
      <c r="J656" s="285"/>
      <c r="K656" s="84">
        <f>K654-K655</f>
        <v>23600</v>
      </c>
      <c r="L656" s="85"/>
      <c r="M656" s="57"/>
      <c r="N656" s="100"/>
      <c r="O656" s="101" t="s">
        <v>73</v>
      </c>
      <c r="P656" s="101"/>
      <c r="Q656" s="101"/>
      <c r="R656" s="101" t="str">
        <f t="shared" si="117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15"/>
        <v/>
      </c>
      <c r="X656" s="103"/>
      <c r="Y656" s="177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17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86" t="s">
        <v>118</v>
      </c>
      <c r="C658" s="286"/>
      <c r="D658" s="286"/>
      <c r="E658" s="286"/>
      <c r="F658" s="286"/>
      <c r="G658" s="286"/>
      <c r="H658" s="286"/>
      <c r="I658" s="286"/>
      <c r="J658" s="286"/>
      <c r="K658" s="286"/>
      <c r="L658" s="73"/>
      <c r="M658" s="57"/>
      <c r="N658" s="100"/>
      <c r="O658" s="101" t="s">
        <v>74</v>
      </c>
      <c r="P658" s="101"/>
      <c r="Q658" s="101"/>
      <c r="R658" s="101" t="str">
        <f t="shared" si="117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86"/>
      <c r="C659" s="286"/>
      <c r="D659" s="286"/>
      <c r="E659" s="286"/>
      <c r="F659" s="286"/>
      <c r="G659" s="286"/>
      <c r="H659" s="286"/>
      <c r="I659" s="286"/>
      <c r="J659" s="286"/>
      <c r="K659" s="286"/>
      <c r="L659" s="73"/>
      <c r="M659" s="57"/>
      <c r="N659" s="100"/>
      <c r="O659" s="101" t="s">
        <v>75</v>
      </c>
      <c r="P659" s="101"/>
      <c r="Q659" s="101"/>
      <c r="R659" s="101" t="str">
        <f t="shared" si="117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300" t="s">
        <v>57</v>
      </c>
      <c r="B662" s="301"/>
      <c r="C662" s="301"/>
      <c r="D662" s="301"/>
      <c r="E662" s="301"/>
      <c r="F662" s="301"/>
      <c r="G662" s="301"/>
      <c r="H662" s="301"/>
      <c r="I662" s="301"/>
      <c r="J662" s="301"/>
      <c r="K662" s="301"/>
      <c r="L662" s="302"/>
      <c r="M662" s="54"/>
      <c r="N662" s="93"/>
      <c r="O662" s="290" t="s">
        <v>59</v>
      </c>
      <c r="P662" s="291"/>
      <c r="Q662" s="291"/>
      <c r="R662" s="292"/>
      <c r="S662" s="94"/>
      <c r="T662" s="290" t="s">
        <v>60</v>
      </c>
      <c r="U662" s="291"/>
      <c r="V662" s="291"/>
      <c r="W662" s="291"/>
      <c r="X662" s="291"/>
      <c r="Y662" s="292"/>
      <c r="Z662" s="95"/>
      <c r="AA662" s="54"/>
    </row>
    <row r="663" spans="1:27" s="55" customFormat="1" ht="21" customHeight="1" x14ac:dyDescent="0.25">
      <c r="A663" s="56"/>
      <c r="B663" s="57"/>
      <c r="C663" s="293" t="s">
        <v>116</v>
      </c>
      <c r="D663" s="293"/>
      <c r="E663" s="293"/>
      <c r="F663" s="293"/>
      <c r="G663" s="58" t="str">
        <f>$J$1</f>
        <v>May</v>
      </c>
      <c r="H663" s="294">
        <f>$K$1</f>
        <v>2019</v>
      </c>
      <c r="I663" s="294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134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88</v>
      </c>
      <c r="U665" s="177">
        <v>0</v>
      </c>
      <c r="V665" s="103">
        <v>20000</v>
      </c>
      <c r="W665" s="177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95" t="s">
        <v>60</v>
      </c>
      <c r="G666" s="295"/>
      <c r="H666" s="57"/>
      <c r="I666" s="295" t="s">
        <v>61</v>
      </c>
      <c r="J666" s="295"/>
      <c r="K666" s="295"/>
      <c r="L666" s="73"/>
      <c r="M666" s="57"/>
      <c r="N666" s="100"/>
      <c r="O666" s="101" t="s">
        <v>63</v>
      </c>
      <c r="P666" s="101">
        <v>31</v>
      </c>
      <c r="Q666" s="101">
        <v>0</v>
      </c>
      <c r="R666" s="101">
        <f t="shared" ref="R666:R674" si="118">IF(Q666="","",R665-Q666)</f>
        <v>0</v>
      </c>
      <c r="S666" s="105"/>
      <c r="T666" s="101" t="s">
        <v>63</v>
      </c>
      <c r="U666" s="177">
        <f>Y665</f>
        <v>18000</v>
      </c>
      <c r="V666" s="103"/>
      <c r="W666" s="177">
        <f t="shared" ref="W666:W675" si="119">IF(U666="","",U666+V666)</f>
        <v>18000</v>
      </c>
      <c r="X666" s="103">
        <v>2000</v>
      </c>
      <c r="Y666" s="177">
        <f t="shared" ref="Y666:Y675" si="120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>
        <v>30</v>
      </c>
      <c r="Q667" s="101">
        <v>0</v>
      </c>
      <c r="R667" s="101">
        <f t="shared" si="118"/>
        <v>0</v>
      </c>
      <c r="S667" s="105"/>
      <c r="T667" s="101" t="s">
        <v>64</v>
      </c>
      <c r="U667" s="177">
        <f>Y666</f>
        <v>16000</v>
      </c>
      <c r="V667" s="103"/>
      <c r="W667" s="177">
        <f t="shared" si="119"/>
        <v>16000</v>
      </c>
      <c r="X667" s="103">
        <v>2000</v>
      </c>
      <c r="Y667" s="177">
        <f t="shared" si="120"/>
        <v>14000</v>
      </c>
      <c r="Z667" s="106"/>
      <c r="AA667" s="57"/>
    </row>
    <row r="668" spans="1:27" s="55" customFormat="1" ht="21" customHeight="1" x14ac:dyDescent="0.25">
      <c r="A668" s="56"/>
      <c r="B668" s="296" t="s">
        <v>59</v>
      </c>
      <c r="C668" s="297"/>
      <c r="D668" s="57"/>
      <c r="E668" s="57"/>
      <c r="F668" s="75" t="s">
        <v>81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14000</v>
      </c>
      <c r="H668" s="74"/>
      <c r="I668" s="76">
        <f>IF(C672&gt;0,$K$2,C670)</f>
        <v>31</v>
      </c>
      <c r="J668" s="77" t="s">
        <v>78</v>
      </c>
      <c r="K668" s="78">
        <f>K664/$K$2*I668</f>
        <v>16000</v>
      </c>
      <c r="L668" s="79"/>
      <c r="M668" s="57"/>
      <c r="N668" s="100"/>
      <c r="O668" s="101" t="s">
        <v>65</v>
      </c>
      <c r="P668" s="101">
        <v>30</v>
      </c>
      <c r="Q668" s="101">
        <v>1</v>
      </c>
      <c r="R668" s="101">
        <f>15-1</f>
        <v>14</v>
      </c>
      <c r="S668" s="105"/>
      <c r="T668" s="101" t="s">
        <v>65</v>
      </c>
      <c r="U668" s="177">
        <f>Y667</f>
        <v>14000</v>
      </c>
      <c r="V668" s="103"/>
      <c r="W668" s="177">
        <f t="shared" si="119"/>
        <v>14000</v>
      </c>
      <c r="X668" s="103"/>
      <c r="Y668" s="177">
        <f t="shared" si="120"/>
        <v>14000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93.78</v>
      </c>
      <c r="J669" s="77" t="s">
        <v>79</v>
      </c>
      <c r="K669" s="80">
        <f>K664/$K$2/8*I669</f>
        <v>6050.322580645161</v>
      </c>
      <c r="L669" s="81"/>
      <c r="M669" s="57"/>
      <c r="N669" s="100"/>
      <c r="O669" s="101" t="s">
        <v>66</v>
      </c>
      <c r="P669" s="101"/>
      <c r="Q669" s="101"/>
      <c r="R669" s="101" t="str">
        <f t="shared" si="118"/>
        <v/>
      </c>
      <c r="S669" s="105"/>
      <c r="T669" s="101" t="s">
        <v>66</v>
      </c>
      <c r="U669" s="177"/>
      <c r="V669" s="103"/>
      <c r="W669" s="177" t="str">
        <f t="shared" si="119"/>
        <v/>
      </c>
      <c r="X669" s="103"/>
      <c r="Y669" s="177" t="str">
        <f t="shared" si="120"/>
        <v/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7"/>
      <c r="E670" s="57"/>
      <c r="F670" s="75" t="s">
        <v>82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14000</v>
      </c>
      <c r="H670" s="74"/>
      <c r="I670" s="298" t="s">
        <v>86</v>
      </c>
      <c r="J670" s="299"/>
      <c r="K670" s="80">
        <f>K668+K669</f>
        <v>22050.322580645159</v>
      </c>
      <c r="L670" s="81"/>
      <c r="M670" s="57"/>
      <c r="N670" s="100"/>
      <c r="O670" s="101" t="s">
        <v>67</v>
      </c>
      <c r="P670" s="101"/>
      <c r="Q670" s="101"/>
      <c r="R670" s="101" t="str">
        <f t="shared" si="118"/>
        <v/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19"/>
        <v/>
      </c>
      <c r="X670" s="103"/>
      <c r="Y670" s="177" t="str">
        <f t="shared" si="120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1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98" t="s">
        <v>87</v>
      </c>
      <c r="J671" s="299"/>
      <c r="K671" s="70">
        <f>G671</f>
        <v>0</v>
      </c>
      <c r="L671" s="82"/>
      <c r="M671" s="57"/>
      <c r="N671" s="100"/>
      <c r="O671" s="101" t="s">
        <v>68</v>
      </c>
      <c r="P671" s="101"/>
      <c r="Q671" s="101"/>
      <c r="R671" s="101" t="str">
        <f t="shared" si="118"/>
        <v/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19"/>
        <v/>
      </c>
      <c r="X671" s="103"/>
      <c r="Y671" s="177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7"/>
      <c r="E672" s="57"/>
      <c r="F672" s="75" t="s">
        <v>84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14000</v>
      </c>
      <c r="H672" s="57"/>
      <c r="I672" s="284" t="s">
        <v>80</v>
      </c>
      <c r="J672" s="285"/>
      <c r="K672" s="84">
        <f>K670-K671</f>
        <v>22050.322580645159</v>
      </c>
      <c r="L672" s="85"/>
      <c r="M672" s="57"/>
      <c r="N672" s="100"/>
      <c r="O672" s="101" t="s">
        <v>73</v>
      </c>
      <c r="P672" s="101"/>
      <c r="Q672" s="101"/>
      <c r="R672" s="101" t="str">
        <f t="shared" si="118"/>
        <v/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/>
      <c r="Q673" s="101"/>
      <c r="R673" s="101" t="str">
        <f t="shared" si="118"/>
        <v/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86" t="s">
        <v>118</v>
      </c>
      <c r="C674" s="286"/>
      <c r="D674" s="286"/>
      <c r="E674" s="286"/>
      <c r="F674" s="286"/>
      <c r="G674" s="286"/>
      <c r="H674" s="286"/>
      <c r="I674" s="286"/>
      <c r="J674" s="286"/>
      <c r="K674" s="286"/>
      <c r="L674" s="73"/>
      <c r="M674" s="57"/>
      <c r="N674" s="100"/>
      <c r="O674" s="101" t="s">
        <v>74</v>
      </c>
      <c r="P674" s="101"/>
      <c r="Q674" s="101"/>
      <c r="R674" s="101" t="str">
        <f t="shared" si="118"/>
        <v/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86"/>
      <c r="C675" s="286"/>
      <c r="D675" s="286"/>
      <c r="E675" s="286"/>
      <c r="F675" s="286"/>
      <c r="G675" s="286"/>
      <c r="H675" s="286"/>
      <c r="I675" s="286"/>
      <c r="J675" s="286"/>
      <c r="K675" s="286"/>
      <c r="L675" s="73"/>
      <c r="M675" s="57"/>
      <c r="N675" s="100"/>
      <c r="O675" s="101" t="s">
        <v>75</v>
      </c>
      <c r="P675" s="101"/>
      <c r="Q675" s="101"/>
      <c r="R675" s="101">
        <v>0</v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300" t="s">
        <v>57</v>
      </c>
      <c r="B678" s="301"/>
      <c r="C678" s="301"/>
      <c r="D678" s="301"/>
      <c r="E678" s="301"/>
      <c r="F678" s="301"/>
      <c r="G678" s="301"/>
      <c r="H678" s="301"/>
      <c r="I678" s="301"/>
      <c r="J678" s="301"/>
      <c r="K678" s="301"/>
      <c r="L678" s="302"/>
      <c r="M678" s="54"/>
      <c r="N678" s="93"/>
      <c r="O678" s="290" t="s">
        <v>59</v>
      </c>
      <c r="P678" s="291"/>
      <c r="Q678" s="291"/>
      <c r="R678" s="292"/>
      <c r="S678" s="94"/>
      <c r="T678" s="290" t="s">
        <v>60</v>
      </c>
      <c r="U678" s="291"/>
      <c r="V678" s="291"/>
      <c r="W678" s="291"/>
      <c r="X678" s="291"/>
      <c r="Y678" s="292"/>
      <c r="Z678" s="95"/>
      <c r="AA678" s="54"/>
    </row>
    <row r="679" spans="1:27" s="55" customFormat="1" ht="21" customHeight="1" x14ac:dyDescent="0.25">
      <c r="A679" s="56"/>
      <c r="B679" s="57"/>
      <c r="C679" s="293" t="s">
        <v>116</v>
      </c>
      <c r="D679" s="293"/>
      <c r="E679" s="293"/>
      <c r="F679" s="293"/>
      <c r="G679" s="58" t="str">
        <f>$J$1</f>
        <v>May</v>
      </c>
      <c r="H679" s="294">
        <f>$K$1</f>
        <v>2019</v>
      </c>
      <c r="I679" s="294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30</v>
      </c>
      <c r="Q680" s="101">
        <v>1</v>
      </c>
      <c r="R680" s="101">
        <f>15-Q680</f>
        <v>14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88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95" t="s">
        <v>60</v>
      </c>
      <c r="G682" s="295"/>
      <c r="H682" s="57"/>
      <c r="I682" s="295" t="s">
        <v>61</v>
      </c>
      <c r="J682" s="295"/>
      <c r="K682" s="295"/>
      <c r="L682" s="73"/>
      <c r="M682" s="57"/>
      <c r="N682" s="100"/>
      <c r="O682" s="101" t="s">
        <v>63</v>
      </c>
      <c r="P682" s="101">
        <v>29</v>
      </c>
      <c r="Q682" s="101">
        <v>2</v>
      </c>
      <c r="R682" s="101">
        <f t="shared" ref="R682:R691" si="121">IF(Q682="","",R681-Q682)</f>
        <v>11</v>
      </c>
      <c r="S682" s="105"/>
      <c r="T682" s="101" t="s">
        <v>63</v>
      </c>
      <c r="U682" s="177">
        <f>Y681</f>
        <v>6000</v>
      </c>
      <c r="V682" s="103"/>
      <c r="W682" s="177">
        <f t="shared" ref="W682:W691" si="122">IF(U682="","",U682+V682)</f>
        <v>6000</v>
      </c>
      <c r="X682" s="103">
        <v>500</v>
      </c>
      <c r="Y682" s="177">
        <f t="shared" ref="Y682:Y691" si="123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>
        <v>26</v>
      </c>
      <c r="Q683" s="101">
        <v>4</v>
      </c>
      <c r="R683" s="101">
        <f t="shared" si="121"/>
        <v>7</v>
      </c>
      <c r="S683" s="105"/>
      <c r="T683" s="101" t="s">
        <v>64</v>
      </c>
      <c r="U683" s="177">
        <f>Y682</f>
        <v>5500</v>
      </c>
      <c r="V683" s="103"/>
      <c r="W683" s="177">
        <f t="shared" si="122"/>
        <v>5500</v>
      </c>
      <c r="X683" s="103">
        <v>500</v>
      </c>
      <c r="Y683" s="177">
        <f t="shared" si="123"/>
        <v>5000</v>
      </c>
      <c r="Z683" s="106"/>
      <c r="AA683" s="57"/>
    </row>
    <row r="684" spans="1:27" s="55" customFormat="1" ht="21" customHeight="1" x14ac:dyDescent="0.25">
      <c r="A684" s="56"/>
      <c r="B684" s="296" t="s">
        <v>59</v>
      </c>
      <c r="C684" s="297"/>
      <c r="D684" s="57"/>
      <c r="E684" s="57"/>
      <c r="F684" s="75" t="s">
        <v>81</v>
      </c>
      <c r="G684" s="196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5000</v>
      </c>
      <c r="H684" s="74"/>
      <c r="I684" s="76">
        <f>IF(C688&gt;0,$K$2,C686+C688)</f>
        <v>31</v>
      </c>
      <c r="J684" s="77" t="s">
        <v>78</v>
      </c>
      <c r="K684" s="78">
        <f>K680/$K$2*I684</f>
        <v>15000</v>
      </c>
      <c r="L684" s="79"/>
      <c r="M684" s="57"/>
      <c r="N684" s="100"/>
      <c r="O684" s="101" t="s">
        <v>65</v>
      </c>
      <c r="P684" s="101">
        <v>27</v>
      </c>
      <c r="Q684" s="101">
        <v>4</v>
      </c>
      <c r="R684" s="101">
        <f t="shared" si="121"/>
        <v>3</v>
      </c>
      <c r="S684" s="105"/>
      <c r="T684" s="101" t="s">
        <v>65</v>
      </c>
      <c r="U684" s="177">
        <f>Y683</f>
        <v>5000</v>
      </c>
      <c r="V684" s="103">
        <v>10000</v>
      </c>
      <c r="W684" s="177">
        <f t="shared" si="122"/>
        <v>15000</v>
      </c>
      <c r="X684" s="103"/>
      <c r="Y684" s="177">
        <f t="shared" si="123"/>
        <v>15000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6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10000</v>
      </c>
      <c r="H685" s="74"/>
      <c r="I685" s="120"/>
      <c r="J685" s="77" t="s">
        <v>79</v>
      </c>
      <c r="K685" s="80">
        <f>K680/$K$2/8*I685</f>
        <v>0</v>
      </c>
      <c r="L685" s="81"/>
      <c r="M685" s="57"/>
      <c r="N685" s="100"/>
      <c r="O685" s="101" t="s">
        <v>66</v>
      </c>
      <c r="P685" s="101"/>
      <c r="Q685" s="101"/>
      <c r="R685" s="101" t="str">
        <f t="shared" si="121"/>
        <v/>
      </c>
      <c r="S685" s="105"/>
      <c r="T685" s="101" t="s">
        <v>66</v>
      </c>
      <c r="U685" s="177"/>
      <c r="V685" s="103"/>
      <c r="W685" s="177" t="str">
        <f t="shared" si="122"/>
        <v/>
      </c>
      <c r="X685" s="103"/>
      <c r="Y685" s="177" t="str">
        <f t="shared" si="123"/>
        <v/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27</v>
      </c>
      <c r="D686" s="57"/>
      <c r="E686" s="57"/>
      <c r="F686" s="75" t="s">
        <v>82</v>
      </c>
      <c r="G686" s="196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15000</v>
      </c>
      <c r="H686" s="74"/>
      <c r="I686" s="298" t="s">
        <v>86</v>
      </c>
      <c r="J686" s="299"/>
      <c r="K686" s="80">
        <f>K684+K685</f>
        <v>15000</v>
      </c>
      <c r="L686" s="81"/>
      <c r="M686" s="57"/>
      <c r="N686" s="100"/>
      <c r="O686" s="101" t="s">
        <v>67</v>
      </c>
      <c r="P686" s="101"/>
      <c r="Q686" s="101"/>
      <c r="R686" s="101" t="str">
        <f t="shared" si="121"/>
        <v/>
      </c>
      <c r="S686" s="105"/>
      <c r="T686" s="101" t="s">
        <v>67</v>
      </c>
      <c r="U686" s="177"/>
      <c r="V686" s="103"/>
      <c r="W686" s="177" t="str">
        <f t="shared" si="122"/>
        <v/>
      </c>
      <c r="X686" s="103"/>
      <c r="Y686" s="177" t="str">
        <f t="shared" si="123"/>
        <v/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4</v>
      </c>
      <c r="D687" s="57"/>
      <c r="E687" s="57"/>
      <c r="F687" s="75" t="s">
        <v>31</v>
      </c>
      <c r="G687" s="196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74"/>
      <c r="I687" s="298" t="s">
        <v>87</v>
      </c>
      <c r="J687" s="299"/>
      <c r="K687" s="70">
        <f>G687</f>
        <v>0</v>
      </c>
      <c r="L687" s="82"/>
      <c r="M687" s="57"/>
      <c r="N687" s="100"/>
      <c r="O687" s="101" t="s">
        <v>68</v>
      </c>
      <c r="P687" s="101"/>
      <c r="Q687" s="101"/>
      <c r="R687" s="101" t="str">
        <f t="shared" si="121"/>
        <v/>
      </c>
      <c r="S687" s="105"/>
      <c r="T687" s="101" t="s">
        <v>68</v>
      </c>
      <c r="U687" s="177"/>
      <c r="V687" s="103"/>
      <c r="W687" s="177" t="str">
        <f t="shared" si="122"/>
        <v/>
      </c>
      <c r="X687" s="103"/>
      <c r="Y687" s="177" t="str">
        <f t="shared" si="123"/>
        <v/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3</v>
      </c>
      <c r="D688" s="57"/>
      <c r="E688" s="57"/>
      <c r="F688" s="75" t="s">
        <v>84</v>
      </c>
      <c r="G688" s="196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15000</v>
      </c>
      <c r="H688" s="57"/>
      <c r="I688" s="284" t="s">
        <v>80</v>
      </c>
      <c r="J688" s="285"/>
      <c r="K688" s="84">
        <f>K686-K687</f>
        <v>15000</v>
      </c>
      <c r="L688" s="85"/>
      <c r="M688" s="57"/>
      <c r="N688" s="100"/>
      <c r="O688" s="101" t="s">
        <v>73</v>
      </c>
      <c r="P688" s="101"/>
      <c r="Q688" s="101"/>
      <c r="R688" s="101" t="str">
        <f t="shared" si="121"/>
        <v/>
      </c>
      <c r="S688" s="105"/>
      <c r="T688" s="101" t="s">
        <v>73</v>
      </c>
      <c r="U688" s="177"/>
      <c r="V688" s="103"/>
      <c r="W688" s="177" t="str">
        <f t="shared" si="122"/>
        <v/>
      </c>
      <c r="X688" s="103"/>
      <c r="Y688" s="177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/>
      <c r="Q689" s="101"/>
      <c r="R689" s="101" t="str">
        <f t="shared" si="121"/>
        <v/>
      </c>
      <c r="S689" s="105"/>
      <c r="T689" s="101" t="s">
        <v>69</v>
      </c>
      <c r="U689" s="177"/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86" t="s">
        <v>118</v>
      </c>
      <c r="C690" s="286"/>
      <c r="D690" s="286"/>
      <c r="E690" s="286"/>
      <c r="F690" s="286"/>
      <c r="G690" s="286"/>
      <c r="H690" s="286"/>
      <c r="I690" s="286"/>
      <c r="J690" s="286"/>
      <c r="K690" s="286"/>
      <c r="L690" s="73"/>
      <c r="M690" s="57"/>
      <c r="N690" s="100"/>
      <c r="O690" s="101" t="s">
        <v>74</v>
      </c>
      <c r="P690" s="101"/>
      <c r="Q690" s="101"/>
      <c r="R690" s="101" t="str">
        <f t="shared" si="121"/>
        <v/>
      </c>
      <c r="S690" s="105"/>
      <c r="T690" s="101" t="s">
        <v>74</v>
      </c>
      <c r="U690" s="177"/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86"/>
      <c r="C691" s="286"/>
      <c r="D691" s="286"/>
      <c r="E691" s="286"/>
      <c r="F691" s="286"/>
      <c r="G691" s="286"/>
      <c r="H691" s="286"/>
      <c r="I691" s="286"/>
      <c r="J691" s="286"/>
      <c r="K691" s="286"/>
      <c r="L691" s="73"/>
      <c r="M691" s="57"/>
      <c r="N691" s="100"/>
      <c r="O691" s="101" t="s">
        <v>75</v>
      </c>
      <c r="P691" s="101"/>
      <c r="Q691" s="101"/>
      <c r="R691" s="101" t="str">
        <f t="shared" si="121"/>
        <v/>
      </c>
      <c r="S691" s="105"/>
      <c r="T691" s="101" t="s">
        <v>75</v>
      </c>
      <c r="U691" s="177"/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03" t="s">
        <v>57</v>
      </c>
      <c r="B694" s="304"/>
      <c r="C694" s="304"/>
      <c r="D694" s="304"/>
      <c r="E694" s="304"/>
      <c r="F694" s="304"/>
      <c r="G694" s="304"/>
      <c r="H694" s="304"/>
      <c r="I694" s="304"/>
      <c r="J694" s="304"/>
      <c r="K694" s="304"/>
      <c r="L694" s="305"/>
      <c r="M694" s="54"/>
      <c r="N694" s="93"/>
      <c r="O694" s="290" t="s">
        <v>59</v>
      </c>
      <c r="P694" s="291"/>
      <c r="Q694" s="291"/>
      <c r="R694" s="292"/>
      <c r="S694" s="94"/>
      <c r="T694" s="290" t="s">
        <v>60</v>
      </c>
      <c r="U694" s="291"/>
      <c r="V694" s="291"/>
      <c r="W694" s="291"/>
      <c r="X694" s="291"/>
      <c r="Y694" s="292"/>
      <c r="Z694" s="95"/>
      <c r="AA694" s="54"/>
    </row>
    <row r="695" spans="1:27" s="55" customFormat="1" ht="21" customHeight="1" x14ac:dyDescent="0.25">
      <c r="A695" s="56"/>
      <c r="B695" s="57"/>
      <c r="C695" s="293" t="s">
        <v>116</v>
      </c>
      <c r="D695" s="293"/>
      <c r="E695" s="293"/>
      <c r="F695" s="293"/>
      <c r="G695" s="58" t="str">
        <f>$J$1</f>
        <v>May</v>
      </c>
      <c r="H695" s="294">
        <f>$K$1</f>
        <v>2019</v>
      </c>
      <c r="I695" s="294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62</v>
      </c>
      <c r="P696" s="101"/>
      <c r="Q696" s="101"/>
      <c r="R696" s="101"/>
      <c r="S696" s="102"/>
      <c r="T696" s="101" t="s">
        <v>62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186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/>
      <c r="Q697" s="101"/>
      <c r="R697" s="101">
        <v>0</v>
      </c>
      <c r="S697" s="105"/>
      <c r="T697" s="101" t="s">
        <v>88</v>
      </c>
      <c r="U697" s="177"/>
      <c r="V697" s="103"/>
      <c r="W697" s="177" t="str">
        <f>IF(U697="","",U697+V697)</f>
        <v/>
      </c>
      <c r="X697" s="103"/>
      <c r="Y697" s="177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95" t="s">
        <v>60</v>
      </c>
      <c r="G698" s="295"/>
      <c r="H698" s="57"/>
      <c r="I698" s="295" t="s">
        <v>61</v>
      </c>
      <c r="J698" s="295"/>
      <c r="K698" s="295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/>
      <c r="V698" s="103"/>
      <c r="W698" s="177" t="str">
        <f t="shared" ref="W698:W707" si="124">IF(U698="","",U698+V698)</f>
        <v/>
      </c>
      <c r="X698" s="103"/>
      <c r="Y698" s="177" t="str">
        <f t="shared" ref="Y698:Y707" si="125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>
        <v>6</v>
      </c>
      <c r="Q699" s="101">
        <v>24</v>
      </c>
      <c r="R699" s="101">
        <v>0</v>
      </c>
      <c r="S699" s="105"/>
      <c r="T699" s="101" t="s">
        <v>64</v>
      </c>
      <c r="U699" s="177"/>
      <c r="V699" s="103"/>
      <c r="W699" s="177" t="str">
        <f t="shared" si="124"/>
        <v/>
      </c>
      <c r="X699" s="103"/>
      <c r="Y699" s="177" t="str">
        <f t="shared" si="125"/>
        <v/>
      </c>
      <c r="Z699" s="106"/>
      <c r="AA699" s="57"/>
    </row>
    <row r="700" spans="1:27" s="55" customFormat="1" ht="21" customHeight="1" x14ac:dyDescent="0.25">
      <c r="A700" s="56"/>
      <c r="B700" s="296" t="s">
        <v>59</v>
      </c>
      <c r="C700" s="297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31</v>
      </c>
      <c r="J700" s="77" t="s">
        <v>78</v>
      </c>
      <c r="K700" s="78">
        <f>K696/$K$2*I700</f>
        <v>16000</v>
      </c>
      <c r="L700" s="79"/>
      <c r="M700" s="57"/>
      <c r="N700" s="100"/>
      <c r="O700" s="101" t="s">
        <v>65</v>
      </c>
      <c r="P700" s="101">
        <v>31</v>
      </c>
      <c r="Q700" s="101">
        <v>0</v>
      </c>
      <c r="R700" s="101">
        <v>0</v>
      </c>
      <c r="S700" s="105"/>
      <c r="T700" s="101" t="s">
        <v>65</v>
      </c>
      <c r="U700" s="177"/>
      <c r="V700" s="103"/>
      <c r="W700" s="177" t="str">
        <f t="shared" si="124"/>
        <v/>
      </c>
      <c r="X700" s="103"/>
      <c r="Y700" s="177" t="str">
        <f t="shared" si="125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/>
      <c r="J701" s="77" t="s">
        <v>79</v>
      </c>
      <c r="K701" s="80">
        <f>K696/$K$2/8*I701</f>
        <v>0</v>
      </c>
      <c r="L701" s="81"/>
      <c r="M701" s="57"/>
      <c r="N701" s="100"/>
      <c r="O701" s="101" t="s">
        <v>66</v>
      </c>
      <c r="P701" s="101"/>
      <c r="Q701" s="101"/>
      <c r="R701" s="101">
        <v>0</v>
      </c>
      <c r="S701" s="105"/>
      <c r="T701" s="101" t="s">
        <v>66</v>
      </c>
      <c r="U701" s="177"/>
      <c r="V701" s="103"/>
      <c r="W701" s="177" t="str">
        <f t="shared" si="124"/>
        <v/>
      </c>
      <c r="X701" s="103"/>
      <c r="Y701" s="177" t="str">
        <f t="shared" si="125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31</v>
      </c>
      <c r="D702" s="57"/>
      <c r="E702" s="57"/>
      <c r="F702" s="75" t="s">
        <v>82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98" t="s">
        <v>86</v>
      </c>
      <c r="J702" s="299"/>
      <c r="K702" s="80">
        <f>K700+K701</f>
        <v>16000</v>
      </c>
      <c r="L702" s="81"/>
      <c r="M702" s="57"/>
      <c r="N702" s="100"/>
      <c r="O702" s="101" t="s">
        <v>67</v>
      </c>
      <c r="P702" s="101"/>
      <c r="Q702" s="101"/>
      <c r="R702" s="101">
        <v>0</v>
      </c>
      <c r="S702" s="105"/>
      <c r="T702" s="101" t="s">
        <v>67</v>
      </c>
      <c r="U702" s="177"/>
      <c r="V702" s="103"/>
      <c r="W702" s="177" t="str">
        <f t="shared" si="124"/>
        <v/>
      </c>
      <c r="X702" s="103"/>
      <c r="Y702" s="177" t="str">
        <f t="shared" si="125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0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98" t="s">
        <v>87</v>
      </c>
      <c r="J703" s="299"/>
      <c r="K703" s="70">
        <f>G703</f>
        <v>0</v>
      </c>
      <c r="L703" s="82"/>
      <c r="M703" s="57"/>
      <c r="N703" s="100"/>
      <c r="O703" s="101" t="s">
        <v>68</v>
      </c>
      <c r="P703" s="101"/>
      <c r="Q703" s="101"/>
      <c r="R703" s="101">
        <v>0</v>
      </c>
      <c r="S703" s="105"/>
      <c r="T703" s="101" t="s">
        <v>68</v>
      </c>
      <c r="U703" s="177"/>
      <c r="V703" s="103"/>
      <c r="W703" s="177" t="str">
        <f t="shared" si="124"/>
        <v/>
      </c>
      <c r="X703" s="103"/>
      <c r="Y703" s="177" t="str">
        <f t="shared" si="125"/>
        <v/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284" t="s">
        <v>80</v>
      </c>
      <c r="J704" s="285"/>
      <c r="K704" s="84">
        <f>K702-K703</f>
        <v>16000</v>
      </c>
      <c r="L704" s="85"/>
      <c r="M704" s="57"/>
      <c r="N704" s="100"/>
      <c r="O704" s="101" t="s">
        <v>73</v>
      </c>
      <c r="P704" s="101"/>
      <c r="Q704" s="101"/>
      <c r="R704" s="101">
        <v>0</v>
      </c>
      <c r="S704" s="105"/>
      <c r="T704" s="101" t="s">
        <v>73</v>
      </c>
      <c r="U704" s="177"/>
      <c r="V704" s="103"/>
      <c r="W704" s="177" t="str">
        <f t="shared" si="124"/>
        <v/>
      </c>
      <c r="X704" s="103"/>
      <c r="Y704" s="177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/>
      <c r="Q705" s="101"/>
      <c r="R705" s="101">
        <v>0</v>
      </c>
      <c r="S705" s="105"/>
      <c r="T705" s="101" t="s">
        <v>69</v>
      </c>
      <c r="U705" s="177"/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86" t="s">
        <v>118</v>
      </c>
      <c r="C706" s="286"/>
      <c r="D706" s="286"/>
      <c r="E706" s="286"/>
      <c r="F706" s="286"/>
      <c r="G706" s="286"/>
      <c r="H706" s="286"/>
      <c r="I706" s="286"/>
      <c r="J706" s="286"/>
      <c r="K706" s="286"/>
      <c r="L706" s="73"/>
      <c r="M706" s="57"/>
      <c r="N706" s="100"/>
      <c r="O706" s="101" t="s">
        <v>74</v>
      </c>
      <c r="P706" s="101"/>
      <c r="Q706" s="101"/>
      <c r="R706" s="101">
        <v>0</v>
      </c>
      <c r="S706" s="105"/>
      <c r="T706" s="101" t="s">
        <v>74</v>
      </c>
      <c r="U706" s="177"/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86"/>
      <c r="C707" s="286"/>
      <c r="D707" s="286"/>
      <c r="E707" s="286"/>
      <c r="F707" s="286"/>
      <c r="G707" s="286"/>
      <c r="H707" s="286"/>
      <c r="I707" s="286"/>
      <c r="J707" s="286"/>
      <c r="K707" s="286"/>
      <c r="L707" s="73"/>
      <c r="M707" s="57"/>
      <c r="N707" s="100"/>
      <c r="O707" s="101" t="s">
        <v>75</v>
      </c>
      <c r="P707" s="101"/>
      <c r="Q707" s="101"/>
      <c r="R707" s="101">
        <v>0</v>
      </c>
      <c r="S707" s="105"/>
      <c r="T707" s="101" t="s">
        <v>75</v>
      </c>
      <c r="U707" s="177"/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18" t="s">
        <v>57</v>
      </c>
      <c r="B710" s="319"/>
      <c r="C710" s="319"/>
      <c r="D710" s="319"/>
      <c r="E710" s="319"/>
      <c r="F710" s="319"/>
      <c r="G710" s="319"/>
      <c r="H710" s="319"/>
      <c r="I710" s="319"/>
      <c r="J710" s="319"/>
      <c r="K710" s="319"/>
      <c r="L710" s="320"/>
      <c r="M710" s="54"/>
      <c r="N710" s="93"/>
      <c r="O710" s="290" t="s">
        <v>59</v>
      </c>
      <c r="P710" s="291"/>
      <c r="Q710" s="291"/>
      <c r="R710" s="292"/>
      <c r="S710" s="94"/>
      <c r="T710" s="290" t="s">
        <v>60</v>
      </c>
      <c r="U710" s="291"/>
      <c r="V710" s="291"/>
      <c r="W710" s="291"/>
      <c r="X710" s="291"/>
      <c r="Y710" s="292"/>
      <c r="Z710" s="95"/>
      <c r="AA710" s="54"/>
    </row>
    <row r="711" spans="1:27" s="55" customFormat="1" ht="21" customHeight="1" x14ac:dyDescent="0.25">
      <c r="A711" s="56"/>
      <c r="B711" s="57"/>
      <c r="C711" s="293" t="s">
        <v>116</v>
      </c>
      <c r="D711" s="293"/>
      <c r="E711" s="293"/>
      <c r="F711" s="293"/>
      <c r="G711" s="58" t="str">
        <f>$J$1</f>
        <v>May</v>
      </c>
      <c r="H711" s="294">
        <f>$K$1</f>
        <v>2019</v>
      </c>
      <c r="I711" s="294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>
        <f>28-9</f>
        <v>19</v>
      </c>
      <c r="Q713" s="101">
        <v>9</v>
      </c>
      <c r="R713" s="101">
        <f>IF(Q713="","",R712-Q713)</f>
        <v>6</v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95" t="s">
        <v>60</v>
      </c>
      <c r="G714" s="295"/>
      <c r="H714" s="57"/>
      <c r="I714" s="295" t="s">
        <v>61</v>
      </c>
      <c r="J714" s="295"/>
      <c r="K714" s="295"/>
      <c r="L714" s="73"/>
      <c r="M714" s="57"/>
      <c r="N714" s="100"/>
      <c r="O714" s="101" t="s">
        <v>63</v>
      </c>
      <c r="P714" s="101"/>
      <c r="Q714" s="101"/>
      <c r="R714" s="101" t="str">
        <f t="shared" ref="R714:R723" si="126">IF(Q714="","",R713-Q714)</f>
        <v/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/>
      <c r="Q715" s="101"/>
      <c r="R715" s="101" t="str">
        <f t="shared" si="126"/>
        <v/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96" t="s">
        <v>59</v>
      </c>
      <c r="C716" s="297"/>
      <c r="D716" s="57"/>
      <c r="E716" s="57"/>
      <c r="F716" s="75" t="s">
        <v>81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/>
      <c r="J716" s="77" t="s">
        <v>78</v>
      </c>
      <c r="K716" s="78">
        <f>K712/$K$2*I716</f>
        <v>0</v>
      </c>
      <c r="L716" s="79"/>
      <c r="M716" s="57"/>
      <c r="N716" s="100"/>
      <c r="O716" s="101" t="s">
        <v>65</v>
      </c>
      <c r="P716" s="101"/>
      <c r="Q716" s="101"/>
      <c r="R716" s="101" t="str">
        <f t="shared" si="126"/>
        <v/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79</v>
      </c>
      <c r="K717" s="80">
        <f>K712/$K$2/8*I717</f>
        <v>0</v>
      </c>
      <c r="L717" s="81"/>
      <c r="M717" s="57"/>
      <c r="N717" s="100"/>
      <c r="O717" s="101" t="s">
        <v>66</v>
      </c>
      <c r="P717" s="101"/>
      <c r="Q717" s="101"/>
      <c r="R717" s="101" t="str">
        <f t="shared" si="126"/>
        <v/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82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98" t="s">
        <v>86</v>
      </c>
      <c r="J718" s="299"/>
      <c r="K718" s="80">
        <f>K716+K717</f>
        <v>0</v>
      </c>
      <c r="L718" s="81"/>
      <c r="M718" s="57"/>
      <c r="N718" s="100"/>
      <c r="O718" s="101" t="s">
        <v>67</v>
      </c>
      <c r="P718" s="101"/>
      <c r="Q718" s="101"/>
      <c r="R718" s="101" t="str">
        <f t="shared" si="126"/>
        <v/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27"/>
        <v/>
      </c>
      <c r="X718" s="103"/>
      <c r="Y718" s="177" t="str">
        <f t="shared" si="128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98" t="s">
        <v>87</v>
      </c>
      <c r="J719" s="299"/>
      <c r="K719" s="70">
        <f>G719</f>
        <v>0</v>
      </c>
      <c r="L719" s="82"/>
      <c r="M719" s="57"/>
      <c r="N719" s="100"/>
      <c r="O719" s="101" t="s">
        <v>68</v>
      </c>
      <c r="P719" s="101"/>
      <c r="Q719" s="101"/>
      <c r="R719" s="101" t="str">
        <f t="shared" si="126"/>
        <v/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27"/>
        <v/>
      </c>
      <c r="X719" s="103"/>
      <c r="Y719" s="177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84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84" t="s">
        <v>80</v>
      </c>
      <c r="J720" s="285"/>
      <c r="K720" s="84">
        <f>K718-K719</f>
        <v>0</v>
      </c>
      <c r="L720" s="85"/>
      <c r="M720" s="57"/>
      <c r="N720" s="100"/>
      <c r="O720" s="101" t="s">
        <v>73</v>
      </c>
      <c r="P720" s="101"/>
      <c r="Q720" s="101"/>
      <c r="R720" s="101" t="str">
        <f t="shared" si="126"/>
        <v/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/>
      <c r="Q721" s="101"/>
      <c r="R721" s="101" t="str">
        <f t="shared" si="126"/>
        <v/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86" t="s">
        <v>118</v>
      </c>
      <c r="C722" s="286"/>
      <c r="D722" s="286"/>
      <c r="E722" s="286"/>
      <c r="F722" s="286"/>
      <c r="G722" s="286"/>
      <c r="H722" s="286"/>
      <c r="I722" s="286"/>
      <c r="J722" s="286"/>
      <c r="K722" s="286"/>
      <c r="L722" s="73"/>
      <c r="M722" s="57"/>
      <c r="N722" s="100"/>
      <c r="O722" s="101" t="s">
        <v>74</v>
      </c>
      <c r="P722" s="101"/>
      <c r="Q722" s="101"/>
      <c r="R722" s="101" t="str">
        <f t="shared" si="126"/>
        <v/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86"/>
      <c r="C723" s="286"/>
      <c r="D723" s="286"/>
      <c r="E723" s="286"/>
      <c r="F723" s="286"/>
      <c r="G723" s="286"/>
      <c r="H723" s="286"/>
      <c r="I723" s="286"/>
      <c r="J723" s="286"/>
      <c r="K723" s="286"/>
      <c r="L723" s="73"/>
      <c r="M723" s="57"/>
      <c r="N723" s="100"/>
      <c r="O723" s="101" t="s">
        <v>75</v>
      </c>
      <c r="P723" s="101"/>
      <c r="Q723" s="101"/>
      <c r="R723" s="101" t="str">
        <f t="shared" si="126"/>
        <v/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00" t="s">
        <v>57</v>
      </c>
      <c r="B726" s="301"/>
      <c r="C726" s="301"/>
      <c r="D726" s="301"/>
      <c r="E726" s="301"/>
      <c r="F726" s="301"/>
      <c r="G726" s="301"/>
      <c r="H726" s="301"/>
      <c r="I726" s="301"/>
      <c r="J726" s="301"/>
      <c r="K726" s="301"/>
      <c r="L726" s="302"/>
      <c r="M726" s="54"/>
      <c r="N726" s="93"/>
      <c r="O726" s="290" t="s">
        <v>59</v>
      </c>
      <c r="P726" s="291"/>
      <c r="Q726" s="291"/>
      <c r="R726" s="292"/>
      <c r="S726" s="94"/>
      <c r="T726" s="290" t="s">
        <v>60</v>
      </c>
      <c r="U726" s="291"/>
      <c r="V726" s="291"/>
      <c r="W726" s="291"/>
      <c r="X726" s="291"/>
      <c r="Y726" s="292"/>
      <c r="Z726" s="95"/>
      <c r="AA726" s="54"/>
    </row>
    <row r="727" spans="1:27" s="55" customFormat="1" ht="21" customHeight="1" x14ac:dyDescent="0.25">
      <c r="A727" s="56"/>
      <c r="B727" s="57"/>
      <c r="C727" s="293" t="s">
        <v>116</v>
      </c>
      <c r="D727" s="293"/>
      <c r="E727" s="293"/>
      <c r="F727" s="293"/>
      <c r="G727" s="58" t="str">
        <f>$J$1</f>
        <v>May</v>
      </c>
      <c r="H727" s="294">
        <f>$K$1</f>
        <v>2019</v>
      </c>
      <c r="I727" s="294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18000</v>
      </c>
      <c r="L728" s="65"/>
      <c r="M728" s="57"/>
      <c r="N728" s="100"/>
      <c r="O728" s="101" t="s">
        <v>62</v>
      </c>
      <c r="P728" s="101"/>
      <c r="Q728" s="101"/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193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/>
      <c r="Q729" s="101"/>
      <c r="R729" s="101"/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95" t="s">
        <v>60</v>
      </c>
      <c r="G730" s="295"/>
      <c r="H730" s="57"/>
      <c r="I730" s="295" t="s">
        <v>61</v>
      </c>
      <c r="J730" s="295"/>
      <c r="K730" s="295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7" si="131">IF(Q731="","",R730-Q731)</f>
        <v/>
      </c>
      <c r="S731" s="105"/>
      <c r="T731" s="101" t="s">
        <v>64</v>
      </c>
      <c r="U731" s="177">
        <f>IF($J$1="April",Y730,Y730)</f>
        <v>0</v>
      </c>
      <c r="V731" s="103"/>
      <c r="W731" s="177">
        <f t="shared" si="129"/>
        <v>0</v>
      </c>
      <c r="X731" s="103"/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96" t="s">
        <v>59</v>
      </c>
      <c r="C732" s="297"/>
      <c r="D732" s="57"/>
      <c r="E732" s="57"/>
      <c r="F732" s="75" t="s">
        <v>81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IF(C736&gt;0,$K$2,C734)</f>
        <v>27</v>
      </c>
      <c r="J732" s="77" t="s">
        <v>78</v>
      </c>
      <c r="K732" s="78">
        <f>K728/$K$2*I732</f>
        <v>15677.419354838708</v>
      </c>
      <c r="L732" s="79"/>
      <c r="M732" s="57"/>
      <c r="N732" s="100"/>
      <c r="O732" s="101" t="s">
        <v>65</v>
      </c>
      <c r="P732" s="101">
        <v>27</v>
      </c>
      <c r="Q732" s="101">
        <v>4</v>
      </c>
      <c r="R732" s="101">
        <v>0</v>
      </c>
      <c r="S732" s="105"/>
      <c r="T732" s="101" t="s">
        <v>65</v>
      </c>
      <c r="U732" s="177">
        <f>Y731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13</v>
      </c>
      <c r="J733" s="77" t="s">
        <v>79</v>
      </c>
      <c r="K733" s="80">
        <f>K728/$K$2/8*I733</f>
        <v>943.54838709677415</v>
      </c>
      <c r="L733" s="81"/>
      <c r="M733" s="57"/>
      <c r="N733" s="100"/>
      <c r="O733" s="101" t="s">
        <v>66</v>
      </c>
      <c r="P733" s="101"/>
      <c r="Q733" s="101"/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27</v>
      </c>
      <c r="D734" s="57"/>
      <c r="E734" s="57"/>
      <c r="F734" s="75" t="s">
        <v>82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4"/>
      <c r="I734" s="298" t="s">
        <v>86</v>
      </c>
      <c r="J734" s="299"/>
      <c r="K734" s="80">
        <f>K732+K733</f>
        <v>16620.967741935481</v>
      </c>
      <c r="L734" s="81"/>
      <c r="M734" s="57"/>
      <c r="N734" s="100"/>
      <c r="O734" s="101" t="s">
        <v>67</v>
      </c>
      <c r="P734" s="101"/>
      <c r="Q734" s="101"/>
      <c r="R734" s="101" t="str">
        <f t="shared" si="131"/>
        <v/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29"/>
        <v/>
      </c>
      <c r="X734" s="103"/>
      <c r="Y734" s="177" t="str">
        <f t="shared" si="130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4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98" t="s">
        <v>87</v>
      </c>
      <c r="J735" s="299"/>
      <c r="K735" s="70">
        <f>G735</f>
        <v>0</v>
      </c>
      <c r="L735" s="82"/>
      <c r="M735" s="57"/>
      <c r="N735" s="100"/>
      <c r="O735" s="101" t="s">
        <v>68</v>
      </c>
      <c r="P735" s="101"/>
      <c r="Q735" s="101"/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29"/>
        <v/>
      </c>
      <c r="X735" s="103"/>
      <c r="Y735" s="177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84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84" t="s">
        <v>80</v>
      </c>
      <c r="J736" s="285"/>
      <c r="K736" s="84">
        <f>K734-K735</f>
        <v>16620.967741935481</v>
      </c>
      <c r="L736" s="85"/>
      <c r="M736" s="57"/>
      <c r="N736" s="100"/>
      <c r="O736" s="101" t="s">
        <v>73</v>
      </c>
      <c r="P736" s="101"/>
      <c r="Q736" s="101"/>
      <c r="R736" s="101" t="str">
        <f t="shared" si="131"/>
        <v/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4"/>
      <c r="L737" s="73"/>
      <c r="M737" s="57"/>
      <c r="N737" s="100"/>
      <c r="O737" s="101" t="s">
        <v>69</v>
      </c>
      <c r="P737" s="101"/>
      <c r="Q737" s="101"/>
      <c r="R737" s="101" t="str">
        <f t="shared" si="131"/>
        <v/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86" t="s">
        <v>118</v>
      </c>
      <c r="C738" s="286"/>
      <c r="D738" s="286"/>
      <c r="E738" s="286"/>
      <c r="F738" s="286"/>
      <c r="G738" s="286"/>
      <c r="H738" s="286"/>
      <c r="I738" s="286"/>
      <c r="J738" s="286"/>
      <c r="K738" s="286"/>
      <c r="L738" s="73"/>
      <c r="M738" s="57"/>
      <c r="N738" s="100"/>
      <c r="O738" s="101" t="s">
        <v>74</v>
      </c>
      <c r="P738" s="101"/>
      <c r="Q738" s="101"/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86"/>
      <c r="C739" s="286"/>
      <c r="D739" s="286"/>
      <c r="E739" s="286"/>
      <c r="F739" s="286"/>
      <c r="G739" s="286"/>
      <c r="H739" s="286"/>
      <c r="I739" s="286"/>
      <c r="J739" s="286"/>
      <c r="K739" s="286"/>
      <c r="L739" s="73"/>
      <c r="M739" s="57"/>
      <c r="N739" s="100"/>
      <c r="O739" s="101" t="s">
        <v>75</v>
      </c>
      <c r="P739" s="101"/>
      <c r="Q739" s="101"/>
      <c r="R739" s="101">
        <v>0</v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18" t="s">
        <v>57</v>
      </c>
      <c r="B742" s="319"/>
      <c r="C742" s="319"/>
      <c r="D742" s="319"/>
      <c r="E742" s="319"/>
      <c r="F742" s="319"/>
      <c r="G742" s="319"/>
      <c r="H742" s="319"/>
      <c r="I742" s="319"/>
      <c r="J742" s="319"/>
      <c r="K742" s="319"/>
      <c r="L742" s="320"/>
      <c r="M742" s="54"/>
      <c r="N742" s="93"/>
      <c r="O742" s="290" t="s">
        <v>59</v>
      </c>
      <c r="P742" s="291"/>
      <c r="Q742" s="291"/>
      <c r="R742" s="292"/>
      <c r="S742" s="94"/>
      <c r="T742" s="290" t="s">
        <v>60</v>
      </c>
      <c r="U742" s="291"/>
      <c r="V742" s="291"/>
      <c r="W742" s="291"/>
      <c r="X742" s="291"/>
      <c r="Y742" s="292"/>
      <c r="Z742" s="95"/>
      <c r="AA742" s="54"/>
    </row>
    <row r="743" spans="1:27" s="55" customFormat="1" ht="21" customHeight="1" x14ac:dyDescent="0.25">
      <c r="A743" s="56"/>
      <c r="B743" s="57"/>
      <c r="C743" s="293" t="s">
        <v>116</v>
      </c>
      <c r="D743" s="293"/>
      <c r="E743" s="293"/>
      <c r="F743" s="293"/>
      <c r="G743" s="58" t="str">
        <f>$J$1</f>
        <v>May</v>
      </c>
      <c r="H743" s="294">
        <f>$K$1</f>
        <v>2019</v>
      </c>
      <c r="I743" s="294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>
        <v>31</v>
      </c>
      <c r="Q744" s="101">
        <v>0</v>
      </c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144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>
        <v>28</v>
      </c>
      <c r="Q745" s="101">
        <v>0</v>
      </c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95" t="s">
        <v>60</v>
      </c>
      <c r="G746" s="295"/>
      <c r="H746" s="57"/>
      <c r="I746" s="295" t="s">
        <v>61</v>
      </c>
      <c r="J746" s="295"/>
      <c r="K746" s="295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96" t="s">
        <v>59</v>
      </c>
      <c r="C748" s="297"/>
      <c r="D748" s="57"/>
      <c r="E748" s="57"/>
      <c r="F748" s="75" t="s">
        <v>81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/>
      <c r="J748" s="77" t="s">
        <v>78</v>
      </c>
      <c r="K748" s="78">
        <f>K744/$K$2*I748</f>
        <v>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/>
      <c r="J749" s="77" t="s">
        <v>79</v>
      </c>
      <c r="K749" s="80">
        <f>K744/$K$2/8*I749</f>
        <v>0</v>
      </c>
      <c r="L749" s="81"/>
      <c r="M749" s="57"/>
      <c r="N749" s="100"/>
      <c r="O749" s="101" t="s">
        <v>66</v>
      </c>
      <c r="P749" s="101"/>
      <c r="Q749" s="101"/>
      <c r="R749" s="101" t="str">
        <f t="shared" si="134"/>
        <v/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57"/>
      <c r="E750" s="57"/>
      <c r="F750" s="75" t="s">
        <v>82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98" t="s">
        <v>86</v>
      </c>
      <c r="J750" s="299"/>
      <c r="K750" s="80">
        <f>K748+K749</f>
        <v>0</v>
      </c>
      <c r="L750" s="81"/>
      <c r="M750" s="57"/>
      <c r="N750" s="100"/>
      <c r="O750" s="101" t="s">
        <v>67</v>
      </c>
      <c r="P750" s="101"/>
      <c r="Q750" s="101"/>
      <c r="R750" s="101" t="str">
        <f t="shared" si="134"/>
        <v/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32"/>
        <v/>
      </c>
      <c r="X750" s="103"/>
      <c r="Y750" s="177" t="str">
        <f t="shared" si="133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98" t="s">
        <v>87</v>
      </c>
      <c r="J751" s="299"/>
      <c r="K751" s="70">
        <f>G751</f>
        <v>0</v>
      </c>
      <c r="L751" s="82"/>
      <c r="M751" s="57"/>
      <c r="N751" s="100"/>
      <c r="O751" s="101" t="s">
        <v>68</v>
      </c>
      <c r="P751" s="101"/>
      <c r="Q751" s="101"/>
      <c r="R751" s="101" t="str">
        <f t="shared" si="134"/>
        <v/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32"/>
        <v/>
      </c>
      <c r="X751" s="103"/>
      <c r="Y751" s="177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84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84" t="s">
        <v>80</v>
      </c>
      <c r="J752" s="285"/>
      <c r="K752" s="84"/>
      <c r="L752" s="85"/>
      <c r="M752" s="57"/>
      <c r="N752" s="100"/>
      <c r="O752" s="101" t="s">
        <v>73</v>
      </c>
      <c r="P752" s="101"/>
      <c r="Q752" s="101"/>
      <c r="R752" s="101" t="str">
        <f t="shared" si="134"/>
        <v/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/>
      <c r="Q753" s="101"/>
      <c r="R753" s="101" t="str">
        <f t="shared" si="134"/>
        <v/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86" t="s">
        <v>118</v>
      </c>
      <c r="C754" s="286"/>
      <c r="D754" s="286"/>
      <c r="E754" s="286"/>
      <c r="F754" s="286"/>
      <c r="G754" s="286"/>
      <c r="H754" s="286"/>
      <c r="I754" s="286"/>
      <c r="J754" s="286"/>
      <c r="K754" s="286"/>
      <c r="L754" s="73"/>
      <c r="M754" s="57"/>
      <c r="N754" s="100"/>
      <c r="O754" s="101" t="s">
        <v>74</v>
      </c>
      <c r="P754" s="101"/>
      <c r="Q754" s="101"/>
      <c r="R754" s="101" t="str">
        <f t="shared" si="134"/>
        <v/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86"/>
      <c r="C755" s="286"/>
      <c r="D755" s="286"/>
      <c r="E755" s="286"/>
      <c r="F755" s="286"/>
      <c r="G755" s="286"/>
      <c r="H755" s="286"/>
      <c r="I755" s="286"/>
      <c r="J755" s="286"/>
      <c r="K755" s="286"/>
      <c r="L755" s="73"/>
      <c r="M755" s="57"/>
      <c r="N755" s="100"/>
      <c r="O755" s="101" t="s">
        <v>75</v>
      </c>
      <c r="P755" s="101"/>
      <c r="Q755" s="101"/>
      <c r="R755" s="101" t="str">
        <f t="shared" si="134"/>
        <v/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300" t="s">
        <v>57</v>
      </c>
      <c r="B758" s="301"/>
      <c r="C758" s="301"/>
      <c r="D758" s="301"/>
      <c r="E758" s="301"/>
      <c r="F758" s="301"/>
      <c r="G758" s="301"/>
      <c r="H758" s="301"/>
      <c r="I758" s="301"/>
      <c r="J758" s="301"/>
      <c r="K758" s="301"/>
      <c r="L758" s="302"/>
      <c r="M758" s="54"/>
      <c r="N758" s="93"/>
      <c r="O758" s="290" t="s">
        <v>59</v>
      </c>
      <c r="P758" s="291"/>
      <c r="Q758" s="291"/>
      <c r="R758" s="292"/>
      <c r="S758" s="94"/>
      <c r="T758" s="290" t="s">
        <v>60</v>
      </c>
      <c r="U758" s="291"/>
      <c r="V758" s="291"/>
      <c r="W758" s="291"/>
      <c r="X758" s="291"/>
      <c r="Y758" s="292"/>
      <c r="Z758" s="95"/>
      <c r="AA758" s="54"/>
    </row>
    <row r="759" spans="1:27" s="55" customFormat="1" ht="21" customHeight="1" x14ac:dyDescent="0.25">
      <c r="A759" s="56"/>
      <c r="B759" s="57"/>
      <c r="C759" s="293" t="s">
        <v>116</v>
      </c>
      <c r="D759" s="293"/>
      <c r="E759" s="293"/>
      <c r="F759" s="293"/>
      <c r="G759" s="58" t="str">
        <f>$J$1</f>
        <v>May</v>
      </c>
      <c r="H759" s="294">
        <f>$K$1</f>
        <v>2019</v>
      </c>
      <c r="I759" s="294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31</v>
      </c>
      <c r="Q760" s="101">
        <v>0</v>
      </c>
      <c r="R760" s="101">
        <f>15-Q760</f>
        <v>15</v>
      </c>
      <c r="S760" s="102"/>
      <c r="T760" s="101" t="s">
        <v>62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88</v>
      </c>
      <c r="U761" s="177">
        <f>Y760</f>
        <v>169000</v>
      </c>
      <c r="V761" s="103"/>
      <c r="W761" s="177">
        <f>IF(U761="","",U761+V761)</f>
        <v>169000</v>
      </c>
      <c r="X761" s="103">
        <v>10000</v>
      </c>
      <c r="Y761" s="177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95" t="s">
        <v>60</v>
      </c>
      <c r="G762" s="295"/>
      <c r="H762" s="57"/>
      <c r="I762" s="295" t="s">
        <v>61</v>
      </c>
      <c r="J762" s="295"/>
      <c r="K762" s="295"/>
      <c r="L762" s="73"/>
      <c r="M762" s="57"/>
      <c r="N762" s="100"/>
      <c r="O762" s="101" t="s">
        <v>63</v>
      </c>
      <c r="P762" s="101">
        <v>26</v>
      </c>
      <c r="Q762" s="101">
        <v>5</v>
      </c>
      <c r="R762" s="101">
        <f t="shared" ref="R762:R764" si="135">IF(Q762="","",R761-Q762)</f>
        <v>7</v>
      </c>
      <c r="S762" s="105"/>
      <c r="T762" s="101" t="s">
        <v>63</v>
      </c>
      <c r="U762" s="177">
        <f>Y761</f>
        <v>159000</v>
      </c>
      <c r="V762" s="103"/>
      <c r="W762" s="177">
        <f t="shared" ref="W762:W771" si="136">IF(U762="","",U762+V762)</f>
        <v>159000</v>
      </c>
      <c r="X762" s="103">
        <v>10000</v>
      </c>
      <c r="Y762" s="177">
        <f t="shared" ref="Y762:Y771" si="137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>
        <v>29</v>
      </c>
      <c r="Q763" s="101">
        <v>1</v>
      </c>
      <c r="R763" s="101">
        <f t="shared" si="135"/>
        <v>6</v>
      </c>
      <c r="S763" s="105"/>
      <c r="T763" s="101" t="s">
        <v>64</v>
      </c>
      <c r="U763" s="177">
        <f>Y762</f>
        <v>149000</v>
      </c>
      <c r="V763" s="103"/>
      <c r="W763" s="177">
        <f t="shared" si="136"/>
        <v>149000</v>
      </c>
      <c r="X763" s="103">
        <v>10000</v>
      </c>
      <c r="Y763" s="177">
        <f t="shared" si="137"/>
        <v>139000</v>
      </c>
      <c r="Z763" s="106"/>
      <c r="AA763" s="57"/>
    </row>
    <row r="764" spans="1:27" s="55" customFormat="1" ht="21" customHeight="1" x14ac:dyDescent="0.25">
      <c r="A764" s="56"/>
      <c r="B764" s="296" t="s">
        <v>59</v>
      </c>
      <c r="C764" s="297"/>
      <c r="D764" s="57"/>
      <c r="E764" s="57"/>
      <c r="F764" s="75" t="s">
        <v>81</v>
      </c>
      <c r="G764" s="197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139000</v>
      </c>
      <c r="H764" s="74"/>
      <c r="I764" s="76">
        <f>IF(C768&gt;0,$K$2,C766)</f>
        <v>31</v>
      </c>
      <c r="J764" s="77" t="s">
        <v>78</v>
      </c>
      <c r="K764" s="78">
        <f>K760/$K$2*I764</f>
        <v>28000</v>
      </c>
      <c r="L764" s="79"/>
      <c r="M764" s="57"/>
      <c r="N764" s="100"/>
      <c r="O764" s="101" t="s">
        <v>65</v>
      </c>
      <c r="P764" s="101">
        <v>28</v>
      </c>
      <c r="Q764" s="101">
        <v>3</v>
      </c>
      <c r="R764" s="101">
        <f t="shared" si="135"/>
        <v>3</v>
      </c>
      <c r="S764" s="105"/>
      <c r="T764" s="101" t="s">
        <v>65</v>
      </c>
      <c r="U764" s="177">
        <f>Y763</f>
        <v>139000</v>
      </c>
      <c r="V764" s="103"/>
      <c r="W764" s="177">
        <f t="shared" si="136"/>
        <v>139000</v>
      </c>
      <c r="X764" s="103"/>
      <c r="Y764" s="177">
        <f t="shared" si="137"/>
        <v>139000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197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>
        <v>6.64</v>
      </c>
      <c r="J765" s="77" t="s">
        <v>79</v>
      </c>
      <c r="K765" s="80">
        <f>K760/$K$2/8*I765</f>
        <v>749.67741935483866</v>
      </c>
      <c r="L765" s="81"/>
      <c r="M765" s="57"/>
      <c r="N765" s="100"/>
      <c r="O765" s="101" t="s">
        <v>66</v>
      </c>
      <c r="P765" s="101"/>
      <c r="Q765" s="101"/>
      <c r="R765" s="101">
        <v>0</v>
      </c>
      <c r="S765" s="105"/>
      <c r="T765" s="101" t="s">
        <v>66</v>
      </c>
      <c r="U765" s="177"/>
      <c r="V765" s="103"/>
      <c r="W765" s="177" t="str">
        <f t="shared" si="136"/>
        <v/>
      </c>
      <c r="X765" s="103"/>
      <c r="Y765" s="177" t="str">
        <f t="shared" si="137"/>
        <v/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28</v>
      </c>
      <c r="D766" s="57"/>
      <c r="E766" s="57"/>
      <c r="F766" s="75" t="s">
        <v>82</v>
      </c>
      <c r="G766" s="197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139000</v>
      </c>
      <c r="H766" s="74"/>
      <c r="I766" s="298" t="s">
        <v>86</v>
      </c>
      <c r="J766" s="299"/>
      <c r="K766" s="80">
        <f>K764+K765</f>
        <v>28749.677419354837</v>
      </c>
      <c r="L766" s="81"/>
      <c r="M766" s="57"/>
      <c r="N766" s="100"/>
      <c r="O766" s="101" t="s">
        <v>67</v>
      </c>
      <c r="P766" s="101"/>
      <c r="Q766" s="101"/>
      <c r="R766" s="101">
        <v>0</v>
      </c>
      <c r="S766" s="105"/>
      <c r="T766" s="101" t="s">
        <v>67</v>
      </c>
      <c r="U766" s="177"/>
      <c r="V766" s="103"/>
      <c r="W766" s="177" t="str">
        <f t="shared" si="136"/>
        <v/>
      </c>
      <c r="X766" s="103"/>
      <c r="Y766" s="177" t="str">
        <f t="shared" si="137"/>
        <v/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3</v>
      </c>
      <c r="D767" s="57"/>
      <c r="E767" s="57"/>
      <c r="F767" s="75" t="s">
        <v>31</v>
      </c>
      <c r="G767" s="197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74"/>
      <c r="I767" s="298" t="s">
        <v>87</v>
      </c>
      <c r="J767" s="299"/>
      <c r="K767" s="70">
        <f>G767</f>
        <v>0</v>
      </c>
      <c r="L767" s="82"/>
      <c r="M767" s="57"/>
      <c r="N767" s="100"/>
      <c r="O767" s="101" t="s">
        <v>68</v>
      </c>
      <c r="P767" s="101"/>
      <c r="Q767" s="101"/>
      <c r="R767" s="101">
        <v>0</v>
      </c>
      <c r="S767" s="105"/>
      <c r="T767" s="101" t="s">
        <v>68</v>
      </c>
      <c r="U767" s="177"/>
      <c r="V767" s="103"/>
      <c r="W767" s="177" t="str">
        <f t="shared" si="136"/>
        <v/>
      </c>
      <c r="X767" s="103"/>
      <c r="Y767" s="177" t="str">
        <f t="shared" si="137"/>
        <v/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3</v>
      </c>
      <c r="D768" s="57"/>
      <c r="E768" s="57"/>
      <c r="F768" s="75" t="s">
        <v>84</v>
      </c>
      <c r="G768" s="19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139000</v>
      </c>
      <c r="H768" s="57"/>
      <c r="I768" s="284" t="s">
        <v>80</v>
      </c>
      <c r="J768" s="285"/>
      <c r="K768" s="84">
        <f>K766-K767</f>
        <v>28749.677419354837</v>
      </c>
      <c r="L768" s="85"/>
      <c r="M768" s="57"/>
      <c r="N768" s="100"/>
      <c r="O768" s="101" t="s">
        <v>73</v>
      </c>
      <c r="P768" s="101"/>
      <c r="Q768" s="101"/>
      <c r="R768" s="101">
        <v>0</v>
      </c>
      <c r="S768" s="105"/>
      <c r="T768" s="101" t="s">
        <v>73</v>
      </c>
      <c r="U768" s="177"/>
      <c r="V768" s="103"/>
      <c r="W768" s="177" t="str">
        <f t="shared" si="136"/>
        <v/>
      </c>
      <c r="X768" s="103"/>
      <c r="Y768" s="177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4"/>
      <c r="K769" s="194"/>
      <c r="L769" s="73"/>
      <c r="M769" s="57"/>
      <c r="N769" s="100"/>
      <c r="O769" s="101" t="s">
        <v>69</v>
      </c>
      <c r="P769" s="101"/>
      <c r="Q769" s="101"/>
      <c r="R769" s="101">
        <v>0</v>
      </c>
      <c r="S769" s="105"/>
      <c r="T769" s="101" t="s">
        <v>69</v>
      </c>
      <c r="U769" s="177"/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86" t="s">
        <v>118</v>
      </c>
      <c r="C770" s="286"/>
      <c r="D770" s="286"/>
      <c r="E770" s="286"/>
      <c r="F770" s="286"/>
      <c r="G770" s="286"/>
      <c r="H770" s="286"/>
      <c r="I770" s="286"/>
      <c r="J770" s="286"/>
      <c r="K770" s="286"/>
      <c r="L770" s="73"/>
      <c r="M770" s="57"/>
      <c r="N770" s="100"/>
      <c r="O770" s="101" t="s">
        <v>74</v>
      </c>
      <c r="P770" s="101"/>
      <c r="Q770" s="101"/>
      <c r="R770" s="101">
        <v>0</v>
      </c>
      <c r="S770" s="105"/>
      <c r="T770" s="101" t="s">
        <v>74</v>
      </c>
      <c r="U770" s="177"/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86"/>
      <c r="C771" s="286"/>
      <c r="D771" s="286"/>
      <c r="E771" s="286"/>
      <c r="F771" s="286"/>
      <c r="G771" s="286"/>
      <c r="H771" s="286"/>
      <c r="I771" s="286"/>
      <c r="J771" s="286"/>
      <c r="K771" s="286"/>
      <c r="L771" s="73"/>
      <c r="M771" s="57"/>
      <c r="N771" s="100"/>
      <c r="O771" s="101" t="s">
        <v>75</v>
      </c>
      <c r="P771" s="101"/>
      <c r="Q771" s="101"/>
      <c r="R771" s="101">
        <v>0</v>
      </c>
      <c r="S771" s="105"/>
      <c r="T771" s="101" t="s">
        <v>75</v>
      </c>
      <c r="U771" s="177"/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315" t="s">
        <v>57</v>
      </c>
      <c r="B774" s="316"/>
      <c r="C774" s="316"/>
      <c r="D774" s="316"/>
      <c r="E774" s="316"/>
      <c r="F774" s="316"/>
      <c r="G774" s="316"/>
      <c r="H774" s="316"/>
      <c r="I774" s="316"/>
      <c r="J774" s="316"/>
      <c r="K774" s="316"/>
      <c r="L774" s="317"/>
      <c r="M774" s="54"/>
      <c r="N774" s="93"/>
      <c r="O774" s="290" t="s">
        <v>59</v>
      </c>
      <c r="P774" s="291"/>
      <c r="Q774" s="291"/>
      <c r="R774" s="292"/>
      <c r="S774" s="94"/>
      <c r="T774" s="290" t="s">
        <v>60</v>
      </c>
      <c r="U774" s="291"/>
      <c r="V774" s="291"/>
      <c r="W774" s="291"/>
      <c r="X774" s="291"/>
      <c r="Y774" s="292"/>
      <c r="Z774" s="95"/>
      <c r="AA774" s="54"/>
    </row>
    <row r="775" spans="1:27" s="55" customFormat="1" ht="21" customHeight="1" x14ac:dyDescent="0.25">
      <c r="A775" s="56"/>
      <c r="B775" s="57"/>
      <c r="C775" s="293" t="s">
        <v>116</v>
      </c>
      <c r="D775" s="293"/>
      <c r="E775" s="293"/>
      <c r="F775" s="293"/>
      <c r="G775" s="58" t="str">
        <f>$J$1</f>
        <v>May</v>
      </c>
      <c r="H775" s="294">
        <f>$K$1</f>
        <v>2019</v>
      </c>
      <c r="I775" s="294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95" t="s">
        <v>60</v>
      </c>
      <c r="G778" s="295"/>
      <c r="H778" s="57"/>
      <c r="I778" s="295" t="s">
        <v>61</v>
      </c>
      <c r="J778" s="295"/>
      <c r="K778" s="295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38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96" t="s">
        <v>59</v>
      </c>
      <c r="C780" s="297"/>
      <c r="D780" s="57"/>
      <c r="E780" s="57"/>
      <c r="F780" s="75" t="s">
        <v>81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38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38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98" t="s">
        <v>86</v>
      </c>
      <c r="J782" s="299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38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98" t="s">
        <v>87</v>
      </c>
      <c r="J783" s="299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38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39"/>
        <v/>
      </c>
      <c r="X783" s="103"/>
      <c r="Y783" s="177" t="str">
        <f t="shared" si="140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84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84" t="s">
        <v>80</v>
      </c>
      <c r="J784" s="285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38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39"/>
        <v/>
      </c>
      <c r="X784" s="103"/>
      <c r="Y784" s="177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38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86" t="s">
        <v>118</v>
      </c>
      <c r="C786" s="286"/>
      <c r="D786" s="286"/>
      <c r="E786" s="286"/>
      <c r="F786" s="286"/>
      <c r="G786" s="286"/>
      <c r="H786" s="286"/>
      <c r="I786" s="286"/>
      <c r="J786" s="286"/>
      <c r="K786" s="286"/>
      <c r="L786" s="73"/>
      <c r="M786" s="57"/>
      <c r="N786" s="100"/>
      <c r="O786" s="101" t="s">
        <v>74</v>
      </c>
      <c r="P786" s="101"/>
      <c r="Q786" s="101"/>
      <c r="R786" s="101" t="str">
        <f t="shared" si="138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86"/>
      <c r="C787" s="286"/>
      <c r="D787" s="286"/>
      <c r="E787" s="286"/>
      <c r="F787" s="286"/>
      <c r="G787" s="286"/>
      <c r="H787" s="286"/>
      <c r="I787" s="286"/>
      <c r="J787" s="286"/>
      <c r="K787" s="286"/>
      <c r="L787" s="73"/>
      <c r="M787" s="57"/>
      <c r="N787" s="100"/>
      <c r="O787" s="101" t="s">
        <v>75</v>
      </c>
      <c r="P787" s="101"/>
      <c r="Q787" s="101"/>
      <c r="R787" s="101" t="str">
        <f t="shared" si="138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300" t="s">
        <v>57</v>
      </c>
      <c r="B790" s="301"/>
      <c r="C790" s="301"/>
      <c r="D790" s="301"/>
      <c r="E790" s="301"/>
      <c r="F790" s="301"/>
      <c r="G790" s="301"/>
      <c r="H790" s="301"/>
      <c r="I790" s="301"/>
      <c r="J790" s="301"/>
      <c r="K790" s="301"/>
      <c r="L790" s="302"/>
      <c r="M790" s="54"/>
      <c r="N790" s="93"/>
      <c r="O790" s="290" t="s">
        <v>59</v>
      </c>
      <c r="P790" s="291"/>
      <c r="Q790" s="291"/>
      <c r="R790" s="292"/>
      <c r="S790" s="94"/>
      <c r="T790" s="290" t="s">
        <v>60</v>
      </c>
      <c r="U790" s="291"/>
      <c r="V790" s="291"/>
      <c r="W790" s="291"/>
      <c r="X790" s="291"/>
      <c r="Y790" s="292"/>
      <c r="Z790" s="95"/>
      <c r="AA790" s="54"/>
    </row>
    <row r="791" spans="1:27" s="55" customFormat="1" ht="21" customHeight="1" x14ac:dyDescent="0.25">
      <c r="A791" s="56"/>
      <c r="B791" s="57"/>
      <c r="C791" s="293" t="s">
        <v>116</v>
      </c>
      <c r="D791" s="293"/>
      <c r="E791" s="293"/>
      <c r="F791" s="293"/>
      <c r="G791" s="58" t="str">
        <f>$J$1</f>
        <v>May</v>
      </c>
      <c r="H791" s="294">
        <f>$K$1</f>
        <v>2019</v>
      </c>
      <c r="I791" s="294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>
        <v>27</v>
      </c>
      <c r="Q792" s="101">
        <v>4</v>
      </c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157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>
        <v>28</v>
      </c>
      <c r="Q793" s="101">
        <v>0</v>
      </c>
      <c r="R793" s="101">
        <f>IF(Q793="","",R792-Q793)</f>
        <v>0</v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95" t="s">
        <v>60</v>
      </c>
      <c r="G794" s="295"/>
      <c r="H794" s="57"/>
      <c r="I794" s="295" t="s">
        <v>61</v>
      </c>
      <c r="J794" s="295"/>
      <c r="K794" s="295"/>
      <c r="L794" s="73"/>
      <c r="M794" s="57"/>
      <c r="N794" s="100"/>
      <c r="O794" s="101" t="s">
        <v>63</v>
      </c>
      <c r="P794" s="101">
        <v>31</v>
      </c>
      <c r="Q794" s="101">
        <v>0</v>
      </c>
      <c r="R794" s="101">
        <f t="shared" ref="R794:R801" si="141">IF(Q794="","",R793-Q794)</f>
        <v>0</v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>
        <v>30</v>
      </c>
      <c r="Q795" s="101">
        <v>0</v>
      </c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96" t="s">
        <v>59</v>
      </c>
      <c r="C796" s="297"/>
      <c r="D796" s="57"/>
      <c r="E796" s="57"/>
      <c r="F796" s="75" t="s">
        <v>81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31</v>
      </c>
      <c r="J796" s="77" t="s">
        <v>78</v>
      </c>
      <c r="K796" s="78">
        <f>K792/$K$2*I796</f>
        <v>22000</v>
      </c>
      <c r="L796" s="79"/>
      <c r="M796" s="57"/>
      <c r="N796" s="100"/>
      <c r="O796" s="101" t="s">
        <v>65</v>
      </c>
      <c r="P796" s="101">
        <v>31</v>
      </c>
      <c r="Q796" s="101">
        <v>0</v>
      </c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50</v>
      </c>
      <c r="J797" s="77" t="s">
        <v>79</v>
      </c>
      <c r="K797" s="80">
        <f>K792/$K$2/8*I797</f>
        <v>4435.4838709677415</v>
      </c>
      <c r="L797" s="81"/>
      <c r="M797" s="57"/>
      <c r="N797" s="100"/>
      <c r="O797" s="101" t="s">
        <v>66</v>
      </c>
      <c r="P797" s="101"/>
      <c r="Q797" s="101"/>
      <c r="R797" s="101" t="str">
        <f t="shared" si="141"/>
        <v/>
      </c>
      <c r="S797" s="105"/>
      <c r="T797" s="101" t="s">
        <v>66</v>
      </c>
      <c r="U797" s="177">
        <f>IF($J$1="May",Y796,Y796)</f>
        <v>0</v>
      </c>
      <c r="V797" s="103">
        <v>65</v>
      </c>
      <c r="W797" s="177">
        <f t="shared" si="142"/>
        <v>65</v>
      </c>
      <c r="X797" s="103"/>
      <c r="Y797" s="177">
        <f t="shared" si="143"/>
        <v>65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31</v>
      </c>
      <c r="D798" s="57"/>
      <c r="E798" s="57"/>
      <c r="F798" s="75" t="s">
        <v>82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4"/>
      <c r="I798" s="298" t="s">
        <v>86</v>
      </c>
      <c r="J798" s="299"/>
      <c r="K798" s="80">
        <f>K796+K797</f>
        <v>26435.483870967742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98" t="s">
        <v>87</v>
      </c>
      <c r="J799" s="299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41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284" t="s">
        <v>80</v>
      </c>
      <c r="J800" s="285"/>
      <c r="K800" s="84">
        <f>K798-K799</f>
        <v>26435.483870967742</v>
      </c>
      <c r="L800" s="85"/>
      <c r="M800" s="57"/>
      <c r="N800" s="100"/>
      <c r="O800" s="101" t="s">
        <v>73</v>
      </c>
      <c r="P800" s="101"/>
      <c r="Q800" s="101"/>
      <c r="R800" s="101" t="str">
        <f t="shared" si="141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/>
      <c r="Q801" s="101"/>
      <c r="R801" s="101" t="str">
        <f t="shared" si="141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86" t="s">
        <v>118</v>
      </c>
      <c r="C802" s="286"/>
      <c r="D802" s="286"/>
      <c r="E802" s="286"/>
      <c r="F802" s="286"/>
      <c r="G802" s="286"/>
      <c r="H802" s="286"/>
      <c r="I802" s="286"/>
      <c r="J802" s="286"/>
      <c r="K802" s="286"/>
      <c r="L802" s="73"/>
      <c r="M802" s="57"/>
      <c r="N802" s="100"/>
      <c r="O802" s="101" t="s">
        <v>74</v>
      </c>
      <c r="P802" s="101"/>
      <c r="Q802" s="101"/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86"/>
      <c r="C803" s="286"/>
      <c r="D803" s="286"/>
      <c r="E803" s="286"/>
      <c r="F803" s="286"/>
      <c r="G803" s="286"/>
      <c r="H803" s="286"/>
      <c r="I803" s="286"/>
      <c r="J803" s="286"/>
      <c r="K803" s="286"/>
      <c r="L803" s="73"/>
      <c r="M803" s="57"/>
      <c r="N803" s="100"/>
      <c r="O803" s="101" t="s">
        <v>75</v>
      </c>
      <c r="P803" s="101"/>
      <c r="Q803" s="101"/>
      <c r="R803" s="101">
        <v>0</v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00" t="s">
        <v>57</v>
      </c>
      <c r="B806" s="301"/>
      <c r="C806" s="301"/>
      <c r="D806" s="301"/>
      <c r="E806" s="301"/>
      <c r="F806" s="301"/>
      <c r="G806" s="301"/>
      <c r="H806" s="301"/>
      <c r="I806" s="301"/>
      <c r="J806" s="301"/>
      <c r="K806" s="301"/>
      <c r="L806" s="302"/>
      <c r="M806" s="54"/>
      <c r="N806" s="93"/>
      <c r="O806" s="290" t="s">
        <v>59</v>
      </c>
      <c r="P806" s="291"/>
      <c r="Q806" s="291"/>
      <c r="R806" s="292"/>
      <c r="S806" s="94"/>
      <c r="T806" s="290" t="s">
        <v>60</v>
      </c>
      <c r="U806" s="291"/>
      <c r="V806" s="291"/>
      <c r="W806" s="291"/>
      <c r="X806" s="291"/>
      <c r="Y806" s="292"/>
      <c r="Z806" s="95"/>
      <c r="AA806" s="54"/>
    </row>
    <row r="807" spans="1:27" s="55" customFormat="1" ht="21" customHeight="1" x14ac:dyDescent="0.25">
      <c r="A807" s="56"/>
      <c r="B807" s="57"/>
      <c r="C807" s="293" t="s">
        <v>116</v>
      </c>
      <c r="D807" s="293"/>
      <c r="E807" s="293"/>
      <c r="F807" s="293"/>
      <c r="G807" s="58" t="str">
        <f>$J$1</f>
        <v>May</v>
      </c>
      <c r="H807" s="294">
        <f>$K$1</f>
        <v>2019</v>
      </c>
      <c r="I807" s="294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f>16000+1000</f>
        <v>17000</v>
      </c>
      <c r="L808" s="65"/>
      <c r="M808" s="57"/>
      <c r="N808" s="100"/>
      <c r="O808" s="101" t="s">
        <v>62</v>
      </c>
      <c r="P808" s="101">
        <v>30</v>
      </c>
      <c r="Q808" s="101">
        <v>1</v>
      </c>
      <c r="R808" s="101">
        <f>15-Q808</f>
        <v>14</v>
      </c>
      <c r="S808" s="102"/>
      <c r="T808" s="101" t="s">
        <v>62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88</v>
      </c>
      <c r="U809" s="177"/>
      <c r="V809" s="103"/>
      <c r="W809" s="177" t="str">
        <f>IF(U809="","",U809+V809)</f>
        <v/>
      </c>
      <c r="X809" s="103"/>
      <c r="Y809" s="177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95" t="s">
        <v>60</v>
      </c>
      <c r="G810" s="295"/>
      <c r="H810" s="57"/>
      <c r="I810" s="295" t="s">
        <v>61</v>
      </c>
      <c r="J810" s="295"/>
      <c r="K810" s="295"/>
      <c r="L810" s="73"/>
      <c r="M810" s="57"/>
      <c r="N810" s="100"/>
      <c r="O810" s="101" t="s">
        <v>63</v>
      </c>
      <c r="P810" s="101">
        <v>30</v>
      </c>
      <c r="Q810" s="101">
        <v>1</v>
      </c>
      <c r="R810" s="101">
        <f t="shared" ref="R810:R819" si="144">IF(Q810="","",R809-Q810)</f>
        <v>12</v>
      </c>
      <c r="S810" s="105"/>
      <c r="T810" s="101" t="s">
        <v>63</v>
      </c>
      <c r="U810" s="177"/>
      <c r="V810" s="103"/>
      <c r="W810" s="177" t="str">
        <f t="shared" ref="W810:W819" si="145">IF(U810="","",U810+V810)</f>
        <v/>
      </c>
      <c r="X810" s="103"/>
      <c r="Y810" s="177" t="str">
        <f t="shared" ref="Y810:Y819" si="146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>
        <v>30</v>
      </c>
      <c r="Q811" s="101">
        <v>0</v>
      </c>
      <c r="R811" s="101">
        <f t="shared" si="144"/>
        <v>12</v>
      </c>
      <c r="S811" s="105"/>
      <c r="T811" s="101" t="s">
        <v>64</v>
      </c>
      <c r="U811" s="177"/>
      <c r="V811" s="103"/>
      <c r="W811" s="177" t="str">
        <f t="shared" si="145"/>
        <v/>
      </c>
      <c r="X811" s="103"/>
      <c r="Y811" s="177" t="str">
        <f t="shared" si="146"/>
        <v/>
      </c>
      <c r="Z811" s="106"/>
      <c r="AA811" s="57"/>
    </row>
    <row r="812" spans="1:27" s="55" customFormat="1" ht="21" customHeight="1" x14ac:dyDescent="0.25">
      <c r="A812" s="56"/>
      <c r="B812" s="296" t="s">
        <v>59</v>
      </c>
      <c r="C812" s="297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31</v>
      </c>
      <c r="J812" s="77" t="s">
        <v>78</v>
      </c>
      <c r="K812" s="78">
        <f>K808/$K$2*I812</f>
        <v>17000</v>
      </c>
      <c r="L812" s="79"/>
      <c r="M812" s="57"/>
      <c r="N812" s="100"/>
      <c r="O812" s="101" t="s">
        <v>65</v>
      </c>
      <c r="P812" s="101">
        <v>31</v>
      </c>
      <c r="Q812" s="101">
        <v>0</v>
      </c>
      <c r="R812" s="101">
        <f t="shared" si="144"/>
        <v>12</v>
      </c>
      <c r="S812" s="105"/>
      <c r="T812" s="101" t="s">
        <v>65</v>
      </c>
      <c r="U812" s="177"/>
      <c r="V812" s="103"/>
      <c r="W812" s="177" t="str">
        <f t="shared" si="145"/>
        <v/>
      </c>
      <c r="X812" s="103"/>
      <c r="Y812" s="177" t="str">
        <f t="shared" si="146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7.58</v>
      </c>
      <c r="J813" s="77" t="s">
        <v>79</v>
      </c>
      <c r="K813" s="80">
        <f>K808/$K$2/8*I813</f>
        <v>519.59677419354841</v>
      </c>
      <c r="L813" s="81"/>
      <c r="M813" s="57"/>
      <c r="N813" s="100"/>
      <c r="O813" s="101" t="s">
        <v>66</v>
      </c>
      <c r="P813" s="101"/>
      <c r="Q813" s="101"/>
      <c r="R813" s="101" t="str">
        <f t="shared" si="144"/>
        <v/>
      </c>
      <c r="S813" s="105"/>
      <c r="T813" s="101" t="s">
        <v>66</v>
      </c>
      <c r="U813" s="177"/>
      <c r="V813" s="103"/>
      <c r="W813" s="177" t="str">
        <f t="shared" si="145"/>
        <v/>
      </c>
      <c r="X813" s="103"/>
      <c r="Y813" s="177" t="str">
        <f t="shared" si="146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31</v>
      </c>
      <c r="D814" s="57"/>
      <c r="E814" s="57"/>
      <c r="F814" s="75" t="s">
        <v>82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298" t="s">
        <v>86</v>
      </c>
      <c r="J814" s="299"/>
      <c r="K814" s="80">
        <f>K812+K813</f>
        <v>17519.596774193549</v>
      </c>
      <c r="L814" s="81"/>
      <c r="M814" s="57"/>
      <c r="N814" s="100"/>
      <c r="O814" s="101" t="s">
        <v>67</v>
      </c>
      <c r="P814" s="101"/>
      <c r="Q814" s="101"/>
      <c r="R814" s="101">
        <v>0</v>
      </c>
      <c r="S814" s="105"/>
      <c r="T814" s="101" t="s">
        <v>67</v>
      </c>
      <c r="U814" s="177"/>
      <c r="V814" s="103"/>
      <c r="W814" s="177" t="str">
        <f t="shared" si="145"/>
        <v/>
      </c>
      <c r="X814" s="103"/>
      <c r="Y814" s="177" t="str">
        <f t="shared" si="146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98" t="s">
        <v>87</v>
      </c>
      <c r="J815" s="299"/>
      <c r="K815" s="70">
        <f>G815</f>
        <v>0</v>
      </c>
      <c r="L815" s="82"/>
      <c r="M815" s="57"/>
      <c r="N815" s="100"/>
      <c r="O815" s="101" t="s">
        <v>68</v>
      </c>
      <c r="P815" s="101"/>
      <c r="Q815" s="101"/>
      <c r="R815" s="101">
        <v>0</v>
      </c>
      <c r="S815" s="105"/>
      <c r="T815" s="101" t="s">
        <v>68</v>
      </c>
      <c r="U815" s="177"/>
      <c r="V815" s="103"/>
      <c r="W815" s="177" t="str">
        <f t="shared" si="145"/>
        <v/>
      </c>
      <c r="X815" s="103"/>
      <c r="Y815" s="177" t="str">
        <f t="shared" si="146"/>
        <v/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12</v>
      </c>
      <c r="D816" s="57"/>
      <c r="E816" s="57"/>
      <c r="F816" s="75" t="s">
        <v>84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284" t="s">
        <v>80</v>
      </c>
      <c r="J816" s="285"/>
      <c r="K816" s="84">
        <f>K814-K815</f>
        <v>17519.596774193549</v>
      </c>
      <c r="L816" s="85"/>
      <c r="M816" s="57"/>
      <c r="N816" s="100"/>
      <c r="O816" s="101" t="s">
        <v>73</v>
      </c>
      <c r="P816" s="101"/>
      <c r="Q816" s="101"/>
      <c r="R816" s="101" t="str">
        <f t="shared" si="144"/>
        <v/>
      </c>
      <c r="S816" s="105"/>
      <c r="T816" s="101" t="s">
        <v>73</v>
      </c>
      <c r="U816" s="177"/>
      <c r="V816" s="103"/>
      <c r="W816" s="177" t="str">
        <f t="shared" si="145"/>
        <v/>
      </c>
      <c r="X816" s="103"/>
      <c r="Y816" s="177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/>
      <c r="Q817" s="101"/>
      <c r="R817" s="101" t="str">
        <f t="shared" si="144"/>
        <v/>
      </c>
      <c r="S817" s="105"/>
      <c r="T817" s="101" t="s">
        <v>69</v>
      </c>
      <c r="U817" s="177"/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86"/>
      <c r="C818" s="286"/>
      <c r="D818" s="286"/>
      <c r="E818" s="286"/>
      <c r="F818" s="286"/>
      <c r="G818" s="286"/>
      <c r="H818" s="286"/>
      <c r="I818" s="286"/>
      <c r="J818" s="286"/>
      <c r="K818" s="286"/>
      <c r="L818" s="73"/>
      <c r="M818" s="57"/>
      <c r="N818" s="100"/>
      <c r="O818" s="101" t="s">
        <v>74</v>
      </c>
      <c r="P818" s="101"/>
      <c r="Q818" s="101"/>
      <c r="R818" s="101" t="str">
        <f t="shared" si="144"/>
        <v/>
      </c>
      <c r="S818" s="105"/>
      <c r="T818" s="101" t="s">
        <v>74</v>
      </c>
      <c r="U818" s="177"/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86"/>
      <c r="C819" s="286"/>
      <c r="D819" s="286"/>
      <c r="E819" s="286"/>
      <c r="F819" s="286"/>
      <c r="G819" s="286"/>
      <c r="H819" s="286"/>
      <c r="I819" s="286"/>
      <c r="J819" s="286"/>
      <c r="K819" s="286"/>
      <c r="L819" s="73"/>
      <c r="M819" s="57"/>
      <c r="N819" s="100"/>
      <c r="O819" s="101" t="s">
        <v>75</v>
      </c>
      <c r="P819" s="101"/>
      <c r="Q819" s="101"/>
      <c r="R819" s="101" t="str">
        <f t="shared" si="144"/>
        <v/>
      </c>
      <c r="S819" s="105"/>
      <c r="T819" s="101" t="s">
        <v>75</v>
      </c>
      <c r="U819" s="177"/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300" t="s">
        <v>57</v>
      </c>
      <c r="B822" s="301"/>
      <c r="C822" s="301"/>
      <c r="D822" s="301"/>
      <c r="E822" s="301"/>
      <c r="F822" s="301"/>
      <c r="G822" s="301"/>
      <c r="H822" s="301"/>
      <c r="I822" s="301"/>
      <c r="J822" s="301"/>
      <c r="K822" s="301"/>
      <c r="L822" s="302"/>
      <c r="M822" s="54"/>
      <c r="N822" s="93"/>
      <c r="O822" s="290" t="s">
        <v>59</v>
      </c>
      <c r="P822" s="291"/>
      <c r="Q822" s="291"/>
      <c r="R822" s="292"/>
      <c r="S822" s="94"/>
      <c r="T822" s="290" t="s">
        <v>60</v>
      </c>
      <c r="U822" s="291"/>
      <c r="V822" s="291"/>
      <c r="W822" s="291"/>
      <c r="X822" s="291"/>
      <c r="Y822" s="292"/>
      <c r="Z822" s="95"/>
      <c r="AA822" s="54"/>
    </row>
    <row r="823" spans="1:27" s="55" customFormat="1" ht="21" customHeight="1" x14ac:dyDescent="0.25">
      <c r="A823" s="56"/>
      <c r="B823" s="57"/>
      <c r="C823" s="293" t="s">
        <v>116</v>
      </c>
      <c r="D823" s="293"/>
      <c r="E823" s="293"/>
      <c r="F823" s="293"/>
      <c r="G823" s="58" t="str">
        <f>$J$1</f>
        <v>May</v>
      </c>
      <c r="H823" s="294">
        <f>$K$1</f>
        <v>2019</v>
      </c>
      <c r="I823" s="294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62</v>
      </c>
      <c r="P824" s="101">
        <v>25</v>
      </c>
      <c r="Q824" s="101">
        <v>6</v>
      </c>
      <c r="R824" s="101">
        <v>0</v>
      </c>
      <c r="S824" s="102"/>
      <c r="T824" s="101" t="s">
        <v>62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147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>
        <f>28-6</f>
        <v>22</v>
      </c>
      <c r="Q825" s="101">
        <v>6</v>
      </c>
      <c r="R825" s="101">
        <v>0</v>
      </c>
      <c r="S825" s="105"/>
      <c r="T825" s="101" t="s">
        <v>88</v>
      </c>
      <c r="U825" s="177"/>
      <c r="V825" s="103">
        <v>1000</v>
      </c>
      <c r="W825" s="103">
        <f>V825+U825</f>
        <v>1000</v>
      </c>
      <c r="X825" s="103">
        <v>1000</v>
      </c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95" t="s">
        <v>60</v>
      </c>
      <c r="G826" s="295"/>
      <c r="H826" s="57"/>
      <c r="I826" s="295" t="s">
        <v>61</v>
      </c>
      <c r="J826" s="295"/>
      <c r="K826" s="295"/>
      <c r="L826" s="73"/>
      <c r="M826" s="57"/>
      <c r="N826" s="100"/>
      <c r="O826" s="101" t="s">
        <v>63</v>
      </c>
      <c r="P826" s="101">
        <v>29</v>
      </c>
      <c r="Q826" s="101">
        <v>2</v>
      </c>
      <c r="R826" s="101">
        <v>0</v>
      </c>
      <c r="S826" s="105"/>
      <c r="T826" s="101" t="s">
        <v>63</v>
      </c>
      <c r="U826" s="177"/>
      <c r="V826" s="103">
        <v>2500</v>
      </c>
      <c r="W826" s="103">
        <f>V826+U826</f>
        <v>2500</v>
      </c>
      <c r="X826" s="103">
        <v>2500</v>
      </c>
      <c r="Y826" s="177">
        <f t="shared" ref="Y826:Y835" si="147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>
        <v>23</v>
      </c>
      <c r="Q827" s="101">
        <v>7</v>
      </c>
      <c r="R827" s="101">
        <v>0</v>
      </c>
      <c r="S827" s="105"/>
      <c r="T827" s="101" t="s">
        <v>64</v>
      </c>
      <c r="U827" s="177"/>
      <c r="V827" s="103">
        <v>2500</v>
      </c>
      <c r="W827" s="103">
        <f>V827+U827</f>
        <v>2500</v>
      </c>
      <c r="X827" s="103">
        <v>2500</v>
      </c>
      <c r="Y827" s="177">
        <f t="shared" si="147"/>
        <v>0</v>
      </c>
      <c r="Z827" s="106"/>
      <c r="AA827" s="57"/>
    </row>
    <row r="828" spans="1:27" s="55" customFormat="1" ht="21" customHeight="1" x14ac:dyDescent="0.25">
      <c r="A828" s="56"/>
      <c r="B828" s="296" t="s">
        <v>59</v>
      </c>
      <c r="C828" s="297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29</v>
      </c>
      <c r="J828" s="77" t="s">
        <v>78</v>
      </c>
      <c r="K828" s="78">
        <f>K824/$K$2*I828</f>
        <v>14967.741935483871</v>
      </c>
      <c r="L828" s="79"/>
      <c r="M828" s="57"/>
      <c r="N828" s="100"/>
      <c r="O828" s="101" t="s">
        <v>65</v>
      </c>
      <c r="P828" s="101">
        <v>29</v>
      </c>
      <c r="Q828" s="101">
        <v>2</v>
      </c>
      <c r="R828" s="101">
        <v>0</v>
      </c>
      <c r="S828" s="105"/>
      <c r="T828" s="101" t="s">
        <v>65</v>
      </c>
      <c r="U828" s="177"/>
      <c r="V828" s="103"/>
      <c r="W828" s="177" t="str">
        <f t="shared" ref="W828:W835" si="148">IF(U828="","",U828+V828)</f>
        <v/>
      </c>
      <c r="X828" s="103"/>
      <c r="Y828" s="177" t="str">
        <f t="shared" si="147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4"/>
      <c r="I829" s="120">
        <v>35</v>
      </c>
      <c r="J829" s="77" t="s">
        <v>79</v>
      </c>
      <c r="K829" s="80">
        <f>K824/$K$2/8*I829</f>
        <v>2258.0645161290322</v>
      </c>
      <c r="L829" s="81"/>
      <c r="M829" s="57"/>
      <c r="N829" s="100"/>
      <c r="O829" s="101" t="s">
        <v>66</v>
      </c>
      <c r="P829" s="101"/>
      <c r="Q829" s="101"/>
      <c r="R829" s="101" t="str">
        <f t="shared" ref="R829" si="149">IF(Q829="","",R828-Q829)</f>
        <v/>
      </c>
      <c r="S829" s="105"/>
      <c r="T829" s="101" t="s">
        <v>66</v>
      </c>
      <c r="U829" s="177"/>
      <c r="V829" s="103"/>
      <c r="W829" s="177" t="str">
        <f t="shared" si="148"/>
        <v/>
      </c>
      <c r="X829" s="103"/>
      <c r="Y829" s="177" t="str">
        <f t="shared" si="147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7"/>
      <c r="E830" s="57"/>
      <c r="F830" s="75" t="s">
        <v>82</v>
      </c>
      <c r="G830" s="70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4"/>
      <c r="I830" s="298" t="s">
        <v>86</v>
      </c>
      <c r="J830" s="299"/>
      <c r="K830" s="80">
        <f>K828+K829</f>
        <v>17225.806451612902</v>
      </c>
      <c r="L830" s="81"/>
      <c r="M830" s="57"/>
      <c r="N830" s="100"/>
      <c r="O830" s="101" t="s">
        <v>67</v>
      </c>
      <c r="P830" s="101"/>
      <c r="Q830" s="101"/>
      <c r="R830" s="101">
        <v>0</v>
      </c>
      <c r="S830" s="105"/>
      <c r="T830" s="101" t="s">
        <v>67</v>
      </c>
      <c r="U830" s="177"/>
      <c r="V830" s="103"/>
      <c r="W830" s="177" t="str">
        <f t="shared" si="148"/>
        <v/>
      </c>
      <c r="X830" s="103"/>
      <c r="Y830" s="177" t="str">
        <f t="shared" si="147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2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4"/>
      <c r="I831" s="298" t="s">
        <v>87</v>
      </c>
      <c r="J831" s="299"/>
      <c r="K831" s="70">
        <f>G831</f>
        <v>0</v>
      </c>
      <c r="L831" s="82"/>
      <c r="M831" s="57"/>
      <c r="N831" s="100"/>
      <c r="O831" s="101" t="s">
        <v>68</v>
      </c>
      <c r="P831" s="101"/>
      <c r="Q831" s="101"/>
      <c r="R831" s="101">
        <v>0</v>
      </c>
      <c r="S831" s="105"/>
      <c r="T831" s="101" t="s">
        <v>68</v>
      </c>
      <c r="U831" s="177" t="str">
        <f>IF($J$1="May",Y830,Y830)</f>
        <v/>
      </c>
      <c r="V831" s="103"/>
      <c r="W831" s="177" t="str">
        <f t="shared" si="148"/>
        <v/>
      </c>
      <c r="X831" s="103"/>
      <c r="Y831" s="177" t="str">
        <f t="shared" si="147"/>
        <v/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7"/>
      <c r="I832" s="284" t="s">
        <v>80</v>
      </c>
      <c r="J832" s="285"/>
      <c r="K832" s="84">
        <f>K830-K831</f>
        <v>17225.806451612902</v>
      </c>
      <c r="L832" s="85"/>
      <c r="M832" s="57"/>
      <c r="N832" s="100"/>
      <c r="O832" s="101" t="s">
        <v>73</v>
      </c>
      <c r="P832" s="101"/>
      <c r="Q832" s="101"/>
      <c r="R832" s="101">
        <v>0</v>
      </c>
      <c r="S832" s="105"/>
      <c r="T832" s="101" t="s">
        <v>73</v>
      </c>
      <c r="U832" s="177" t="str">
        <f>IF($J$1="May",Y831,Y831)</f>
        <v/>
      </c>
      <c r="V832" s="103"/>
      <c r="W832" s="177" t="str">
        <f t="shared" si="148"/>
        <v/>
      </c>
      <c r="X832" s="103"/>
      <c r="Y832" s="177" t="str">
        <f t="shared" si="147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69</v>
      </c>
      <c r="P833" s="101"/>
      <c r="Q833" s="101"/>
      <c r="R833" s="101">
        <v>0</v>
      </c>
      <c r="S833" s="105"/>
      <c r="T833" s="101" t="s">
        <v>69</v>
      </c>
      <c r="U833" s="177"/>
      <c r="V833" s="103"/>
      <c r="W833" s="177" t="str">
        <f t="shared" si="148"/>
        <v/>
      </c>
      <c r="X833" s="103"/>
      <c r="Y833" s="177" t="str">
        <f t="shared" si="147"/>
        <v/>
      </c>
      <c r="Z833" s="106"/>
      <c r="AA833" s="57"/>
    </row>
    <row r="834" spans="1:27" s="55" customFormat="1" ht="21" customHeight="1" x14ac:dyDescent="0.25">
      <c r="A834" s="56"/>
      <c r="B834" s="286" t="s">
        <v>118</v>
      </c>
      <c r="C834" s="286"/>
      <c r="D834" s="286"/>
      <c r="E834" s="286"/>
      <c r="F834" s="286"/>
      <c r="G834" s="286"/>
      <c r="H834" s="286"/>
      <c r="I834" s="286"/>
      <c r="J834" s="286"/>
      <c r="K834" s="286"/>
      <c r="L834" s="73"/>
      <c r="M834" s="57"/>
      <c r="N834" s="100"/>
      <c r="O834" s="101" t="s">
        <v>74</v>
      </c>
      <c r="P834" s="101"/>
      <c r="Q834" s="101"/>
      <c r="R834" s="101">
        <v>0</v>
      </c>
      <c r="S834" s="105"/>
      <c r="T834" s="101" t="s">
        <v>74</v>
      </c>
      <c r="U834" s="177" t="str">
        <f t="shared" ref="U834:U835" si="150">Y833</f>
        <v/>
      </c>
      <c r="V834" s="103"/>
      <c r="W834" s="177" t="str">
        <f t="shared" si="148"/>
        <v/>
      </c>
      <c r="X834" s="103"/>
      <c r="Y834" s="177" t="str">
        <f t="shared" si="147"/>
        <v/>
      </c>
      <c r="Z834" s="106"/>
      <c r="AA834" s="57"/>
    </row>
    <row r="835" spans="1:27" s="55" customFormat="1" ht="21" customHeight="1" x14ac:dyDescent="0.25">
      <c r="A835" s="56"/>
      <c r="B835" s="286"/>
      <c r="C835" s="286"/>
      <c r="D835" s="286"/>
      <c r="E835" s="286"/>
      <c r="F835" s="286"/>
      <c r="G835" s="286"/>
      <c r="H835" s="286"/>
      <c r="I835" s="286"/>
      <c r="J835" s="286"/>
      <c r="K835" s="286"/>
      <c r="L835" s="73"/>
      <c r="M835" s="57"/>
      <c r="N835" s="100"/>
      <c r="O835" s="101" t="s">
        <v>75</v>
      </c>
      <c r="P835" s="101"/>
      <c r="Q835" s="101"/>
      <c r="R835" s="101">
        <v>0</v>
      </c>
      <c r="S835" s="105"/>
      <c r="T835" s="101" t="s">
        <v>75</v>
      </c>
      <c r="U835" s="177" t="str">
        <f t="shared" si="150"/>
        <v/>
      </c>
      <c r="V835" s="103"/>
      <c r="W835" s="177" t="str">
        <f t="shared" si="148"/>
        <v/>
      </c>
      <c r="X835" s="103"/>
      <c r="Y835" s="177" t="str">
        <f t="shared" si="147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300" t="s">
        <v>57</v>
      </c>
      <c r="B838" s="301"/>
      <c r="C838" s="301"/>
      <c r="D838" s="301"/>
      <c r="E838" s="301"/>
      <c r="F838" s="301"/>
      <c r="G838" s="301"/>
      <c r="H838" s="301"/>
      <c r="I838" s="301"/>
      <c r="J838" s="301"/>
      <c r="K838" s="301"/>
      <c r="L838" s="302"/>
      <c r="M838" s="54"/>
      <c r="N838" s="93"/>
      <c r="O838" s="290" t="s">
        <v>59</v>
      </c>
      <c r="P838" s="291"/>
      <c r="Q838" s="291"/>
      <c r="R838" s="292"/>
      <c r="S838" s="94"/>
      <c r="T838" s="290" t="s">
        <v>60</v>
      </c>
      <c r="U838" s="291"/>
      <c r="V838" s="291"/>
      <c r="W838" s="291"/>
      <c r="X838" s="291"/>
      <c r="Y838" s="292"/>
      <c r="Z838" s="95"/>
      <c r="AA838" s="54"/>
    </row>
    <row r="839" spans="1:27" s="55" customFormat="1" ht="21" customHeight="1" x14ac:dyDescent="0.25">
      <c r="A839" s="56"/>
      <c r="B839" s="57"/>
      <c r="C839" s="293" t="s">
        <v>116</v>
      </c>
      <c r="D839" s="293"/>
      <c r="E839" s="293"/>
      <c r="F839" s="293"/>
      <c r="G839" s="58" t="str">
        <f>$J$1</f>
        <v>May</v>
      </c>
      <c r="H839" s="294">
        <f>$K$1</f>
        <v>2019</v>
      </c>
      <c r="I839" s="294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28</v>
      </c>
      <c r="Q840" s="101">
        <v>3</v>
      </c>
      <c r="R840" s="101">
        <f>15-Q840</f>
        <v>12</v>
      </c>
      <c r="S840" s="102"/>
      <c r="T840" s="101" t="s">
        <v>62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88</v>
      </c>
      <c r="U841" s="177">
        <f>Y840</f>
        <v>51500</v>
      </c>
      <c r="V841" s="103"/>
      <c r="W841" s="177">
        <f>IF(U841="","",U841+V841)</f>
        <v>51500</v>
      </c>
      <c r="X841" s="103">
        <v>1500</v>
      </c>
      <c r="Y841" s="177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95" t="s">
        <v>60</v>
      </c>
      <c r="G842" s="295"/>
      <c r="H842" s="57"/>
      <c r="I842" s="295" t="s">
        <v>61</v>
      </c>
      <c r="J842" s="295"/>
      <c r="K842" s="295"/>
      <c r="L842" s="73"/>
      <c r="M842" s="57"/>
      <c r="N842" s="100"/>
      <c r="O842" s="101" t="s">
        <v>63</v>
      </c>
      <c r="P842" s="101">
        <v>26</v>
      </c>
      <c r="Q842" s="101">
        <v>5</v>
      </c>
      <c r="R842" s="101">
        <f t="shared" ref="R842:R851" si="151">IF(Q842="","",R841-Q842)</f>
        <v>7</v>
      </c>
      <c r="S842" s="105"/>
      <c r="T842" s="101" t="s">
        <v>63</v>
      </c>
      <c r="U842" s="177">
        <f>Y841</f>
        <v>50000</v>
      </c>
      <c r="V842" s="103"/>
      <c r="W842" s="177">
        <f t="shared" ref="W842:W851" si="152">IF(U842="","",U842+V842)</f>
        <v>50000</v>
      </c>
      <c r="X842" s="103">
        <v>5000</v>
      </c>
      <c r="Y842" s="177">
        <f t="shared" ref="Y842:Y851" si="153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>
        <v>30</v>
      </c>
      <c r="Q843" s="101">
        <v>0</v>
      </c>
      <c r="R843" s="101">
        <f t="shared" si="151"/>
        <v>7</v>
      </c>
      <c r="S843" s="105"/>
      <c r="T843" s="101" t="s">
        <v>64</v>
      </c>
      <c r="U843" s="177">
        <f>Y842</f>
        <v>45000</v>
      </c>
      <c r="V843" s="103"/>
      <c r="W843" s="177">
        <f t="shared" si="152"/>
        <v>45000</v>
      </c>
      <c r="X843" s="103"/>
      <c r="Y843" s="177">
        <f t="shared" si="153"/>
        <v>45000</v>
      </c>
      <c r="Z843" s="106"/>
      <c r="AA843" s="57"/>
    </row>
    <row r="844" spans="1:27" s="55" customFormat="1" ht="21" customHeight="1" x14ac:dyDescent="0.25">
      <c r="A844" s="56"/>
      <c r="B844" s="296" t="s">
        <v>59</v>
      </c>
      <c r="C844" s="297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45000</v>
      </c>
      <c r="H844" s="74"/>
      <c r="I844" s="76">
        <f>IF(C848&gt;0,$K$2,C846)</f>
        <v>31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>
        <v>31</v>
      </c>
      <c r="Q844" s="101">
        <v>0</v>
      </c>
      <c r="R844" s="101">
        <f t="shared" si="151"/>
        <v>7</v>
      </c>
      <c r="S844" s="105"/>
      <c r="T844" s="101" t="s">
        <v>65</v>
      </c>
      <c r="U844" s="177">
        <f>Y843</f>
        <v>45000</v>
      </c>
      <c r="V844" s="103"/>
      <c r="W844" s="177">
        <f t="shared" si="152"/>
        <v>45000</v>
      </c>
      <c r="X844" s="103"/>
      <c r="Y844" s="177">
        <f t="shared" si="153"/>
        <v>45000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2.25</v>
      </c>
      <c r="J845" s="77" t="s">
        <v>79</v>
      </c>
      <c r="K845" s="80">
        <f>K840/$K$2/8*I845</f>
        <v>199.59677419354838</v>
      </c>
      <c r="L845" s="81"/>
      <c r="M845" s="57"/>
      <c r="N845" s="100"/>
      <c r="O845" s="101" t="s">
        <v>66</v>
      </c>
      <c r="P845" s="101"/>
      <c r="Q845" s="101"/>
      <c r="R845" s="101" t="str">
        <f t="shared" si="151"/>
        <v/>
      </c>
      <c r="S845" s="105"/>
      <c r="T845" s="101" t="s">
        <v>66</v>
      </c>
      <c r="U845" s="177"/>
      <c r="V845" s="103"/>
      <c r="W845" s="177" t="str">
        <f t="shared" si="152"/>
        <v/>
      </c>
      <c r="X845" s="103"/>
      <c r="Y845" s="177" t="str">
        <f t="shared" si="153"/>
        <v/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31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45000</v>
      </c>
      <c r="H846" s="74"/>
      <c r="I846" s="298" t="s">
        <v>86</v>
      </c>
      <c r="J846" s="299"/>
      <c r="K846" s="80">
        <f>K844+K845</f>
        <v>22199.596774193549</v>
      </c>
      <c r="L846" s="81"/>
      <c r="M846" s="57"/>
      <c r="N846" s="100"/>
      <c r="O846" s="101" t="s">
        <v>67</v>
      </c>
      <c r="P846" s="101"/>
      <c r="Q846" s="101"/>
      <c r="R846" s="101" t="str">
        <f t="shared" si="151"/>
        <v/>
      </c>
      <c r="S846" s="105"/>
      <c r="T846" s="101" t="s">
        <v>67</v>
      </c>
      <c r="U846" s="177"/>
      <c r="V846" s="103"/>
      <c r="W846" s="177" t="str">
        <f t="shared" si="152"/>
        <v/>
      </c>
      <c r="X846" s="103"/>
      <c r="Y846" s="177" t="str">
        <f t="shared" si="153"/>
        <v/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4"/>
      <c r="I847" s="298" t="s">
        <v>87</v>
      </c>
      <c r="J847" s="299"/>
      <c r="K847" s="70">
        <f>G847</f>
        <v>0</v>
      </c>
      <c r="L847" s="82"/>
      <c r="M847" s="57"/>
      <c r="N847" s="100"/>
      <c r="O847" s="101" t="s">
        <v>68</v>
      </c>
      <c r="P847" s="101"/>
      <c r="Q847" s="101"/>
      <c r="R847" s="101" t="str">
        <f t="shared" si="151"/>
        <v/>
      </c>
      <c r="S847" s="105"/>
      <c r="T847" s="101" t="s">
        <v>68</v>
      </c>
      <c r="U847" s="177"/>
      <c r="V847" s="103"/>
      <c r="W847" s="177" t="str">
        <f t="shared" si="152"/>
        <v/>
      </c>
      <c r="X847" s="103"/>
      <c r="Y847" s="177" t="str">
        <f t="shared" si="153"/>
        <v/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7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45000</v>
      </c>
      <c r="H848" s="57"/>
      <c r="I848" s="284" t="s">
        <v>80</v>
      </c>
      <c r="J848" s="285"/>
      <c r="K848" s="84">
        <f>K846-K847</f>
        <v>22199.596774193549</v>
      </c>
      <c r="L848" s="85"/>
      <c r="M848" s="57"/>
      <c r="N848" s="100"/>
      <c r="O848" s="101" t="s">
        <v>73</v>
      </c>
      <c r="P848" s="101"/>
      <c r="Q848" s="101"/>
      <c r="R848" s="101" t="str">
        <f t="shared" si="151"/>
        <v/>
      </c>
      <c r="S848" s="105"/>
      <c r="T848" s="101" t="s">
        <v>73</v>
      </c>
      <c r="U848" s="177"/>
      <c r="V848" s="103"/>
      <c r="W848" s="177" t="str">
        <f t="shared" si="152"/>
        <v/>
      </c>
      <c r="X848" s="103"/>
      <c r="Y848" s="177" t="str">
        <f t="shared" si="153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/>
      <c r="Q849" s="101"/>
      <c r="R849" s="101" t="str">
        <f t="shared" si="151"/>
        <v/>
      </c>
      <c r="S849" s="105"/>
      <c r="T849" s="101" t="s">
        <v>69</v>
      </c>
      <c r="U849" s="177"/>
      <c r="V849" s="103"/>
      <c r="W849" s="177" t="str">
        <f t="shared" si="152"/>
        <v/>
      </c>
      <c r="X849" s="103"/>
      <c r="Y849" s="177" t="str">
        <f t="shared" si="153"/>
        <v/>
      </c>
      <c r="Z849" s="106"/>
      <c r="AA849" s="57"/>
    </row>
    <row r="850" spans="1:27" s="55" customFormat="1" ht="21" customHeight="1" x14ac:dyDescent="0.25">
      <c r="A850" s="56"/>
      <c r="B850" s="286" t="s">
        <v>118</v>
      </c>
      <c r="C850" s="286"/>
      <c r="D850" s="286"/>
      <c r="E850" s="286"/>
      <c r="F850" s="286"/>
      <c r="G850" s="286"/>
      <c r="H850" s="286"/>
      <c r="I850" s="286"/>
      <c r="J850" s="286"/>
      <c r="K850" s="286"/>
      <c r="L850" s="73"/>
      <c r="M850" s="57"/>
      <c r="N850" s="100"/>
      <c r="O850" s="101" t="s">
        <v>74</v>
      </c>
      <c r="P850" s="101"/>
      <c r="Q850" s="101"/>
      <c r="R850" s="101" t="str">
        <f t="shared" si="151"/>
        <v/>
      </c>
      <c r="S850" s="105"/>
      <c r="T850" s="101" t="s">
        <v>74</v>
      </c>
      <c r="U850" s="177"/>
      <c r="V850" s="103"/>
      <c r="W850" s="177" t="str">
        <f t="shared" si="152"/>
        <v/>
      </c>
      <c r="X850" s="103"/>
      <c r="Y850" s="177" t="str">
        <f t="shared" si="153"/>
        <v/>
      </c>
      <c r="Z850" s="106"/>
      <c r="AA850" s="57"/>
    </row>
    <row r="851" spans="1:27" s="55" customFormat="1" ht="21" customHeight="1" x14ac:dyDescent="0.25">
      <c r="A851" s="56"/>
      <c r="B851" s="286"/>
      <c r="C851" s="286"/>
      <c r="D851" s="286"/>
      <c r="E851" s="286"/>
      <c r="F851" s="286"/>
      <c r="G851" s="286"/>
      <c r="H851" s="286"/>
      <c r="I851" s="286"/>
      <c r="J851" s="286"/>
      <c r="K851" s="286"/>
      <c r="L851" s="73"/>
      <c r="M851" s="57"/>
      <c r="N851" s="100"/>
      <c r="O851" s="101" t="s">
        <v>75</v>
      </c>
      <c r="P851" s="101"/>
      <c r="Q851" s="101"/>
      <c r="R851" s="101" t="str">
        <f t="shared" si="151"/>
        <v/>
      </c>
      <c r="S851" s="105"/>
      <c r="T851" s="101" t="s">
        <v>75</v>
      </c>
      <c r="U851" s="177"/>
      <c r="V851" s="103"/>
      <c r="W851" s="177" t="str">
        <f t="shared" si="152"/>
        <v/>
      </c>
      <c r="X851" s="103"/>
      <c r="Y851" s="177" t="str">
        <f t="shared" si="153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00" t="s">
        <v>57</v>
      </c>
      <c r="B854" s="301"/>
      <c r="C854" s="301"/>
      <c r="D854" s="301"/>
      <c r="E854" s="301"/>
      <c r="F854" s="301"/>
      <c r="G854" s="301"/>
      <c r="H854" s="301"/>
      <c r="I854" s="301"/>
      <c r="J854" s="301"/>
      <c r="K854" s="301"/>
      <c r="L854" s="302"/>
      <c r="M854" s="54"/>
      <c r="N854" s="93"/>
      <c r="O854" s="290" t="s">
        <v>59</v>
      </c>
      <c r="P854" s="291"/>
      <c r="Q854" s="291"/>
      <c r="R854" s="292"/>
      <c r="S854" s="94"/>
      <c r="T854" s="290" t="s">
        <v>60</v>
      </c>
      <c r="U854" s="291"/>
      <c r="V854" s="291"/>
      <c r="W854" s="291"/>
      <c r="X854" s="291"/>
      <c r="Y854" s="292"/>
      <c r="Z854" s="95"/>
      <c r="AA854" s="54"/>
    </row>
    <row r="855" spans="1:27" s="55" customFormat="1" ht="21" customHeight="1" x14ac:dyDescent="0.25">
      <c r="A855" s="56"/>
      <c r="B855" s="57"/>
      <c r="C855" s="293" t="s">
        <v>116</v>
      </c>
      <c r="D855" s="293"/>
      <c r="E855" s="293"/>
      <c r="F855" s="293"/>
      <c r="G855" s="58" t="str">
        <f>$J$1</f>
        <v>May</v>
      </c>
      <c r="H855" s="294">
        <f>$K$1</f>
        <v>2019</v>
      </c>
      <c r="I855" s="294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f>25000+3000</f>
        <v>28000</v>
      </c>
      <c r="L856" s="65"/>
      <c r="M856" s="57"/>
      <c r="N856" s="100"/>
      <c r="O856" s="101" t="s">
        <v>62</v>
      </c>
      <c r="P856" s="101">
        <v>30</v>
      </c>
      <c r="Q856" s="101">
        <v>1</v>
      </c>
      <c r="R856" s="101">
        <f>26-Q856</f>
        <v>25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88</v>
      </c>
      <c r="U857" s="177">
        <f>Y856</f>
        <v>17000</v>
      </c>
      <c r="V857" s="103"/>
      <c r="W857" s="177">
        <f>IF(U857="","",U857+V857)</f>
        <v>17000</v>
      </c>
      <c r="X857" s="103"/>
      <c r="Y857" s="177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95" t="s">
        <v>60</v>
      </c>
      <c r="G858" s="295"/>
      <c r="H858" s="57"/>
      <c r="I858" s="295" t="s">
        <v>61</v>
      </c>
      <c r="J858" s="295"/>
      <c r="K858" s="295"/>
      <c r="L858" s="73"/>
      <c r="M858" s="57"/>
      <c r="N858" s="100"/>
      <c r="O858" s="101" t="s">
        <v>63</v>
      </c>
      <c r="P858" s="101">
        <v>30</v>
      </c>
      <c r="Q858" s="101">
        <v>1</v>
      </c>
      <c r="R858" s="101">
        <f t="shared" ref="R858:R867" si="154">IF(Q858="","",R857-Q858)</f>
        <v>24</v>
      </c>
      <c r="S858" s="105"/>
      <c r="T858" s="101" t="s">
        <v>63</v>
      </c>
      <c r="U858" s="177">
        <f>Y857</f>
        <v>17000</v>
      </c>
      <c r="V858" s="103"/>
      <c r="W858" s="177">
        <f t="shared" ref="W858:W867" si="155">IF(U858="","",U858+V858)</f>
        <v>17000</v>
      </c>
      <c r="X858" s="103">
        <v>3000</v>
      </c>
      <c r="Y858" s="177">
        <f t="shared" ref="Y858:Y867" si="156">IF(W858="","",W858-X858)</f>
        <v>14000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>
        <v>30</v>
      </c>
      <c r="Q859" s="101">
        <v>0</v>
      </c>
      <c r="R859" s="101">
        <f t="shared" si="154"/>
        <v>24</v>
      </c>
      <c r="S859" s="105"/>
      <c r="T859" s="101" t="s">
        <v>64</v>
      </c>
      <c r="U859" s="177">
        <f>Y858</f>
        <v>14000</v>
      </c>
      <c r="V859" s="103"/>
      <c r="W859" s="177">
        <f t="shared" si="155"/>
        <v>14000</v>
      </c>
      <c r="X859" s="103">
        <v>3000</v>
      </c>
      <c r="Y859" s="177">
        <f t="shared" si="156"/>
        <v>11000</v>
      </c>
      <c r="Z859" s="106"/>
      <c r="AA859" s="57"/>
    </row>
    <row r="860" spans="1:27" s="55" customFormat="1" ht="21" customHeight="1" x14ac:dyDescent="0.25">
      <c r="A860" s="56"/>
      <c r="B860" s="296" t="s">
        <v>59</v>
      </c>
      <c r="C860" s="297"/>
      <c r="D860" s="57"/>
      <c r="E860" s="57"/>
      <c r="F860" s="75" t="s">
        <v>81</v>
      </c>
      <c r="G860" s="196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11000</v>
      </c>
      <c r="H860" s="74"/>
      <c r="I860" s="76">
        <f>IF(C864&gt;=C863,$K$2,C862+C864)</f>
        <v>31</v>
      </c>
      <c r="J860" s="77" t="s">
        <v>78</v>
      </c>
      <c r="K860" s="78">
        <f>K856/$K$2*I860</f>
        <v>28000</v>
      </c>
      <c r="L860" s="79"/>
      <c r="M860" s="57"/>
      <c r="N860" s="100"/>
      <c r="O860" s="101" t="s">
        <v>65</v>
      </c>
      <c r="P860" s="101">
        <v>30</v>
      </c>
      <c r="Q860" s="101">
        <v>1</v>
      </c>
      <c r="R860" s="101">
        <f t="shared" si="154"/>
        <v>23</v>
      </c>
      <c r="S860" s="105"/>
      <c r="T860" s="101" t="s">
        <v>65</v>
      </c>
      <c r="U860" s="177">
        <f>Y859</f>
        <v>11000</v>
      </c>
      <c r="V860" s="103">
        <v>50000</v>
      </c>
      <c r="W860" s="177">
        <f t="shared" si="155"/>
        <v>61000</v>
      </c>
      <c r="X860" s="103">
        <v>3000</v>
      </c>
      <c r="Y860" s="177">
        <f t="shared" si="156"/>
        <v>58000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6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50000</v>
      </c>
      <c r="H861" s="74"/>
      <c r="I861" s="120">
        <v>29</v>
      </c>
      <c r="J861" s="77" t="s">
        <v>79</v>
      </c>
      <c r="K861" s="80">
        <f>K856/$K$2/8*I861</f>
        <v>3274.1935483870971</v>
      </c>
      <c r="L861" s="81"/>
      <c r="M861" s="57"/>
      <c r="N861" s="100"/>
      <c r="O861" s="101" t="s">
        <v>66</v>
      </c>
      <c r="P861" s="101"/>
      <c r="Q861" s="101"/>
      <c r="R861" s="101" t="str">
        <f t="shared" si="154"/>
        <v/>
      </c>
      <c r="S861" s="105"/>
      <c r="T861" s="101" t="s">
        <v>66</v>
      </c>
      <c r="U861" s="177"/>
      <c r="V861" s="103">
        <f>28500-28274</f>
        <v>226</v>
      </c>
      <c r="W861" s="177" t="str">
        <f t="shared" si="155"/>
        <v/>
      </c>
      <c r="X861" s="103"/>
      <c r="Y861" s="177" t="str">
        <f t="shared" si="156"/>
        <v/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82</v>
      </c>
      <c r="G862" s="196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61000</v>
      </c>
      <c r="H862" s="74"/>
      <c r="I862" s="298" t="s">
        <v>86</v>
      </c>
      <c r="J862" s="299"/>
      <c r="K862" s="80">
        <f>K860+K861</f>
        <v>31274.193548387098</v>
      </c>
      <c r="L862" s="81"/>
      <c r="M862" s="57"/>
      <c r="N862" s="100"/>
      <c r="O862" s="101" t="s">
        <v>67</v>
      </c>
      <c r="P862" s="101"/>
      <c r="Q862" s="101"/>
      <c r="R862" s="101" t="str">
        <f t="shared" si="154"/>
        <v/>
      </c>
      <c r="S862" s="105"/>
      <c r="T862" s="101" t="s">
        <v>67</v>
      </c>
      <c r="U862" s="177"/>
      <c r="V862" s="103"/>
      <c r="W862" s="177" t="str">
        <f t="shared" si="155"/>
        <v/>
      </c>
      <c r="X862" s="103"/>
      <c r="Y862" s="177" t="str">
        <f t="shared" si="156"/>
        <v/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196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4"/>
      <c r="I863" s="298" t="s">
        <v>87</v>
      </c>
      <c r="J863" s="299"/>
      <c r="K863" s="70">
        <f>G863</f>
        <v>3000</v>
      </c>
      <c r="L863" s="82"/>
      <c r="M863" s="57"/>
      <c r="N863" s="100"/>
      <c r="O863" s="101" t="s">
        <v>68</v>
      </c>
      <c r="P863" s="101"/>
      <c r="Q863" s="101"/>
      <c r="R863" s="101" t="str">
        <f t="shared" si="154"/>
        <v/>
      </c>
      <c r="S863" s="105"/>
      <c r="T863" s="101" t="s">
        <v>68</v>
      </c>
      <c r="U863" s="177"/>
      <c r="V863" s="103"/>
      <c r="W863" s="177" t="str">
        <f t="shared" si="155"/>
        <v/>
      </c>
      <c r="X863" s="103"/>
      <c r="Y863" s="177" t="str">
        <f t="shared" si="156"/>
        <v/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23</v>
      </c>
      <c r="D864" s="57"/>
      <c r="E864" s="57"/>
      <c r="F864" s="75" t="s">
        <v>84</v>
      </c>
      <c r="G864" s="196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58000</v>
      </c>
      <c r="H864" s="57"/>
      <c r="I864" s="284" t="s">
        <v>80</v>
      </c>
      <c r="J864" s="285"/>
      <c r="K864" s="84">
        <f>K862-K863</f>
        <v>28274.193548387098</v>
      </c>
      <c r="L864" s="85"/>
      <c r="M864" s="57"/>
      <c r="N864" s="100"/>
      <c r="O864" s="101" t="s">
        <v>73</v>
      </c>
      <c r="P864" s="101"/>
      <c r="Q864" s="101"/>
      <c r="R864" s="101" t="str">
        <f t="shared" si="154"/>
        <v/>
      </c>
      <c r="S864" s="105"/>
      <c r="T864" s="101" t="s">
        <v>73</v>
      </c>
      <c r="U864" s="177"/>
      <c r="V864" s="103"/>
      <c r="W864" s="177" t="str">
        <f t="shared" si="155"/>
        <v/>
      </c>
      <c r="X864" s="103"/>
      <c r="Y864" s="177" t="str">
        <f t="shared" si="156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8"/>
      <c r="J865" s="57"/>
      <c r="K865" s="57"/>
      <c r="L865" s="73"/>
      <c r="M865" s="57"/>
      <c r="N865" s="100"/>
      <c r="O865" s="101" t="s">
        <v>69</v>
      </c>
      <c r="P865" s="101"/>
      <c r="Q865" s="101"/>
      <c r="R865" s="101" t="str">
        <f t="shared" si="154"/>
        <v/>
      </c>
      <c r="S865" s="105"/>
      <c r="T865" s="101" t="s">
        <v>69</v>
      </c>
      <c r="U865" s="177"/>
      <c r="V865" s="103"/>
      <c r="W865" s="177" t="str">
        <f t="shared" si="155"/>
        <v/>
      </c>
      <c r="X865" s="103"/>
      <c r="Y865" s="177" t="str">
        <f t="shared" si="156"/>
        <v/>
      </c>
      <c r="Z865" s="106"/>
      <c r="AA865" s="57"/>
    </row>
    <row r="866" spans="1:27" s="55" customFormat="1" ht="21" customHeight="1" x14ac:dyDescent="0.25">
      <c r="A866" s="56"/>
      <c r="B866" s="286"/>
      <c r="C866" s="286"/>
      <c r="D866" s="286"/>
      <c r="E866" s="286"/>
      <c r="F866" s="286"/>
      <c r="G866" s="286"/>
      <c r="H866" s="286"/>
      <c r="I866" s="286"/>
      <c r="J866" s="286"/>
      <c r="K866" s="286"/>
      <c r="L866" s="73"/>
      <c r="M866" s="57"/>
      <c r="N866" s="100"/>
      <c r="O866" s="101" t="s">
        <v>74</v>
      </c>
      <c r="P866" s="101"/>
      <c r="Q866" s="101"/>
      <c r="R866" s="101" t="str">
        <f t="shared" si="154"/>
        <v/>
      </c>
      <c r="S866" s="105"/>
      <c r="T866" s="101" t="s">
        <v>74</v>
      </c>
      <c r="U866" s="177"/>
      <c r="V866" s="103"/>
      <c r="W866" s="177" t="str">
        <f t="shared" si="155"/>
        <v/>
      </c>
      <c r="X866" s="103"/>
      <c r="Y866" s="177" t="str">
        <f t="shared" si="156"/>
        <v/>
      </c>
      <c r="Z866" s="106"/>
      <c r="AA866" s="57"/>
    </row>
    <row r="867" spans="1:27" s="55" customFormat="1" ht="21" customHeight="1" x14ac:dyDescent="0.25">
      <c r="A867" s="56"/>
      <c r="B867" s="286"/>
      <c r="C867" s="286"/>
      <c r="D867" s="286"/>
      <c r="E867" s="286"/>
      <c r="F867" s="286"/>
      <c r="G867" s="286"/>
      <c r="H867" s="286"/>
      <c r="I867" s="286"/>
      <c r="J867" s="286"/>
      <c r="K867" s="286"/>
      <c r="L867" s="73"/>
      <c r="M867" s="57"/>
      <c r="N867" s="100"/>
      <c r="O867" s="101" t="s">
        <v>75</v>
      </c>
      <c r="P867" s="101"/>
      <c r="Q867" s="101"/>
      <c r="R867" s="101" t="str">
        <f t="shared" si="154"/>
        <v/>
      </c>
      <c r="S867" s="105"/>
      <c r="T867" s="101" t="s">
        <v>75</v>
      </c>
      <c r="U867" s="177"/>
      <c r="V867" s="103"/>
      <c r="W867" s="177" t="str">
        <f t="shared" si="155"/>
        <v/>
      </c>
      <c r="X867" s="103"/>
      <c r="Y867" s="177" t="str">
        <f t="shared" si="156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300" t="s">
        <v>57</v>
      </c>
      <c r="B870" s="301"/>
      <c r="C870" s="301"/>
      <c r="D870" s="301"/>
      <c r="E870" s="301"/>
      <c r="F870" s="301"/>
      <c r="G870" s="301"/>
      <c r="H870" s="301"/>
      <c r="I870" s="301"/>
      <c r="J870" s="301"/>
      <c r="K870" s="301"/>
      <c r="L870" s="302"/>
      <c r="M870" s="54"/>
      <c r="N870" s="93"/>
      <c r="O870" s="290" t="s">
        <v>59</v>
      </c>
      <c r="P870" s="291"/>
      <c r="Q870" s="291"/>
      <c r="R870" s="292"/>
      <c r="S870" s="94"/>
      <c r="T870" s="290" t="s">
        <v>60</v>
      </c>
      <c r="U870" s="291"/>
      <c r="V870" s="291"/>
      <c r="W870" s="291"/>
      <c r="X870" s="291"/>
      <c r="Y870" s="292"/>
      <c r="Z870" s="95"/>
      <c r="AA870" s="54"/>
    </row>
    <row r="871" spans="1:27" s="55" customFormat="1" ht="21" customHeight="1" x14ac:dyDescent="0.25">
      <c r="A871" s="56"/>
      <c r="B871" s="57"/>
      <c r="C871" s="293" t="s">
        <v>116</v>
      </c>
      <c r="D871" s="293"/>
      <c r="E871" s="293"/>
      <c r="F871" s="293"/>
      <c r="G871" s="58" t="str">
        <f>$J$1</f>
        <v>May</v>
      </c>
      <c r="H871" s="294">
        <f>$K$1</f>
        <v>2019</v>
      </c>
      <c r="I871" s="294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31</v>
      </c>
      <c r="Q872" s="101">
        <v>0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>
        <v>28</v>
      </c>
      <c r="Q873" s="101">
        <v>0</v>
      </c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95" t="s">
        <v>60</v>
      </c>
      <c r="G874" s="295"/>
      <c r="H874" s="57"/>
      <c r="I874" s="295" t="s">
        <v>61</v>
      </c>
      <c r="J874" s="295"/>
      <c r="K874" s="295"/>
      <c r="L874" s="73"/>
      <c r="M874" s="57"/>
      <c r="N874" s="100"/>
      <c r="O874" s="101" t="s">
        <v>63</v>
      </c>
      <c r="P874" s="101">
        <v>31</v>
      </c>
      <c r="Q874" s="101">
        <v>0</v>
      </c>
      <c r="R874" s="101">
        <f t="shared" ref="R874:R883" si="157">IF(Q874="","",R873-Q874)</f>
        <v>0</v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58">IF(U874="","",U874+V874)</f>
        <v>0</v>
      </c>
      <c r="X874" s="103"/>
      <c r="Y874" s="177">
        <f t="shared" ref="Y874:Y883" si="159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>
        <v>30</v>
      </c>
      <c r="Q875" s="101">
        <v>0</v>
      </c>
      <c r="R875" s="101">
        <f t="shared" si="157"/>
        <v>0</v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58"/>
        <v>0</v>
      </c>
      <c r="X875" s="103"/>
      <c r="Y875" s="177">
        <f t="shared" si="159"/>
        <v>0</v>
      </c>
      <c r="Z875" s="106"/>
      <c r="AA875" s="57"/>
    </row>
    <row r="876" spans="1:27" s="55" customFormat="1" ht="21" customHeight="1" x14ac:dyDescent="0.25">
      <c r="A876" s="56"/>
      <c r="B876" s="296" t="s">
        <v>59</v>
      </c>
      <c r="C876" s="297"/>
      <c r="D876" s="57"/>
      <c r="E876" s="57"/>
      <c r="F876" s="75" t="s">
        <v>81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31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>
        <v>31</v>
      </c>
      <c r="Q876" s="101">
        <v>0</v>
      </c>
      <c r="R876" s="101">
        <f t="shared" si="157"/>
        <v>0</v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58"/>
        <v>0</v>
      </c>
      <c r="X876" s="103"/>
      <c r="Y876" s="177">
        <f t="shared" si="159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49</v>
      </c>
      <c r="J877" s="77" t="s">
        <v>79</v>
      </c>
      <c r="K877" s="80">
        <f>K872/$K$2/8*I877</f>
        <v>3358.8709677419356</v>
      </c>
      <c r="L877" s="81"/>
      <c r="M877" s="57"/>
      <c r="N877" s="100"/>
      <c r="O877" s="101" t="s">
        <v>66</v>
      </c>
      <c r="P877" s="101"/>
      <c r="Q877" s="101"/>
      <c r="R877" s="101" t="str">
        <f t="shared" si="157"/>
        <v/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58"/>
        <v>0</v>
      </c>
      <c r="X877" s="103"/>
      <c r="Y877" s="177">
        <f t="shared" si="159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82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98" t="s">
        <v>86</v>
      </c>
      <c r="J878" s="299"/>
      <c r="K878" s="80">
        <f>K876+K877</f>
        <v>20358.870967741936</v>
      </c>
      <c r="L878" s="81"/>
      <c r="M878" s="57"/>
      <c r="N878" s="100"/>
      <c r="O878" s="101" t="s">
        <v>67</v>
      </c>
      <c r="P878" s="101"/>
      <c r="Q878" s="101"/>
      <c r="R878" s="101" t="str">
        <f t="shared" si="157"/>
        <v/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58"/>
        <v/>
      </c>
      <c r="X878" s="103"/>
      <c r="Y878" s="177" t="str">
        <f t="shared" si="159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98" t="s">
        <v>87</v>
      </c>
      <c r="J879" s="299"/>
      <c r="K879" s="70">
        <f>G879</f>
        <v>0</v>
      </c>
      <c r="L879" s="82"/>
      <c r="M879" s="57"/>
      <c r="N879" s="100"/>
      <c r="O879" s="101" t="s">
        <v>68</v>
      </c>
      <c r="P879" s="101"/>
      <c r="Q879" s="101"/>
      <c r="R879" s="101" t="str">
        <f t="shared" si="157"/>
        <v/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58"/>
        <v/>
      </c>
      <c r="X879" s="103"/>
      <c r="Y879" s="177" t="str">
        <f t="shared" si="159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84" t="s">
        <v>80</v>
      </c>
      <c r="J880" s="285"/>
      <c r="K880" s="84">
        <f>K878-K879</f>
        <v>20358.870967741936</v>
      </c>
      <c r="L880" s="85"/>
      <c r="M880" s="57"/>
      <c r="N880" s="100"/>
      <c r="O880" s="101" t="s">
        <v>73</v>
      </c>
      <c r="P880" s="101"/>
      <c r="Q880" s="101"/>
      <c r="R880" s="101" t="str">
        <f t="shared" si="157"/>
        <v/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58"/>
        <v/>
      </c>
      <c r="X880" s="103"/>
      <c r="Y880" s="177" t="str">
        <f t="shared" si="159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/>
      <c r="Q881" s="101"/>
      <c r="R881" s="101" t="str">
        <f t="shared" si="157"/>
        <v/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58"/>
        <v/>
      </c>
      <c r="X881" s="103"/>
      <c r="Y881" s="177" t="str">
        <f t="shared" si="159"/>
        <v/>
      </c>
      <c r="Z881" s="106"/>
      <c r="AA881" s="57"/>
    </row>
    <row r="882" spans="1:27" s="55" customFormat="1" ht="21" customHeight="1" x14ac:dyDescent="0.25">
      <c r="A882" s="56"/>
      <c r="B882" s="286" t="s">
        <v>118</v>
      </c>
      <c r="C882" s="286"/>
      <c r="D882" s="286"/>
      <c r="E882" s="286"/>
      <c r="F882" s="286"/>
      <c r="G882" s="286"/>
      <c r="H882" s="286"/>
      <c r="I882" s="286"/>
      <c r="J882" s="286"/>
      <c r="K882" s="286"/>
      <c r="L882" s="73"/>
      <c r="M882" s="57"/>
      <c r="N882" s="100"/>
      <c r="O882" s="101" t="s">
        <v>74</v>
      </c>
      <c r="P882" s="101"/>
      <c r="Q882" s="101"/>
      <c r="R882" s="101" t="str">
        <f t="shared" si="157"/>
        <v/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58"/>
        <v/>
      </c>
      <c r="X882" s="103"/>
      <c r="Y882" s="177" t="str">
        <f t="shared" si="159"/>
        <v/>
      </c>
      <c r="Z882" s="106"/>
      <c r="AA882" s="57"/>
    </row>
    <row r="883" spans="1:27" s="55" customFormat="1" ht="21" customHeight="1" x14ac:dyDescent="0.25">
      <c r="A883" s="56"/>
      <c r="B883" s="286"/>
      <c r="C883" s="286"/>
      <c r="D883" s="286"/>
      <c r="E883" s="286"/>
      <c r="F883" s="286"/>
      <c r="G883" s="286"/>
      <c r="H883" s="286"/>
      <c r="I883" s="286"/>
      <c r="J883" s="286"/>
      <c r="K883" s="286"/>
      <c r="L883" s="73"/>
      <c r="M883" s="57"/>
      <c r="N883" s="100"/>
      <c r="O883" s="101" t="s">
        <v>75</v>
      </c>
      <c r="P883" s="101"/>
      <c r="Q883" s="101"/>
      <c r="R883" s="101" t="str">
        <f t="shared" si="157"/>
        <v/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58"/>
        <v/>
      </c>
      <c r="X883" s="103"/>
      <c r="Y883" s="177" t="str">
        <f t="shared" si="159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27" t="s">
        <v>57</v>
      </c>
      <c r="B886" s="328"/>
      <c r="C886" s="328"/>
      <c r="D886" s="328"/>
      <c r="E886" s="328"/>
      <c r="F886" s="328"/>
      <c r="G886" s="328"/>
      <c r="H886" s="328"/>
      <c r="I886" s="328"/>
      <c r="J886" s="328"/>
      <c r="K886" s="328"/>
      <c r="L886" s="329"/>
      <c r="M886" s="54"/>
      <c r="N886" s="93"/>
      <c r="O886" s="290" t="s">
        <v>59</v>
      </c>
      <c r="P886" s="291"/>
      <c r="Q886" s="291"/>
      <c r="R886" s="292"/>
      <c r="S886" s="94"/>
      <c r="T886" s="290" t="s">
        <v>60</v>
      </c>
      <c r="U886" s="291"/>
      <c r="V886" s="291"/>
      <c r="W886" s="291"/>
      <c r="X886" s="291"/>
      <c r="Y886" s="292"/>
      <c r="Z886" s="95"/>
      <c r="AA886" s="54"/>
    </row>
    <row r="887" spans="1:27" s="55" customFormat="1" ht="21" customHeight="1" x14ac:dyDescent="0.25">
      <c r="A887" s="56"/>
      <c r="B887" s="57"/>
      <c r="C887" s="293" t="s">
        <v>116</v>
      </c>
      <c r="D887" s="293"/>
      <c r="E887" s="293"/>
      <c r="F887" s="293"/>
      <c r="G887" s="58" t="str">
        <f>$J$1</f>
        <v>May</v>
      </c>
      <c r="H887" s="294">
        <f>$K$1</f>
        <v>2019</v>
      </c>
      <c r="I887" s="294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62</v>
      </c>
      <c r="P888" s="101">
        <v>7</v>
      </c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95" t="s">
        <v>60</v>
      </c>
      <c r="G890" s="295"/>
      <c r="H890" s="57"/>
      <c r="I890" s="295" t="s">
        <v>61</v>
      </c>
      <c r="J890" s="295"/>
      <c r="K890" s="295"/>
      <c r="L890" s="73"/>
      <c r="M890" s="57"/>
      <c r="N890" s="100"/>
      <c r="O890" s="101" t="s">
        <v>63</v>
      </c>
      <c r="P890" s="101"/>
      <c r="Q890" s="101"/>
      <c r="R890" s="101" t="str">
        <f t="shared" ref="R890:R898" si="160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61">IF(U890="","",U890+V890)</f>
        <v>0</v>
      </c>
      <c r="X890" s="103"/>
      <c r="Y890" s="177">
        <f t="shared" ref="Y890:Y899" si="162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60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61"/>
        <v>0</v>
      </c>
      <c r="X891" s="103"/>
      <c r="Y891" s="177">
        <f t="shared" si="162"/>
        <v>0</v>
      </c>
      <c r="Z891" s="106"/>
      <c r="AA891" s="57"/>
    </row>
    <row r="892" spans="1:27" s="55" customFormat="1" ht="21" customHeight="1" x14ac:dyDescent="0.25">
      <c r="A892" s="56"/>
      <c r="B892" s="296" t="s">
        <v>59</v>
      </c>
      <c r="C892" s="297"/>
      <c r="D892" s="57"/>
      <c r="E892" s="57"/>
      <c r="F892" s="75" t="s">
        <v>81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0</v>
      </c>
      <c r="J892" s="77" t="s">
        <v>78</v>
      </c>
      <c r="K892" s="78">
        <f>K888/$K$2*I892</f>
        <v>0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61"/>
        <v>0</v>
      </c>
      <c r="X892" s="103"/>
      <c r="Y892" s="177">
        <f t="shared" si="162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2</v>
      </c>
      <c r="J893" s="77" t="s">
        <v>79</v>
      </c>
      <c r="K893" s="80">
        <f>K888/$K$2/8*I893</f>
        <v>0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61"/>
        <v>0</v>
      </c>
      <c r="X893" s="103"/>
      <c r="Y893" s="177">
        <f t="shared" si="162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82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98" t="s">
        <v>86</v>
      </c>
      <c r="J894" s="299"/>
      <c r="K894" s="80">
        <f>K892+K893</f>
        <v>0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61"/>
        <v/>
      </c>
      <c r="X894" s="103"/>
      <c r="Y894" s="177" t="str">
        <f t="shared" si="162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98" t="s">
        <v>87</v>
      </c>
      <c r="J895" s="299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61"/>
        <v/>
      </c>
      <c r="X895" s="103"/>
      <c r="Y895" s="177" t="str">
        <f t="shared" si="162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84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84" t="s">
        <v>80</v>
      </c>
      <c r="J896" s="285"/>
      <c r="K896" s="84">
        <f>K894-K895</f>
        <v>0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61"/>
        <v/>
      </c>
      <c r="X896" s="103"/>
      <c r="Y896" s="177" t="str">
        <f t="shared" si="162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60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61"/>
        <v/>
      </c>
      <c r="X897" s="103"/>
      <c r="Y897" s="177" t="str">
        <f t="shared" si="162"/>
        <v/>
      </c>
      <c r="Z897" s="106"/>
      <c r="AA897" s="57"/>
    </row>
    <row r="898" spans="1:27" s="55" customFormat="1" ht="21" customHeight="1" x14ac:dyDescent="0.25">
      <c r="A898" s="56"/>
      <c r="B898" s="286" t="s">
        <v>118</v>
      </c>
      <c r="C898" s="286"/>
      <c r="D898" s="286"/>
      <c r="E898" s="286"/>
      <c r="F898" s="286"/>
      <c r="G898" s="286"/>
      <c r="H898" s="286"/>
      <c r="I898" s="286"/>
      <c r="J898" s="286"/>
      <c r="K898" s="286"/>
      <c r="L898" s="73"/>
      <c r="M898" s="57"/>
      <c r="N898" s="100"/>
      <c r="O898" s="101" t="s">
        <v>74</v>
      </c>
      <c r="P898" s="101"/>
      <c r="Q898" s="101"/>
      <c r="R898" s="101" t="str">
        <f t="shared" si="160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61"/>
        <v/>
      </c>
      <c r="X898" s="103"/>
      <c r="Y898" s="177" t="str">
        <f t="shared" si="162"/>
        <v/>
      </c>
      <c r="Z898" s="106"/>
      <c r="AA898" s="57"/>
    </row>
    <row r="899" spans="1:27" s="55" customFormat="1" ht="21" customHeight="1" x14ac:dyDescent="0.25">
      <c r="A899" s="56"/>
      <c r="B899" s="286"/>
      <c r="C899" s="286"/>
      <c r="D899" s="286"/>
      <c r="E899" s="286"/>
      <c r="F899" s="286"/>
      <c r="G899" s="286"/>
      <c r="H899" s="286"/>
      <c r="I899" s="286"/>
      <c r="J899" s="286"/>
      <c r="K899" s="286"/>
      <c r="L899" s="73"/>
      <c r="M899" s="57"/>
      <c r="N899" s="100"/>
      <c r="O899" s="101" t="s">
        <v>75</v>
      </c>
      <c r="P899" s="101"/>
      <c r="Q899" s="101"/>
      <c r="R899" s="101">
        <v>0</v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61"/>
        <v/>
      </c>
      <c r="X899" s="103"/>
      <c r="Y899" s="177" t="str">
        <f t="shared" si="162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00" t="s">
        <v>57</v>
      </c>
      <c r="B902" s="301"/>
      <c r="C902" s="301"/>
      <c r="D902" s="301"/>
      <c r="E902" s="301"/>
      <c r="F902" s="301"/>
      <c r="G902" s="301"/>
      <c r="H902" s="301"/>
      <c r="I902" s="301"/>
      <c r="J902" s="301"/>
      <c r="K902" s="301"/>
      <c r="L902" s="302"/>
      <c r="M902" s="54"/>
      <c r="N902" s="93"/>
      <c r="O902" s="290" t="s">
        <v>59</v>
      </c>
      <c r="P902" s="291"/>
      <c r="Q902" s="291"/>
      <c r="R902" s="292"/>
      <c r="S902" s="94"/>
      <c r="T902" s="290" t="s">
        <v>60</v>
      </c>
      <c r="U902" s="291"/>
      <c r="V902" s="291"/>
      <c r="W902" s="291"/>
      <c r="X902" s="291"/>
      <c r="Y902" s="292"/>
      <c r="Z902" s="95"/>
      <c r="AA902" s="54"/>
    </row>
    <row r="903" spans="1:27" s="55" customFormat="1" ht="21" customHeight="1" x14ac:dyDescent="0.25">
      <c r="A903" s="56"/>
      <c r="B903" s="57"/>
      <c r="C903" s="293" t="s">
        <v>116</v>
      </c>
      <c r="D903" s="293"/>
      <c r="E903" s="293"/>
      <c r="F903" s="293"/>
      <c r="G903" s="58" t="str">
        <f>$J$1</f>
        <v>May</v>
      </c>
      <c r="H903" s="294">
        <f>$K$1</f>
        <v>2019</v>
      </c>
      <c r="I903" s="294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95" t="s">
        <v>60</v>
      </c>
      <c r="G906" s="295"/>
      <c r="H906" s="57"/>
      <c r="I906" s="295" t="s">
        <v>61</v>
      </c>
      <c r="J906" s="295"/>
      <c r="K906" s="295"/>
      <c r="L906" s="73"/>
      <c r="M906" s="57"/>
      <c r="N906" s="100"/>
      <c r="O906" s="101" t="s">
        <v>63</v>
      </c>
      <c r="P906" s="101">
        <v>31</v>
      </c>
      <c r="Q906" s="101">
        <v>0</v>
      </c>
      <c r="R906" s="101">
        <f t="shared" ref="R906:R915" si="163">IF(Q906="","",R905-Q906)</f>
        <v>9</v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64">IF(U906="","",U906+V906)</f>
        <v>0</v>
      </c>
      <c r="X906" s="103"/>
      <c r="Y906" s="177">
        <f t="shared" ref="Y906:Y915" si="165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>
        <v>29</v>
      </c>
      <c r="Q907" s="101">
        <v>1</v>
      </c>
      <c r="R907" s="101">
        <f t="shared" si="163"/>
        <v>8</v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64"/>
        <v>0</v>
      </c>
      <c r="X907" s="103"/>
      <c r="Y907" s="177">
        <f t="shared" si="165"/>
        <v>0</v>
      </c>
      <c r="Z907" s="106"/>
      <c r="AA907" s="57"/>
    </row>
    <row r="908" spans="1:27" s="55" customFormat="1" ht="21" customHeight="1" x14ac:dyDescent="0.25">
      <c r="A908" s="56"/>
      <c r="B908" s="296" t="s">
        <v>59</v>
      </c>
      <c r="C908" s="297"/>
      <c r="D908" s="57"/>
      <c r="E908" s="57"/>
      <c r="F908" s="75" t="s">
        <v>81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31</v>
      </c>
      <c r="J908" s="77" t="s">
        <v>78</v>
      </c>
      <c r="K908" s="78">
        <f>K904/$K$2*I908</f>
        <v>18000</v>
      </c>
      <c r="L908" s="79"/>
      <c r="M908" s="57"/>
      <c r="N908" s="100"/>
      <c r="O908" s="101" t="s">
        <v>65</v>
      </c>
      <c r="P908" s="101">
        <v>30</v>
      </c>
      <c r="Q908" s="101">
        <v>1</v>
      </c>
      <c r="R908" s="101">
        <f t="shared" si="163"/>
        <v>7</v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64"/>
        <v>0</v>
      </c>
      <c r="X908" s="103"/>
      <c r="Y908" s="177">
        <f t="shared" si="165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28</v>
      </c>
      <c r="J909" s="77" t="s">
        <v>79</v>
      </c>
      <c r="K909" s="80">
        <f>K904/$K$2/8*I909</f>
        <v>2032.258064516129</v>
      </c>
      <c r="L909" s="81"/>
      <c r="M909" s="57"/>
      <c r="N909" s="100"/>
      <c r="O909" s="101" t="s">
        <v>66</v>
      </c>
      <c r="P909" s="101"/>
      <c r="Q909" s="101"/>
      <c r="R909" s="101" t="str">
        <f t="shared" si="163"/>
        <v/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64"/>
        <v>0</v>
      </c>
      <c r="X909" s="103"/>
      <c r="Y909" s="177">
        <f t="shared" si="165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30</v>
      </c>
      <c r="D910" s="57"/>
      <c r="E910" s="57"/>
      <c r="F910" s="75" t="s">
        <v>82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98" t="s">
        <v>86</v>
      </c>
      <c r="J910" s="299"/>
      <c r="K910" s="80">
        <f>K908+K909</f>
        <v>20032.258064516129</v>
      </c>
      <c r="L910" s="81"/>
      <c r="M910" s="57"/>
      <c r="N910" s="100"/>
      <c r="O910" s="101" t="s">
        <v>67</v>
      </c>
      <c r="P910" s="101"/>
      <c r="Q910" s="101"/>
      <c r="R910" s="101" t="str">
        <f t="shared" si="163"/>
        <v/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64"/>
        <v/>
      </c>
      <c r="X910" s="103"/>
      <c r="Y910" s="177" t="str">
        <f t="shared" si="165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98" t="s">
        <v>87</v>
      </c>
      <c r="J911" s="299"/>
      <c r="K911" s="70">
        <f>G911</f>
        <v>0</v>
      </c>
      <c r="L911" s="82"/>
      <c r="M911" s="57"/>
      <c r="N911" s="100"/>
      <c r="O911" s="101" t="s">
        <v>68</v>
      </c>
      <c r="P911" s="101"/>
      <c r="Q911" s="101"/>
      <c r="R911" s="101" t="str">
        <f t="shared" si="163"/>
        <v/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64"/>
        <v/>
      </c>
      <c r="X911" s="103"/>
      <c r="Y911" s="177" t="str">
        <f t="shared" si="165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7</v>
      </c>
      <c r="D912" s="57"/>
      <c r="E912" s="57"/>
      <c r="F912" s="75" t="s">
        <v>84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84" t="s">
        <v>80</v>
      </c>
      <c r="J912" s="285"/>
      <c r="K912" s="84">
        <f>K910-K911</f>
        <v>20032.258064516129</v>
      </c>
      <c r="L912" s="85"/>
      <c r="M912" s="57"/>
      <c r="N912" s="100"/>
      <c r="O912" s="101" t="s">
        <v>73</v>
      </c>
      <c r="P912" s="101"/>
      <c r="Q912" s="101"/>
      <c r="R912" s="101" t="str">
        <f t="shared" si="163"/>
        <v/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64"/>
        <v/>
      </c>
      <c r="X912" s="103"/>
      <c r="Y912" s="177" t="str">
        <f t="shared" si="165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/>
      <c r="Q913" s="101"/>
      <c r="R913" s="101" t="str">
        <f t="shared" si="163"/>
        <v/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64"/>
        <v/>
      </c>
      <c r="X913" s="103"/>
      <c r="Y913" s="177" t="str">
        <f t="shared" si="165"/>
        <v/>
      </c>
      <c r="Z913" s="106"/>
      <c r="AA913" s="57"/>
    </row>
    <row r="914" spans="1:27" s="55" customFormat="1" ht="21" customHeight="1" x14ac:dyDescent="0.25">
      <c r="A914" s="56"/>
      <c r="B914" s="286"/>
      <c r="C914" s="286"/>
      <c r="D914" s="286"/>
      <c r="E914" s="286"/>
      <c r="F914" s="286"/>
      <c r="G914" s="286"/>
      <c r="H914" s="286"/>
      <c r="I914" s="286"/>
      <c r="J914" s="286"/>
      <c r="K914" s="286"/>
      <c r="L914" s="73"/>
      <c r="M914" s="57"/>
      <c r="N914" s="100"/>
      <c r="O914" s="101" t="s">
        <v>74</v>
      </c>
      <c r="P914" s="101"/>
      <c r="Q914" s="101"/>
      <c r="R914" s="101" t="str">
        <f t="shared" si="163"/>
        <v/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64"/>
        <v/>
      </c>
      <c r="X914" s="103"/>
      <c r="Y914" s="177" t="str">
        <f t="shared" si="165"/>
        <v/>
      </c>
      <c r="Z914" s="106"/>
      <c r="AA914" s="57"/>
    </row>
    <row r="915" spans="1:27" s="55" customFormat="1" ht="21" customHeight="1" x14ac:dyDescent="0.25">
      <c r="A915" s="56"/>
      <c r="B915" s="286"/>
      <c r="C915" s="286"/>
      <c r="D915" s="286"/>
      <c r="E915" s="286"/>
      <c r="F915" s="286"/>
      <c r="G915" s="286"/>
      <c r="H915" s="286"/>
      <c r="I915" s="286"/>
      <c r="J915" s="286"/>
      <c r="K915" s="286"/>
      <c r="L915" s="73"/>
      <c r="M915" s="57"/>
      <c r="N915" s="100"/>
      <c r="O915" s="101" t="s">
        <v>75</v>
      </c>
      <c r="P915" s="101"/>
      <c r="Q915" s="101"/>
      <c r="R915" s="101" t="str">
        <f t="shared" si="163"/>
        <v/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64"/>
        <v/>
      </c>
      <c r="X915" s="103"/>
      <c r="Y915" s="177" t="str">
        <f t="shared" si="165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00" t="s">
        <v>57</v>
      </c>
      <c r="B918" s="301"/>
      <c r="C918" s="301"/>
      <c r="D918" s="301"/>
      <c r="E918" s="301"/>
      <c r="F918" s="301"/>
      <c r="G918" s="301"/>
      <c r="H918" s="301"/>
      <c r="I918" s="301"/>
      <c r="J918" s="301"/>
      <c r="K918" s="301"/>
      <c r="L918" s="302"/>
      <c r="M918" s="144"/>
      <c r="N918" s="93"/>
      <c r="O918" s="290" t="s">
        <v>59</v>
      </c>
      <c r="P918" s="291"/>
      <c r="Q918" s="291"/>
      <c r="R918" s="292"/>
      <c r="S918" s="94"/>
      <c r="T918" s="290" t="s">
        <v>60</v>
      </c>
      <c r="U918" s="291"/>
      <c r="V918" s="291"/>
      <c r="W918" s="291"/>
      <c r="X918" s="291"/>
      <c r="Y918" s="292"/>
      <c r="Z918" s="95"/>
      <c r="AA918" s="144"/>
    </row>
    <row r="919" spans="1:27" s="55" customFormat="1" ht="21" customHeight="1" x14ac:dyDescent="0.25">
      <c r="A919" s="56"/>
      <c r="B919" s="57"/>
      <c r="C919" s="293" t="s">
        <v>116</v>
      </c>
      <c r="D919" s="293"/>
      <c r="E919" s="293"/>
      <c r="F919" s="293"/>
      <c r="G919" s="58" t="str">
        <f>$J$1</f>
        <v>May</v>
      </c>
      <c r="H919" s="294">
        <f>$K$1</f>
        <v>2019</v>
      </c>
      <c r="I919" s="294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95" t="s">
        <v>60</v>
      </c>
      <c r="G922" s="295"/>
      <c r="H922" s="57"/>
      <c r="I922" s="295" t="s">
        <v>61</v>
      </c>
      <c r="J922" s="295"/>
      <c r="K922" s="295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66">IF(U922="","",U922+V922)</f>
        <v>0</v>
      </c>
      <c r="X922" s="103"/>
      <c r="Y922" s="177">
        <f t="shared" ref="Y922:Y931" si="167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66"/>
        <v>0</v>
      </c>
      <c r="X923" s="103"/>
      <c r="Y923" s="177">
        <f t="shared" si="167"/>
        <v>0</v>
      </c>
      <c r="Z923" s="106"/>
      <c r="AA923" s="57"/>
    </row>
    <row r="924" spans="1:27" s="55" customFormat="1" ht="21" customHeight="1" x14ac:dyDescent="0.25">
      <c r="A924" s="56"/>
      <c r="B924" s="296" t="s">
        <v>59</v>
      </c>
      <c r="C924" s="297"/>
      <c r="D924" s="57"/>
      <c r="E924" s="57"/>
      <c r="F924" s="75" t="s">
        <v>81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68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66"/>
        <v>0</v>
      </c>
      <c r="X924" s="103"/>
      <c r="Y924" s="177">
        <f t="shared" si="167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68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66"/>
        <v>0</v>
      </c>
      <c r="X925" s="103"/>
      <c r="Y925" s="177">
        <f t="shared" si="167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98" t="s">
        <v>86</v>
      </c>
      <c r="J926" s="299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68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66"/>
        <v/>
      </c>
      <c r="X926" s="103"/>
      <c r="Y926" s="177" t="str">
        <f t="shared" si="167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98" t="s">
        <v>87</v>
      </c>
      <c r="J927" s="299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68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66"/>
        <v/>
      </c>
      <c r="X927" s="103"/>
      <c r="Y927" s="177" t="str">
        <f t="shared" si="167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84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84" t="s">
        <v>80</v>
      </c>
      <c r="J928" s="285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68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66"/>
        <v/>
      </c>
      <c r="X928" s="103"/>
      <c r="Y928" s="177" t="str">
        <f t="shared" si="167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68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66"/>
        <v/>
      </c>
      <c r="X929" s="103"/>
      <c r="Y929" s="177" t="str">
        <f t="shared" si="167"/>
        <v/>
      </c>
      <c r="Z929" s="106"/>
      <c r="AA929" s="57"/>
    </row>
    <row r="930" spans="1:27" s="55" customFormat="1" ht="21" customHeight="1" x14ac:dyDescent="0.25">
      <c r="A930" s="56"/>
      <c r="B930" s="286" t="s">
        <v>118</v>
      </c>
      <c r="C930" s="286"/>
      <c r="D930" s="286"/>
      <c r="E930" s="286"/>
      <c r="F930" s="286"/>
      <c r="G930" s="286"/>
      <c r="H930" s="286"/>
      <c r="I930" s="286"/>
      <c r="J930" s="286"/>
      <c r="K930" s="286"/>
      <c r="L930" s="73"/>
      <c r="M930" s="57"/>
      <c r="N930" s="100"/>
      <c r="O930" s="101" t="s">
        <v>74</v>
      </c>
      <c r="P930" s="101"/>
      <c r="Q930" s="101"/>
      <c r="R930" s="101" t="str">
        <f t="shared" si="168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66"/>
        <v/>
      </c>
      <c r="X930" s="103"/>
      <c r="Y930" s="177" t="str">
        <f t="shared" si="167"/>
        <v/>
      </c>
      <c r="Z930" s="106"/>
      <c r="AA930" s="57"/>
    </row>
    <row r="931" spans="1:27" s="55" customFormat="1" ht="21" customHeight="1" x14ac:dyDescent="0.25">
      <c r="A931" s="56"/>
      <c r="B931" s="286"/>
      <c r="C931" s="286"/>
      <c r="D931" s="286"/>
      <c r="E931" s="286"/>
      <c r="F931" s="286"/>
      <c r="G931" s="286"/>
      <c r="H931" s="286"/>
      <c r="I931" s="286"/>
      <c r="J931" s="286"/>
      <c r="K931" s="286"/>
      <c r="L931" s="73"/>
      <c r="M931" s="57"/>
      <c r="N931" s="100"/>
      <c r="O931" s="101" t="s">
        <v>75</v>
      </c>
      <c r="P931" s="101"/>
      <c r="Q931" s="101"/>
      <c r="R931" s="101" t="str">
        <f t="shared" si="168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66"/>
        <v/>
      </c>
      <c r="X931" s="103"/>
      <c r="Y931" s="177" t="str">
        <f t="shared" si="167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300" t="s">
        <v>57</v>
      </c>
      <c r="B934" s="301"/>
      <c r="C934" s="301"/>
      <c r="D934" s="301"/>
      <c r="E934" s="301"/>
      <c r="F934" s="301"/>
      <c r="G934" s="301"/>
      <c r="H934" s="301"/>
      <c r="I934" s="301"/>
      <c r="J934" s="301"/>
      <c r="K934" s="301"/>
      <c r="L934" s="302"/>
      <c r="M934" s="54"/>
      <c r="N934" s="93"/>
      <c r="O934" s="290" t="s">
        <v>59</v>
      </c>
      <c r="P934" s="291"/>
      <c r="Q934" s="291"/>
      <c r="R934" s="292"/>
      <c r="S934" s="94"/>
      <c r="T934" s="290" t="s">
        <v>60</v>
      </c>
      <c r="U934" s="291"/>
      <c r="V934" s="291"/>
      <c r="W934" s="291"/>
      <c r="X934" s="291"/>
      <c r="Y934" s="292"/>
      <c r="Z934" s="95"/>
      <c r="AA934" s="54"/>
    </row>
    <row r="935" spans="1:27" s="55" customFormat="1" ht="21" customHeight="1" x14ac:dyDescent="0.25">
      <c r="A935" s="56"/>
      <c r="B935" s="57"/>
      <c r="C935" s="293" t="s">
        <v>116</v>
      </c>
      <c r="D935" s="293"/>
      <c r="E935" s="293"/>
      <c r="F935" s="293"/>
      <c r="G935" s="58" t="str">
        <f>$J$1</f>
        <v>May</v>
      </c>
      <c r="H935" s="294">
        <f>$K$1</f>
        <v>2019</v>
      </c>
      <c r="I935" s="294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f>12000+1000</f>
        <v>13000</v>
      </c>
      <c r="L936" s="65"/>
      <c r="M936" s="57"/>
      <c r="N936" s="100"/>
      <c r="O936" s="101" t="s">
        <v>62</v>
      </c>
      <c r="P936" s="101">
        <v>8</v>
      </c>
      <c r="Q936" s="101">
        <v>0</v>
      </c>
      <c r="R936" s="101"/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176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>
        <v>28</v>
      </c>
      <c r="Q937" s="101">
        <v>0</v>
      </c>
      <c r="R937" s="101">
        <v>0</v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95" t="s">
        <v>60</v>
      </c>
      <c r="G938" s="295"/>
      <c r="H938" s="57"/>
      <c r="I938" s="295" t="s">
        <v>61</v>
      </c>
      <c r="J938" s="295"/>
      <c r="K938" s="295"/>
      <c r="L938" s="73"/>
      <c r="M938" s="57"/>
      <c r="N938" s="100"/>
      <c r="O938" s="101" t="s">
        <v>63</v>
      </c>
      <c r="P938" s="101">
        <v>31</v>
      </c>
      <c r="Q938" s="101">
        <v>0</v>
      </c>
      <c r="R938" s="101">
        <f t="shared" ref="R938:R947" si="169">IF(Q938="","",R937-Q938)</f>
        <v>0</v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70">IF(U938="","",U938+V938)</f>
        <v>0</v>
      </c>
      <c r="X938" s="103"/>
      <c r="Y938" s="177">
        <f t="shared" ref="Y938:Y947" si="171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>
        <v>30</v>
      </c>
      <c r="Q939" s="101">
        <v>0</v>
      </c>
      <c r="R939" s="101">
        <f t="shared" si="169"/>
        <v>0</v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70"/>
        <v>0</v>
      </c>
      <c r="X939" s="103"/>
      <c r="Y939" s="177">
        <f t="shared" si="171"/>
        <v>0</v>
      </c>
      <c r="Z939" s="106"/>
      <c r="AA939" s="57"/>
    </row>
    <row r="940" spans="1:27" s="55" customFormat="1" ht="21" customHeight="1" x14ac:dyDescent="0.25">
      <c r="A940" s="56"/>
      <c r="B940" s="296" t="s">
        <v>59</v>
      </c>
      <c r="C940" s="297"/>
      <c r="D940" s="57"/>
      <c r="E940" s="57"/>
      <c r="F940" s="75" t="s">
        <v>81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31</v>
      </c>
      <c r="J940" s="77" t="s">
        <v>78</v>
      </c>
      <c r="K940" s="78">
        <f>K936/$K$2*I940</f>
        <v>13000</v>
      </c>
      <c r="L940" s="79"/>
      <c r="M940" s="57"/>
      <c r="N940" s="100"/>
      <c r="O940" s="101" t="s">
        <v>65</v>
      </c>
      <c r="P940" s="101">
        <v>31</v>
      </c>
      <c r="Q940" s="101">
        <v>0</v>
      </c>
      <c r="R940" s="101">
        <f t="shared" si="169"/>
        <v>0</v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70"/>
        <v>0</v>
      </c>
      <c r="X940" s="103"/>
      <c r="Y940" s="177">
        <f t="shared" si="171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14.3</v>
      </c>
      <c r="J941" s="77" t="s">
        <v>79</v>
      </c>
      <c r="K941" s="80">
        <f>K936/$K$2/8*I941</f>
        <v>749.59677419354841</v>
      </c>
      <c r="L941" s="81"/>
      <c r="M941" s="57"/>
      <c r="N941" s="100"/>
      <c r="O941" s="101" t="s">
        <v>66</v>
      </c>
      <c r="P941" s="101"/>
      <c r="Q941" s="101"/>
      <c r="R941" s="101" t="str">
        <f t="shared" si="169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70"/>
        <v>0</v>
      </c>
      <c r="X941" s="103"/>
      <c r="Y941" s="177">
        <f t="shared" si="171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31</v>
      </c>
      <c r="D942" s="57"/>
      <c r="E942" s="57"/>
      <c r="F942" s="75" t="s">
        <v>82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98" t="s">
        <v>86</v>
      </c>
      <c r="J942" s="299"/>
      <c r="K942" s="80">
        <f>K940+K941</f>
        <v>13749.596774193549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70"/>
        <v/>
      </c>
      <c r="X942" s="103"/>
      <c r="Y942" s="177" t="str">
        <f t="shared" si="171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98" t="s">
        <v>87</v>
      </c>
      <c r="J943" s="299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70"/>
        <v/>
      </c>
      <c r="X943" s="103"/>
      <c r="Y943" s="177" t="str">
        <f t="shared" si="171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84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84" t="s">
        <v>80</v>
      </c>
      <c r="J944" s="285"/>
      <c r="K944" s="84">
        <f>K942-K943</f>
        <v>13749.596774193549</v>
      </c>
      <c r="L944" s="85"/>
      <c r="M944" s="57"/>
      <c r="N944" s="100"/>
      <c r="O944" s="101" t="s">
        <v>73</v>
      </c>
      <c r="P944" s="101"/>
      <c r="Q944" s="101"/>
      <c r="R944" s="101" t="str">
        <f t="shared" si="169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70"/>
        <v/>
      </c>
      <c r="X944" s="103"/>
      <c r="Y944" s="177" t="str">
        <f t="shared" si="171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4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69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70"/>
        <v/>
      </c>
      <c r="X945" s="103"/>
      <c r="Y945" s="177" t="str">
        <f t="shared" si="171"/>
        <v/>
      </c>
      <c r="Z945" s="106"/>
      <c r="AA945" s="57"/>
    </row>
    <row r="946" spans="1:27" s="55" customFormat="1" ht="21" customHeight="1" x14ac:dyDescent="0.25">
      <c r="A946" s="56"/>
      <c r="B946" s="286" t="s">
        <v>118</v>
      </c>
      <c r="C946" s="286"/>
      <c r="D946" s="286"/>
      <c r="E946" s="286"/>
      <c r="F946" s="286"/>
      <c r="G946" s="286"/>
      <c r="H946" s="286"/>
      <c r="I946" s="286"/>
      <c r="J946" s="286"/>
      <c r="K946" s="286"/>
      <c r="L946" s="73"/>
      <c r="M946" s="57"/>
      <c r="N946" s="100"/>
      <c r="O946" s="101" t="s">
        <v>74</v>
      </c>
      <c r="P946" s="101"/>
      <c r="Q946" s="101"/>
      <c r="R946" s="101" t="str">
        <f t="shared" si="169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70"/>
        <v/>
      </c>
      <c r="X946" s="103"/>
      <c r="Y946" s="177" t="str">
        <f t="shared" si="171"/>
        <v/>
      </c>
      <c r="Z946" s="106"/>
      <c r="AA946" s="57"/>
    </row>
    <row r="947" spans="1:27" s="55" customFormat="1" ht="21" customHeight="1" x14ac:dyDescent="0.25">
      <c r="A947" s="56"/>
      <c r="B947" s="286"/>
      <c r="C947" s="286"/>
      <c r="D947" s="286"/>
      <c r="E947" s="286"/>
      <c r="F947" s="286"/>
      <c r="G947" s="286"/>
      <c r="H947" s="286"/>
      <c r="I947" s="286"/>
      <c r="J947" s="286"/>
      <c r="K947" s="286"/>
      <c r="L947" s="73"/>
      <c r="M947" s="57"/>
      <c r="N947" s="100"/>
      <c r="O947" s="101" t="s">
        <v>75</v>
      </c>
      <c r="P947" s="101"/>
      <c r="Q947" s="101"/>
      <c r="R947" s="101" t="str">
        <f t="shared" si="169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70"/>
        <v/>
      </c>
      <c r="X947" s="103"/>
      <c r="Y947" s="177" t="str">
        <f t="shared" si="171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300" t="s">
        <v>57</v>
      </c>
      <c r="B950" s="301"/>
      <c r="C950" s="301"/>
      <c r="D950" s="301"/>
      <c r="E950" s="301"/>
      <c r="F950" s="301"/>
      <c r="G950" s="301"/>
      <c r="H950" s="301"/>
      <c r="I950" s="301"/>
      <c r="J950" s="301"/>
      <c r="K950" s="301"/>
      <c r="L950" s="302"/>
      <c r="M950" s="54"/>
      <c r="N950" s="93"/>
      <c r="O950" s="290" t="s">
        <v>59</v>
      </c>
      <c r="P950" s="291"/>
      <c r="Q950" s="291"/>
      <c r="R950" s="292"/>
      <c r="S950" s="94"/>
      <c r="T950" s="290" t="s">
        <v>60</v>
      </c>
      <c r="U950" s="291"/>
      <c r="V950" s="291"/>
      <c r="W950" s="291"/>
      <c r="X950" s="291"/>
      <c r="Y950" s="292"/>
      <c r="Z950" s="95"/>
      <c r="AA950" s="54"/>
    </row>
    <row r="951" spans="1:27" s="55" customFormat="1" ht="21" customHeight="1" x14ac:dyDescent="0.25">
      <c r="A951" s="56"/>
      <c r="B951" s="57"/>
      <c r="C951" s="293" t="s">
        <v>116</v>
      </c>
      <c r="D951" s="293"/>
      <c r="E951" s="293"/>
      <c r="F951" s="293"/>
      <c r="G951" s="58" t="str">
        <f>$J$1</f>
        <v>May</v>
      </c>
      <c r="H951" s="294">
        <f>$K$1</f>
        <v>2019</v>
      </c>
      <c r="I951" s="294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>
        <v>28</v>
      </c>
      <c r="Q952" s="101">
        <v>3</v>
      </c>
      <c r="R952" s="101"/>
      <c r="S952" s="102"/>
      <c r="T952" s="101" t="s">
        <v>62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155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88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95" t="s">
        <v>60</v>
      </c>
      <c r="G954" s="295"/>
      <c r="H954" s="57"/>
      <c r="I954" s="295" t="s">
        <v>61</v>
      </c>
      <c r="J954" s="295"/>
      <c r="K954" s="295"/>
      <c r="L954" s="73"/>
      <c r="M954" s="57"/>
      <c r="N954" s="100"/>
      <c r="O954" s="101" t="s">
        <v>63</v>
      </c>
      <c r="P954" s="101">
        <v>29</v>
      </c>
      <c r="Q954" s="101">
        <v>2</v>
      </c>
      <c r="R954" s="101">
        <v>0</v>
      </c>
      <c r="S954" s="105"/>
      <c r="T954" s="101" t="s">
        <v>63</v>
      </c>
      <c r="U954" s="177">
        <f>IF($J$1="April",Y953,Y953)</f>
        <v>0</v>
      </c>
      <c r="V954" s="103">
        <v>1000</v>
      </c>
      <c r="W954" s="177">
        <f t="shared" ref="W954:W961" si="172">IF(U954="","",U954+V954)</f>
        <v>1000</v>
      </c>
      <c r="X954" s="103">
        <v>1000</v>
      </c>
      <c r="Y954" s="177">
        <f t="shared" ref="Y954:Y961" si="17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>
        <v>30</v>
      </c>
      <c r="Q955" s="101">
        <v>0</v>
      </c>
      <c r="R955" s="101">
        <f t="shared" ref="R955:R963" si="174">IF(Q955="","",R954-Q955)</f>
        <v>0</v>
      </c>
      <c r="S955" s="105"/>
      <c r="T955" s="101" t="s">
        <v>64</v>
      </c>
      <c r="U955" s="177"/>
      <c r="V955" s="103">
        <v>3000</v>
      </c>
      <c r="W955" s="177">
        <f>V955+U955</f>
        <v>3000</v>
      </c>
      <c r="X955" s="103">
        <v>3000</v>
      </c>
      <c r="Y955" s="177">
        <f t="shared" si="173"/>
        <v>0</v>
      </c>
      <c r="Z955" s="106"/>
      <c r="AA955" s="57"/>
    </row>
    <row r="956" spans="1:27" s="55" customFormat="1" ht="21" customHeight="1" x14ac:dyDescent="0.25">
      <c r="A956" s="56"/>
      <c r="B956" s="296" t="s">
        <v>59</v>
      </c>
      <c r="C956" s="297"/>
      <c r="D956" s="57"/>
      <c r="E956" s="57"/>
      <c r="F956" s="75" t="s">
        <v>81</v>
      </c>
      <c r="G956" s="196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31</v>
      </c>
      <c r="J956" s="77" t="s">
        <v>78</v>
      </c>
      <c r="K956" s="78">
        <f>K952/$K$2*I956</f>
        <v>22000</v>
      </c>
      <c r="L956" s="79"/>
      <c r="M956" s="57"/>
      <c r="N956" s="100"/>
      <c r="O956" s="101" t="s">
        <v>65</v>
      </c>
      <c r="P956" s="101">
        <v>31</v>
      </c>
      <c r="Q956" s="101">
        <v>0</v>
      </c>
      <c r="R956" s="101">
        <f t="shared" si="174"/>
        <v>0</v>
      </c>
      <c r="S956" s="105"/>
      <c r="T956" s="101" t="s">
        <v>65</v>
      </c>
      <c r="U956" s="177">
        <f>Y955</f>
        <v>0</v>
      </c>
      <c r="V956" s="103">
        <v>1000</v>
      </c>
      <c r="W956" s="177">
        <f t="shared" si="172"/>
        <v>1000</v>
      </c>
      <c r="X956" s="103">
        <v>1000</v>
      </c>
      <c r="Y956" s="177">
        <f t="shared" si="173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6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1000</v>
      </c>
      <c r="H957" s="74"/>
      <c r="I957" s="120">
        <v>7.33</v>
      </c>
      <c r="J957" s="77" t="s">
        <v>79</v>
      </c>
      <c r="K957" s="70">
        <f>K952/$K$2/8*I957</f>
        <v>650.24193548387098</v>
      </c>
      <c r="L957" s="81"/>
      <c r="M957" s="57"/>
      <c r="N957" s="100"/>
      <c r="O957" s="101" t="s">
        <v>66</v>
      </c>
      <c r="P957" s="101"/>
      <c r="Q957" s="101"/>
      <c r="R957" s="101" t="str">
        <f t="shared" si="174"/>
        <v/>
      </c>
      <c r="S957" s="105"/>
      <c r="T957" s="101" t="s">
        <v>66</v>
      </c>
      <c r="U957" s="177"/>
      <c r="V957" s="103">
        <v>350</v>
      </c>
      <c r="W957" s="177" t="str">
        <f t="shared" si="172"/>
        <v/>
      </c>
      <c r="X957" s="103"/>
      <c r="Y957" s="177" t="str">
        <f t="shared" si="173"/>
        <v/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31</v>
      </c>
      <c r="D958" s="57"/>
      <c r="E958" s="57"/>
      <c r="F958" s="75" t="s">
        <v>82</v>
      </c>
      <c r="G958" s="196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1000</v>
      </c>
      <c r="H958" s="74"/>
      <c r="I958" s="298" t="s">
        <v>86</v>
      </c>
      <c r="J958" s="299"/>
      <c r="K958" s="80">
        <f>K956+K957</f>
        <v>22650.241935483871</v>
      </c>
      <c r="L958" s="81"/>
      <c r="M958" s="57"/>
      <c r="N958" s="100"/>
      <c r="O958" s="101" t="s">
        <v>67</v>
      </c>
      <c r="P958" s="101"/>
      <c r="Q958" s="101"/>
      <c r="R958" s="101" t="str">
        <f t="shared" si="174"/>
        <v/>
      </c>
      <c r="S958" s="105"/>
      <c r="T958" s="101" t="s">
        <v>67</v>
      </c>
      <c r="U958" s="177"/>
      <c r="V958" s="103"/>
      <c r="W958" s="177" t="str">
        <f t="shared" si="172"/>
        <v/>
      </c>
      <c r="X958" s="103"/>
      <c r="Y958" s="177" t="str">
        <f t="shared" si="173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196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1000</v>
      </c>
      <c r="H959" s="74"/>
      <c r="I959" s="298" t="s">
        <v>87</v>
      </c>
      <c r="J959" s="299"/>
      <c r="K959" s="70">
        <f>G959</f>
        <v>1000</v>
      </c>
      <c r="L959" s="82"/>
      <c r="M959" s="57"/>
      <c r="N959" s="100"/>
      <c r="O959" s="101" t="s">
        <v>68</v>
      </c>
      <c r="P959" s="101"/>
      <c r="Q959" s="101"/>
      <c r="R959" s="101" t="str">
        <f t="shared" si="174"/>
        <v/>
      </c>
      <c r="S959" s="105"/>
      <c r="T959" s="101" t="s">
        <v>68</v>
      </c>
      <c r="U959" s="177"/>
      <c r="V959" s="103"/>
      <c r="W959" s="177" t="str">
        <f t="shared" si="172"/>
        <v/>
      </c>
      <c r="X959" s="103"/>
      <c r="Y959" s="177" t="str">
        <f t="shared" si="173"/>
        <v/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6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84" t="s">
        <v>80</v>
      </c>
      <c r="J960" s="285"/>
      <c r="K960" s="84">
        <f>K958-K959</f>
        <v>21650.241935483871</v>
      </c>
      <c r="L960" s="85"/>
      <c r="M960" s="57"/>
      <c r="N960" s="100"/>
      <c r="O960" s="101" t="s">
        <v>73</v>
      </c>
      <c r="P960" s="101"/>
      <c r="Q960" s="101"/>
      <c r="R960" s="101" t="str">
        <f t="shared" si="174"/>
        <v/>
      </c>
      <c r="S960" s="105"/>
      <c r="T960" s="101" t="s">
        <v>73</v>
      </c>
      <c r="U960" s="177"/>
      <c r="V960" s="103"/>
      <c r="W960" s="177" t="str">
        <f t="shared" si="172"/>
        <v/>
      </c>
      <c r="X960" s="103"/>
      <c r="Y960" s="177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/>
      <c r="Q961" s="101"/>
      <c r="R961" s="101">
        <v>0</v>
      </c>
      <c r="S961" s="105"/>
      <c r="T961" s="101" t="s">
        <v>69</v>
      </c>
      <c r="U961" s="177"/>
      <c r="V961" s="103"/>
      <c r="W961" s="177" t="str">
        <f t="shared" si="172"/>
        <v/>
      </c>
      <c r="X961" s="103"/>
      <c r="Y961" s="177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86" t="s">
        <v>118</v>
      </c>
      <c r="C962" s="286"/>
      <c r="D962" s="286"/>
      <c r="E962" s="286"/>
      <c r="F962" s="286"/>
      <c r="G962" s="286"/>
      <c r="H962" s="286"/>
      <c r="I962" s="286"/>
      <c r="J962" s="286"/>
      <c r="K962" s="286"/>
      <c r="L962" s="73"/>
      <c r="M962" s="57"/>
      <c r="N962" s="100"/>
      <c r="O962" s="101" t="s">
        <v>74</v>
      </c>
      <c r="P962" s="101"/>
      <c r="Q962" s="101"/>
      <c r="R962" s="101" t="str">
        <f t="shared" si="174"/>
        <v/>
      </c>
      <c r="S962" s="105"/>
      <c r="T962" s="101" t="s">
        <v>74</v>
      </c>
      <c r="U962" s="177"/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86"/>
      <c r="C963" s="286"/>
      <c r="D963" s="286"/>
      <c r="E963" s="286"/>
      <c r="F963" s="286"/>
      <c r="G963" s="286"/>
      <c r="H963" s="286"/>
      <c r="I963" s="286"/>
      <c r="J963" s="286"/>
      <c r="K963" s="286"/>
      <c r="L963" s="73"/>
      <c r="M963" s="57"/>
      <c r="N963" s="100"/>
      <c r="O963" s="101" t="s">
        <v>75</v>
      </c>
      <c r="P963" s="101"/>
      <c r="Q963" s="101"/>
      <c r="R963" s="101" t="str">
        <f t="shared" si="174"/>
        <v/>
      </c>
      <c r="S963" s="105"/>
      <c r="T963" s="101" t="s">
        <v>75</v>
      </c>
      <c r="U963" s="177"/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300" t="s">
        <v>57</v>
      </c>
      <c r="B966" s="301"/>
      <c r="C966" s="301"/>
      <c r="D966" s="301"/>
      <c r="E966" s="301"/>
      <c r="F966" s="301"/>
      <c r="G966" s="301"/>
      <c r="H966" s="301"/>
      <c r="I966" s="301"/>
      <c r="J966" s="301"/>
      <c r="K966" s="301"/>
      <c r="L966" s="302"/>
      <c r="M966" s="54"/>
      <c r="N966" s="93"/>
      <c r="O966" s="290" t="s">
        <v>59</v>
      </c>
      <c r="P966" s="291"/>
      <c r="Q966" s="291"/>
      <c r="R966" s="292"/>
      <c r="S966" s="94"/>
      <c r="T966" s="290" t="s">
        <v>60</v>
      </c>
      <c r="U966" s="291"/>
      <c r="V966" s="291"/>
      <c r="W966" s="291"/>
      <c r="X966" s="291"/>
      <c r="Y966" s="292"/>
      <c r="Z966" s="95"/>
      <c r="AA966" s="54"/>
    </row>
    <row r="967" spans="1:27" s="55" customFormat="1" ht="21" customHeight="1" x14ac:dyDescent="0.25">
      <c r="A967" s="56"/>
      <c r="B967" s="57"/>
      <c r="C967" s="293" t="s">
        <v>116</v>
      </c>
      <c r="D967" s="293"/>
      <c r="E967" s="293"/>
      <c r="F967" s="293"/>
      <c r="G967" s="58" t="str">
        <f>$J$1</f>
        <v>May</v>
      </c>
      <c r="H967" s="294">
        <f>$K$1</f>
        <v>2019</v>
      </c>
      <c r="I967" s="294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>
        <v>30</v>
      </c>
      <c r="Q968" s="101">
        <v>1</v>
      </c>
      <c r="R968" s="101">
        <v>0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151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>
        <v>27</v>
      </c>
      <c r="Q969" s="101">
        <v>1</v>
      </c>
      <c r="R969" s="101">
        <v>0</v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95" t="s">
        <v>60</v>
      </c>
      <c r="G970" s="295"/>
      <c r="H970" s="57"/>
      <c r="I970" s="295" t="s">
        <v>61</v>
      </c>
      <c r="J970" s="295"/>
      <c r="K970" s="295"/>
      <c r="L970" s="73"/>
      <c r="M970" s="57"/>
      <c r="N970" s="100"/>
      <c r="O970" s="101" t="s">
        <v>63</v>
      </c>
      <c r="P970" s="101">
        <v>31</v>
      </c>
      <c r="Q970" s="101">
        <v>0</v>
      </c>
      <c r="R970" s="101">
        <f t="shared" ref="R970:R979" si="175">IF(Q970="","",R969-Q970)</f>
        <v>0</v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176">IF(U970="","",U970+V970)</f>
        <v>0</v>
      </c>
      <c r="X970" s="103"/>
      <c r="Y970" s="177">
        <f t="shared" ref="Y970:Y979" si="177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>
        <v>30</v>
      </c>
      <c r="Q971" s="101">
        <v>0</v>
      </c>
      <c r="R971" s="101">
        <f t="shared" si="175"/>
        <v>0</v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176"/>
        <v>0</v>
      </c>
      <c r="X971" s="103"/>
      <c r="Y971" s="177">
        <f t="shared" si="177"/>
        <v>0</v>
      </c>
      <c r="Z971" s="106"/>
      <c r="AA971" s="57"/>
    </row>
    <row r="972" spans="1:27" s="55" customFormat="1" ht="21" customHeight="1" x14ac:dyDescent="0.25">
      <c r="A972" s="56"/>
      <c r="B972" s="296" t="s">
        <v>59</v>
      </c>
      <c r="C972" s="297"/>
      <c r="D972" s="57"/>
      <c r="E972" s="57"/>
      <c r="F972" s="75" t="s">
        <v>81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29</v>
      </c>
      <c r="J972" s="77" t="s">
        <v>78</v>
      </c>
      <c r="K972" s="78">
        <f>K968/$K$2*I972</f>
        <v>14032.258064516129</v>
      </c>
      <c r="L972" s="79"/>
      <c r="M972" s="57"/>
      <c r="N972" s="100"/>
      <c r="O972" s="101" t="s">
        <v>65</v>
      </c>
      <c r="P972" s="101">
        <v>29</v>
      </c>
      <c r="Q972" s="101">
        <v>2</v>
      </c>
      <c r="R972" s="101">
        <f t="shared" si="175"/>
        <v>-2</v>
      </c>
      <c r="S972" s="105"/>
      <c r="T972" s="101" t="s">
        <v>65</v>
      </c>
      <c r="U972" s="177">
        <f>IF($J$1="May",Y971,Y971)</f>
        <v>0</v>
      </c>
      <c r="V972" s="103"/>
      <c r="W972" s="177">
        <f t="shared" si="176"/>
        <v>0</v>
      </c>
      <c r="X972" s="103"/>
      <c r="Y972" s="177">
        <f t="shared" si="177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/>
      <c r="J973" s="77" t="s">
        <v>79</v>
      </c>
      <c r="K973" s="80">
        <f>K968/$K$2/8*I973</f>
        <v>0</v>
      </c>
      <c r="L973" s="81"/>
      <c r="M973" s="57"/>
      <c r="N973" s="100"/>
      <c r="O973" s="101" t="s">
        <v>66</v>
      </c>
      <c r="P973" s="101"/>
      <c r="Q973" s="101"/>
      <c r="R973" s="101" t="str">
        <f t="shared" si="175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176"/>
        <v>0</v>
      </c>
      <c r="X973" s="103"/>
      <c r="Y973" s="177">
        <f t="shared" si="177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29</v>
      </c>
      <c r="D974" s="57"/>
      <c r="E974" s="57"/>
      <c r="F974" s="75" t="s">
        <v>82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98" t="s">
        <v>86</v>
      </c>
      <c r="J974" s="299"/>
      <c r="K974" s="80">
        <f>K972+K973</f>
        <v>14032.258064516129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176"/>
        <v/>
      </c>
      <c r="X974" s="103"/>
      <c r="Y974" s="177" t="str">
        <f t="shared" si="177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2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98" t="s">
        <v>87</v>
      </c>
      <c r="J975" s="299"/>
      <c r="K975" s="70">
        <f>G975</f>
        <v>0</v>
      </c>
      <c r="L975" s="82"/>
      <c r="M975" s="57"/>
      <c r="N975" s="100"/>
      <c r="O975" s="101" t="s">
        <v>68</v>
      </c>
      <c r="P975" s="101"/>
      <c r="Q975" s="101"/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176"/>
        <v/>
      </c>
      <c r="X975" s="103"/>
      <c r="Y975" s="177" t="str">
        <f t="shared" si="177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-2</v>
      </c>
      <c r="D976" s="57"/>
      <c r="E976" s="57"/>
      <c r="F976" s="75" t="s">
        <v>84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84" t="s">
        <v>80</v>
      </c>
      <c r="J976" s="285"/>
      <c r="K976" s="84">
        <f>K974-K975</f>
        <v>14032.258064516129</v>
      </c>
      <c r="L976" s="85"/>
      <c r="M976" s="57"/>
      <c r="N976" s="100"/>
      <c r="O976" s="101" t="s">
        <v>73</v>
      </c>
      <c r="P976" s="101"/>
      <c r="Q976" s="101"/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176"/>
        <v/>
      </c>
      <c r="X976" s="103"/>
      <c r="Y976" s="177" t="str">
        <f t="shared" si="177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/>
      <c r="Q977" s="101"/>
      <c r="R977" s="101" t="str">
        <f t="shared" si="175"/>
        <v/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176"/>
        <v/>
      </c>
      <c r="X977" s="103"/>
      <c r="Y977" s="177" t="str">
        <f t="shared" si="177"/>
        <v/>
      </c>
      <c r="Z977" s="106"/>
      <c r="AA977" s="57"/>
    </row>
    <row r="978" spans="1:27" s="55" customFormat="1" ht="21" customHeight="1" x14ac:dyDescent="0.25">
      <c r="A978" s="56"/>
      <c r="B978" s="286" t="s">
        <v>118</v>
      </c>
      <c r="C978" s="286"/>
      <c r="D978" s="286"/>
      <c r="E978" s="286"/>
      <c r="F978" s="286"/>
      <c r="G978" s="286"/>
      <c r="H978" s="286"/>
      <c r="I978" s="286"/>
      <c r="J978" s="286"/>
      <c r="K978" s="286"/>
      <c r="L978" s="73"/>
      <c r="M978" s="57"/>
      <c r="N978" s="100"/>
      <c r="O978" s="101" t="s">
        <v>74</v>
      </c>
      <c r="P978" s="101"/>
      <c r="Q978" s="101"/>
      <c r="R978" s="101" t="str">
        <f t="shared" si="175"/>
        <v/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176"/>
        <v/>
      </c>
      <c r="X978" s="103"/>
      <c r="Y978" s="177" t="str">
        <f t="shared" si="177"/>
        <v/>
      </c>
      <c r="Z978" s="106"/>
      <c r="AA978" s="57"/>
    </row>
    <row r="979" spans="1:27" s="55" customFormat="1" ht="21" customHeight="1" x14ac:dyDescent="0.25">
      <c r="A979" s="56"/>
      <c r="B979" s="286"/>
      <c r="C979" s="286"/>
      <c r="D979" s="286"/>
      <c r="E979" s="286"/>
      <c r="F979" s="286"/>
      <c r="G979" s="286"/>
      <c r="H979" s="286"/>
      <c r="I979" s="286"/>
      <c r="J979" s="286"/>
      <c r="K979" s="286"/>
      <c r="L979" s="73"/>
      <c r="M979" s="57"/>
      <c r="N979" s="100"/>
      <c r="O979" s="101" t="s">
        <v>75</v>
      </c>
      <c r="P979" s="101"/>
      <c r="Q979" s="101"/>
      <c r="R979" s="101" t="str">
        <f t="shared" si="175"/>
        <v/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176"/>
        <v/>
      </c>
      <c r="X979" s="103"/>
      <c r="Y979" s="177" t="str">
        <f t="shared" si="177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300" t="s">
        <v>57</v>
      </c>
      <c r="B982" s="301"/>
      <c r="C982" s="301"/>
      <c r="D982" s="301"/>
      <c r="E982" s="301"/>
      <c r="F982" s="301"/>
      <c r="G982" s="301"/>
      <c r="H982" s="301"/>
      <c r="I982" s="301"/>
      <c r="J982" s="301"/>
      <c r="K982" s="301"/>
      <c r="L982" s="302"/>
      <c r="M982" s="54"/>
      <c r="N982" s="93"/>
      <c r="O982" s="290" t="s">
        <v>59</v>
      </c>
      <c r="P982" s="291"/>
      <c r="Q982" s="291"/>
      <c r="R982" s="292"/>
      <c r="S982" s="94"/>
      <c r="T982" s="290" t="s">
        <v>60</v>
      </c>
      <c r="U982" s="291"/>
      <c r="V982" s="291"/>
      <c r="W982" s="291"/>
      <c r="X982" s="291"/>
      <c r="Y982" s="292"/>
      <c r="Z982" s="95"/>
      <c r="AA982" s="54"/>
    </row>
    <row r="983" spans="1:27" s="55" customFormat="1" ht="21" customHeight="1" x14ac:dyDescent="0.25">
      <c r="A983" s="56"/>
      <c r="B983" s="57"/>
      <c r="C983" s="293" t="s">
        <v>116</v>
      </c>
      <c r="D983" s="293"/>
      <c r="E983" s="293"/>
      <c r="F983" s="293"/>
      <c r="G983" s="58" t="str">
        <f>$J$1</f>
        <v>May</v>
      </c>
      <c r="H983" s="294">
        <f>$K$1</f>
        <v>2019</v>
      </c>
      <c r="I983" s="294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>
        <v>23</v>
      </c>
      <c r="Q984" s="101">
        <v>8</v>
      </c>
      <c r="R984" s="101">
        <f>15-Q984</f>
        <v>7</v>
      </c>
      <c r="S984" s="102"/>
      <c r="T984" s="101" t="s">
        <v>62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>
        <f>28-11</f>
        <v>17</v>
      </c>
      <c r="Q985" s="101">
        <v>11</v>
      </c>
      <c r="R985" s="101">
        <v>0</v>
      </c>
      <c r="S985" s="105"/>
      <c r="T985" s="101" t="s">
        <v>88</v>
      </c>
      <c r="U985" s="177">
        <f>Y984</f>
        <v>101500</v>
      </c>
      <c r="V985" s="103"/>
      <c r="W985" s="177">
        <f>IF(U985="","",U985+V985)</f>
        <v>101500</v>
      </c>
      <c r="X985" s="103">
        <v>5000</v>
      </c>
      <c r="Y985" s="177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95" t="s">
        <v>60</v>
      </c>
      <c r="G986" s="295"/>
      <c r="H986" s="57"/>
      <c r="I986" s="295" t="s">
        <v>61</v>
      </c>
      <c r="J986" s="295"/>
      <c r="K986" s="295"/>
      <c r="L986" s="73"/>
      <c r="M986" s="57"/>
      <c r="N986" s="100"/>
      <c r="O986" s="101" t="s">
        <v>63</v>
      </c>
      <c r="P986" s="101">
        <v>22</v>
      </c>
      <c r="Q986" s="101">
        <v>9</v>
      </c>
      <c r="R986" s="101">
        <v>0</v>
      </c>
      <c r="S986" s="105"/>
      <c r="T986" s="101" t="s">
        <v>63</v>
      </c>
      <c r="U986" s="177">
        <f>Y985</f>
        <v>96500</v>
      </c>
      <c r="V986" s="103"/>
      <c r="W986" s="177">
        <f t="shared" ref="W986:W995" si="178">IF(U986="","",U986+V986)</f>
        <v>96500</v>
      </c>
      <c r="X986" s="103">
        <v>5000</v>
      </c>
      <c r="Y986" s="177">
        <f t="shared" ref="Y986:Y995" si="179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>
        <v>29</v>
      </c>
      <c r="Q987" s="101">
        <v>1</v>
      </c>
      <c r="R987" s="101">
        <v>0</v>
      </c>
      <c r="S987" s="105"/>
      <c r="T987" s="101" t="s">
        <v>64</v>
      </c>
      <c r="U987" s="177">
        <f>Y986</f>
        <v>91500</v>
      </c>
      <c r="V987" s="103">
        <v>5000</v>
      </c>
      <c r="W987" s="177">
        <f t="shared" si="178"/>
        <v>96500</v>
      </c>
      <c r="X987" s="103">
        <v>5000</v>
      </c>
      <c r="Y987" s="177">
        <f t="shared" si="179"/>
        <v>91500</v>
      </c>
      <c r="Z987" s="106"/>
      <c r="AA987" s="57"/>
    </row>
    <row r="988" spans="1:27" s="55" customFormat="1" ht="21" customHeight="1" x14ac:dyDescent="0.25">
      <c r="A988" s="56"/>
      <c r="B988" s="296" t="s">
        <v>59</v>
      </c>
      <c r="C988" s="297"/>
      <c r="D988" s="57"/>
      <c r="E988" s="57"/>
      <c r="F988" s="75" t="s">
        <v>81</v>
      </c>
      <c r="G988" s="197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91500</v>
      </c>
      <c r="H988" s="74"/>
      <c r="I988" s="76">
        <f>IF(C992&gt;0,$K$2,C990)</f>
        <v>8</v>
      </c>
      <c r="J988" s="77" t="s">
        <v>78</v>
      </c>
      <c r="K988" s="78">
        <f>K984/$K$2*I988</f>
        <v>5419.3548387096771</v>
      </c>
      <c r="L988" s="79"/>
      <c r="M988" s="57"/>
      <c r="N988" s="100"/>
      <c r="O988" s="101" t="s">
        <v>65</v>
      </c>
      <c r="P988" s="101">
        <v>8</v>
      </c>
      <c r="Q988" s="101">
        <v>0</v>
      </c>
      <c r="R988" s="101">
        <f t="shared" ref="R988:R990" si="180">IF(Q988="","",R987-Q988)</f>
        <v>0</v>
      </c>
      <c r="S988" s="105"/>
      <c r="T988" s="101" t="s">
        <v>65</v>
      </c>
      <c r="U988" s="177">
        <f>Y987</f>
        <v>91500</v>
      </c>
      <c r="V988" s="103">
        <v>5000</v>
      </c>
      <c r="W988" s="177">
        <f t="shared" si="178"/>
        <v>96500</v>
      </c>
      <c r="X988" s="103"/>
      <c r="Y988" s="177">
        <f t="shared" si="179"/>
        <v>96500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197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5000</v>
      </c>
      <c r="H989" s="74"/>
      <c r="I989" s="209"/>
      <c r="J989" s="77" t="s">
        <v>79</v>
      </c>
      <c r="K989" s="80">
        <f>K984/$K$2/8*I989</f>
        <v>0</v>
      </c>
      <c r="L989" s="81"/>
      <c r="M989" s="57"/>
      <c r="N989" s="100"/>
      <c r="O989" s="101" t="s">
        <v>66</v>
      </c>
      <c r="P989" s="101"/>
      <c r="Q989" s="101"/>
      <c r="R989" s="101" t="str">
        <f t="shared" si="180"/>
        <v/>
      </c>
      <c r="S989" s="105"/>
      <c r="T989" s="101" t="s">
        <v>66</v>
      </c>
      <c r="U989" s="177"/>
      <c r="V989" s="103">
        <v>80</v>
      </c>
      <c r="W989" s="177" t="str">
        <f t="shared" si="178"/>
        <v/>
      </c>
      <c r="X989" s="103"/>
      <c r="Y989" s="177" t="str">
        <f t="shared" si="179"/>
        <v/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8</v>
      </c>
      <c r="D990" s="57"/>
      <c r="E990" s="57"/>
      <c r="F990" s="75" t="s">
        <v>82</v>
      </c>
      <c r="G990" s="197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96500</v>
      </c>
      <c r="H990" s="74"/>
      <c r="I990" s="298" t="s">
        <v>86</v>
      </c>
      <c r="J990" s="299"/>
      <c r="K990" s="80">
        <f>K988+K989</f>
        <v>5419.3548387096771</v>
      </c>
      <c r="L990" s="81"/>
      <c r="M990" s="57"/>
      <c r="N990" s="100"/>
      <c r="O990" s="101" t="s">
        <v>67</v>
      </c>
      <c r="P990" s="101"/>
      <c r="Q990" s="101"/>
      <c r="R990" s="101" t="str">
        <f t="shared" si="180"/>
        <v/>
      </c>
      <c r="S990" s="105"/>
      <c r="T990" s="101" t="s">
        <v>67</v>
      </c>
      <c r="U990" s="177"/>
      <c r="V990" s="103"/>
      <c r="W990" s="177" t="str">
        <f t="shared" si="178"/>
        <v/>
      </c>
      <c r="X990" s="103"/>
      <c r="Y990" s="177" t="str">
        <f t="shared" si="179"/>
        <v/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0</v>
      </c>
      <c r="D991" s="57"/>
      <c r="E991" s="57"/>
      <c r="F991" s="75" t="s">
        <v>31</v>
      </c>
      <c r="G991" s="197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74"/>
      <c r="I991" s="298" t="s">
        <v>87</v>
      </c>
      <c r="J991" s="299"/>
      <c r="K991" s="70">
        <f>G991</f>
        <v>0</v>
      </c>
      <c r="L991" s="82"/>
      <c r="M991" s="57"/>
      <c r="N991" s="100"/>
      <c r="O991" s="101" t="s">
        <v>68</v>
      </c>
      <c r="P991" s="101"/>
      <c r="Q991" s="101"/>
      <c r="R991" s="101">
        <v>0</v>
      </c>
      <c r="S991" s="105"/>
      <c r="T991" s="101" t="s">
        <v>68</v>
      </c>
      <c r="U991" s="177"/>
      <c r="V991" s="103"/>
      <c r="W991" s="177" t="str">
        <f t="shared" si="178"/>
        <v/>
      </c>
      <c r="X991" s="103"/>
      <c r="Y991" s="177" t="str">
        <f t="shared" si="179"/>
        <v/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84</v>
      </c>
      <c r="G992" s="197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96500</v>
      </c>
      <c r="H992" s="57"/>
      <c r="I992" s="284" t="s">
        <v>80</v>
      </c>
      <c r="J992" s="285"/>
      <c r="K992" s="84">
        <f>K990-K991</f>
        <v>5419.3548387096771</v>
      </c>
      <c r="L992" s="85"/>
      <c r="M992" s="57"/>
      <c r="N992" s="100"/>
      <c r="O992" s="101" t="s">
        <v>73</v>
      </c>
      <c r="P992" s="101"/>
      <c r="Q992" s="101"/>
      <c r="R992" s="101">
        <v>0</v>
      </c>
      <c r="S992" s="105"/>
      <c r="T992" s="101" t="s">
        <v>73</v>
      </c>
      <c r="U992" s="177"/>
      <c r="V992" s="103"/>
      <c r="W992" s="177" t="str">
        <f t="shared" si="178"/>
        <v/>
      </c>
      <c r="X992" s="103"/>
      <c r="Y992" s="177" t="str">
        <f t="shared" si="179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/>
      <c r="Q993" s="101"/>
      <c r="R993" s="101">
        <v>0</v>
      </c>
      <c r="S993" s="105"/>
      <c r="T993" s="101" t="s">
        <v>69</v>
      </c>
      <c r="U993" s="177"/>
      <c r="V993" s="103"/>
      <c r="W993" s="177" t="str">
        <f t="shared" si="178"/>
        <v/>
      </c>
      <c r="X993" s="103"/>
      <c r="Y993" s="177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86" t="s">
        <v>118</v>
      </c>
      <c r="C994" s="286"/>
      <c r="D994" s="286"/>
      <c r="E994" s="286"/>
      <c r="F994" s="286"/>
      <c r="G994" s="286"/>
      <c r="H994" s="286"/>
      <c r="I994" s="286"/>
      <c r="J994" s="286"/>
      <c r="K994" s="286"/>
      <c r="L994" s="73"/>
      <c r="M994" s="57"/>
      <c r="N994" s="100"/>
      <c r="O994" s="101" t="s">
        <v>74</v>
      </c>
      <c r="P994" s="101"/>
      <c r="Q994" s="101"/>
      <c r="R994" s="101">
        <v>0</v>
      </c>
      <c r="S994" s="105"/>
      <c r="T994" s="101" t="s">
        <v>74</v>
      </c>
      <c r="U994" s="177"/>
      <c r="V994" s="103"/>
      <c r="W994" s="177" t="str">
        <f t="shared" si="178"/>
        <v/>
      </c>
      <c r="X994" s="103"/>
      <c r="Y994" s="177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86"/>
      <c r="C995" s="286"/>
      <c r="D995" s="286"/>
      <c r="E995" s="286"/>
      <c r="F995" s="286"/>
      <c r="G995" s="286"/>
      <c r="H995" s="286"/>
      <c r="I995" s="286"/>
      <c r="J995" s="286"/>
      <c r="K995" s="286"/>
      <c r="L995" s="73"/>
      <c r="M995" s="57"/>
      <c r="N995" s="100"/>
      <c r="O995" s="101" t="s">
        <v>75</v>
      </c>
      <c r="P995" s="101"/>
      <c r="Q995" s="101"/>
      <c r="R995" s="101">
        <v>0</v>
      </c>
      <c r="S995" s="105"/>
      <c r="T995" s="101" t="s">
        <v>75</v>
      </c>
      <c r="U995" s="177"/>
      <c r="V995" s="103"/>
      <c r="W995" s="177" t="str">
        <f t="shared" si="178"/>
        <v/>
      </c>
      <c r="X995" s="103"/>
      <c r="Y995" s="177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300" t="s">
        <v>57</v>
      </c>
      <c r="B998" s="301"/>
      <c r="C998" s="301"/>
      <c r="D998" s="301"/>
      <c r="E998" s="301"/>
      <c r="F998" s="301"/>
      <c r="G998" s="301"/>
      <c r="H998" s="301"/>
      <c r="I998" s="301"/>
      <c r="J998" s="301"/>
      <c r="K998" s="301"/>
      <c r="L998" s="302"/>
      <c r="M998" s="54"/>
      <c r="N998" s="93"/>
      <c r="O998" s="290" t="s">
        <v>59</v>
      </c>
      <c r="P998" s="291"/>
      <c r="Q998" s="291"/>
      <c r="R998" s="292"/>
      <c r="S998" s="94"/>
      <c r="T998" s="290" t="s">
        <v>60</v>
      </c>
      <c r="U998" s="291"/>
      <c r="V998" s="291"/>
      <c r="W998" s="291"/>
      <c r="X998" s="291"/>
      <c r="Y998" s="292"/>
      <c r="Z998" s="95"/>
      <c r="AA998" s="54"/>
    </row>
    <row r="999" spans="1:27" s="55" customFormat="1" ht="21" customHeight="1" x14ac:dyDescent="0.25">
      <c r="A999" s="56"/>
      <c r="B999" s="57"/>
      <c r="C999" s="293" t="s">
        <v>116</v>
      </c>
      <c r="D999" s="293"/>
      <c r="E999" s="293"/>
      <c r="F999" s="293"/>
      <c r="G999" s="58" t="str">
        <f>$J$1</f>
        <v>May</v>
      </c>
      <c r="H999" s="294">
        <f>$K$1</f>
        <v>2019</v>
      </c>
      <c r="I999" s="294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62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>
        <v>28</v>
      </c>
      <c r="Q1001" s="101">
        <v>0</v>
      </c>
      <c r="R1001" s="186">
        <f>IF(Q1001="","",R1000-Q1001)</f>
        <v>15</v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95" t="s">
        <v>60</v>
      </c>
      <c r="G1002" s="295"/>
      <c r="H1002" s="57"/>
      <c r="I1002" s="295" t="s">
        <v>61</v>
      </c>
      <c r="J1002" s="295"/>
      <c r="K1002" s="295"/>
      <c r="L1002" s="73"/>
      <c r="M1002" s="57"/>
      <c r="N1002" s="100"/>
      <c r="O1002" s="101" t="s">
        <v>63</v>
      </c>
      <c r="P1002" s="101">
        <v>30</v>
      </c>
      <c r="Q1002" s="101">
        <v>1</v>
      </c>
      <c r="R1002" s="101">
        <f t="shared" ref="R1002:R1011" si="181">IF(Q1002="","",R1001-Q1002)</f>
        <v>14</v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182">IF(U1002="","",U1002+V1002)</f>
        <v>0</v>
      </c>
      <c r="X1002" s="103"/>
      <c r="Y1002" s="177">
        <f t="shared" ref="Y1002:Y1011" si="183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>
        <v>30</v>
      </c>
      <c r="Q1003" s="101">
        <v>0</v>
      </c>
      <c r="R1003" s="101">
        <f t="shared" si="181"/>
        <v>14</v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182"/>
        <v>0</v>
      </c>
      <c r="X1003" s="103"/>
      <c r="Y1003" s="177">
        <f t="shared" si="183"/>
        <v>0</v>
      </c>
      <c r="Z1003" s="106"/>
      <c r="AA1003" s="57"/>
    </row>
    <row r="1004" spans="1:27" s="55" customFormat="1" ht="21" customHeight="1" x14ac:dyDescent="0.25">
      <c r="A1004" s="56"/>
      <c r="B1004" s="296" t="s">
        <v>59</v>
      </c>
      <c r="C1004" s="297"/>
      <c r="D1004" s="57"/>
      <c r="E1004" s="57"/>
      <c r="F1004" s="75" t="s">
        <v>81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31</v>
      </c>
      <c r="J1004" s="77" t="s">
        <v>78</v>
      </c>
      <c r="K1004" s="78">
        <f>K1000/$K$2*I1004</f>
        <v>27000</v>
      </c>
      <c r="L1004" s="79"/>
      <c r="M1004" s="57"/>
      <c r="N1004" s="100"/>
      <c r="O1004" s="101" t="s">
        <v>65</v>
      </c>
      <c r="P1004" s="101">
        <v>31</v>
      </c>
      <c r="Q1004" s="101">
        <v>0</v>
      </c>
      <c r="R1004" s="101">
        <f t="shared" si="181"/>
        <v>14</v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182"/>
        <v>0</v>
      </c>
      <c r="X1004" s="103"/>
      <c r="Y1004" s="177">
        <f t="shared" si="183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85.88</v>
      </c>
      <c r="J1005" s="77" t="s">
        <v>79</v>
      </c>
      <c r="K1005" s="80">
        <f>K1000/$K$2/8*I1005</f>
        <v>9349.8387096774186</v>
      </c>
      <c r="L1005" s="81"/>
      <c r="M1005" s="57"/>
      <c r="N1005" s="100"/>
      <c r="O1005" s="101" t="s">
        <v>66</v>
      </c>
      <c r="P1005" s="101"/>
      <c r="Q1005" s="101"/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182"/>
        <v>0</v>
      </c>
      <c r="X1005" s="103"/>
      <c r="Y1005" s="177">
        <f t="shared" si="183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82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98" t="s">
        <v>86</v>
      </c>
      <c r="J1006" s="299"/>
      <c r="K1006" s="80">
        <f>K1004+K1005</f>
        <v>36349.838709677417</v>
      </c>
      <c r="L1006" s="81"/>
      <c r="M1006" s="57"/>
      <c r="N1006" s="100"/>
      <c r="O1006" s="101" t="s">
        <v>67</v>
      </c>
      <c r="P1006" s="101"/>
      <c r="Q1006" s="101"/>
      <c r="R1006" s="101" t="str">
        <f t="shared" si="181"/>
        <v/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182"/>
        <v/>
      </c>
      <c r="X1006" s="103"/>
      <c r="Y1006" s="177" t="str">
        <f t="shared" si="183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98" t="s">
        <v>87</v>
      </c>
      <c r="J1007" s="299"/>
      <c r="K1007" s="70">
        <f>G1007</f>
        <v>0</v>
      </c>
      <c r="L1007" s="82"/>
      <c r="M1007" s="57"/>
      <c r="N1007" s="100"/>
      <c r="O1007" s="101" t="s">
        <v>68</v>
      </c>
      <c r="P1007" s="101"/>
      <c r="Q1007" s="101"/>
      <c r="R1007" s="101" t="str">
        <f t="shared" si="181"/>
        <v/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182"/>
        <v/>
      </c>
      <c r="X1007" s="103"/>
      <c r="Y1007" s="177" t="str">
        <f t="shared" si="183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14</v>
      </c>
      <c r="D1008" s="57"/>
      <c r="E1008" s="57"/>
      <c r="F1008" s="75" t="s">
        <v>84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84" t="s">
        <v>80</v>
      </c>
      <c r="J1008" s="285"/>
      <c r="K1008" s="84">
        <f>K1006-K1007</f>
        <v>36349.838709677417</v>
      </c>
      <c r="L1008" s="85"/>
      <c r="M1008" s="57"/>
      <c r="N1008" s="100"/>
      <c r="O1008" s="101" t="s">
        <v>73</v>
      </c>
      <c r="P1008" s="101"/>
      <c r="Q1008" s="101"/>
      <c r="R1008" s="101" t="str">
        <f t="shared" si="181"/>
        <v/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182"/>
        <v/>
      </c>
      <c r="X1008" s="103"/>
      <c r="Y1008" s="177" t="str">
        <f t="shared" si="183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/>
      <c r="Q1009" s="101"/>
      <c r="R1009" s="101" t="str">
        <f t="shared" si="181"/>
        <v/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182"/>
        <v/>
      </c>
      <c r="X1009" s="103"/>
      <c r="Y1009" s="177" t="str">
        <f t="shared" si="183"/>
        <v/>
      </c>
      <c r="Z1009" s="106"/>
      <c r="AA1009" s="57"/>
    </row>
    <row r="1010" spans="1:27" s="55" customFormat="1" ht="21" customHeight="1" x14ac:dyDescent="0.25">
      <c r="A1010" s="56"/>
      <c r="B1010" s="286" t="s">
        <v>118</v>
      </c>
      <c r="C1010" s="286"/>
      <c r="D1010" s="286"/>
      <c r="E1010" s="286"/>
      <c r="F1010" s="286"/>
      <c r="G1010" s="286"/>
      <c r="H1010" s="286"/>
      <c r="I1010" s="286"/>
      <c r="J1010" s="286"/>
      <c r="K1010" s="286"/>
      <c r="L1010" s="73"/>
      <c r="M1010" s="57"/>
      <c r="N1010" s="100"/>
      <c r="O1010" s="101" t="s">
        <v>74</v>
      </c>
      <c r="P1010" s="101"/>
      <c r="Q1010" s="101"/>
      <c r="R1010" s="101" t="str">
        <f t="shared" si="181"/>
        <v/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182"/>
        <v/>
      </c>
      <c r="X1010" s="103"/>
      <c r="Y1010" s="177" t="str">
        <f t="shared" si="183"/>
        <v/>
      </c>
      <c r="Z1010" s="106"/>
      <c r="AA1010" s="57"/>
    </row>
    <row r="1011" spans="1:27" s="55" customFormat="1" ht="21" customHeight="1" x14ac:dyDescent="0.25">
      <c r="A1011" s="56"/>
      <c r="B1011" s="286"/>
      <c r="C1011" s="286"/>
      <c r="D1011" s="286"/>
      <c r="E1011" s="286"/>
      <c r="F1011" s="286"/>
      <c r="G1011" s="286"/>
      <c r="H1011" s="286"/>
      <c r="I1011" s="286"/>
      <c r="J1011" s="286"/>
      <c r="K1011" s="286"/>
      <c r="L1011" s="73"/>
      <c r="M1011" s="57"/>
      <c r="N1011" s="100"/>
      <c r="O1011" s="101" t="s">
        <v>75</v>
      </c>
      <c r="P1011" s="101"/>
      <c r="Q1011" s="101"/>
      <c r="R1011" s="101" t="str">
        <f t="shared" si="181"/>
        <v/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182"/>
        <v/>
      </c>
      <c r="X1011" s="103"/>
      <c r="Y1011" s="177" t="str">
        <f t="shared" si="183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00" t="s">
        <v>57</v>
      </c>
      <c r="B1014" s="301"/>
      <c r="C1014" s="301"/>
      <c r="D1014" s="301"/>
      <c r="E1014" s="301"/>
      <c r="F1014" s="301"/>
      <c r="G1014" s="301"/>
      <c r="H1014" s="301"/>
      <c r="I1014" s="301"/>
      <c r="J1014" s="301"/>
      <c r="K1014" s="301"/>
      <c r="L1014" s="302"/>
      <c r="M1014" s="54"/>
      <c r="N1014" s="93"/>
      <c r="O1014" s="290" t="s">
        <v>59</v>
      </c>
      <c r="P1014" s="291"/>
      <c r="Q1014" s="291"/>
      <c r="R1014" s="292"/>
      <c r="S1014" s="94"/>
      <c r="T1014" s="290" t="s">
        <v>60</v>
      </c>
      <c r="U1014" s="291"/>
      <c r="V1014" s="291"/>
      <c r="W1014" s="291"/>
      <c r="X1014" s="291"/>
      <c r="Y1014" s="292"/>
      <c r="Z1014" s="95"/>
      <c r="AA1014" s="54"/>
    </row>
    <row r="1015" spans="1:27" s="55" customFormat="1" ht="21" customHeight="1" x14ac:dyDescent="0.25">
      <c r="A1015" s="56"/>
      <c r="B1015" s="57"/>
      <c r="C1015" s="293" t="s">
        <v>116</v>
      </c>
      <c r="D1015" s="293"/>
      <c r="E1015" s="293"/>
      <c r="F1015" s="293"/>
      <c r="G1015" s="58" t="str">
        <f>$J$1</f>
        <v>May</v>
      </c>
      <c r="H1015" s="294">
        <f>$K$1</f>
        <v>2019</v>
      </c>
      <c r="I1015" s="294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62</v>
      </c>
      <c r="P1016" s="101">
        <v>22</v>
      </c>
      <c r="Q1016" s="101">
        <v>9</v>
      </c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4" si="184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95" t="s">
        <v>60</v>
      </c>
      <c r="G1018" s="295"/>
      <c r="H1018" s="57"/>
      <c r="I1018" s="295" t="s">
        <v>61</v>
      </c>
      <c r="J1018" s="295"/>
      <c r="K1018" s="295"/>
      <c r="L1018" s="73"/>
      <c r="M1018" s="57"/>
      <c r="N1018" s="100"/>
      <c r="O1018" s="101" t="s">
        <v>63</v>
      </c>
      <c r="P1018" s="101"/>
      <c r="Q1018" s="101"/>
      <c r="R1018" s="101" t="str">
        <f t="shared" si="184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185">IF(U1018="","",U1018+V1018)</f>
        <v>0</v>
      </c>
      <c r="X1018" s="103"/>
      <c r="Y1018" s="177">
        <f t="shared" ref="Y1018:Y1027" si="186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185"/>
        <v>0</v>
      </c>
      <c r="X1019" s="103"/>
      <c r="Y1019" s="177">
        <f t="shared" si="186"/>
        <v>0</v>
      </c>
      <c r="Z1019" s="106"/>
      <c r="AA1019" s="57"/>
    </row>
    <row r="1020" spans="1:27" s="55" customFormat="1" ht="21" customHeight="1" x14ac:dyDescent="0.25">
      <c r="A1020" s="56"/>
      <c r="B1020" s="296" t="s">
        <v>59</v>
      </c>
      <c r="C1020" s="297"/>
      <c r="D1020" s="57"/>
      <c r="E1020" s="57"/>
      <c r="F1020" s="75" t="s">
        <v>81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/>
      <c r="J1020" s="77" t="s">
        <v>78</v>
      </c>
      <c r="K1020" s="78">
        <f>K1016/$K$2*I1020</f>
        <v>0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185"/>
        <v>0</v>
      </c>
      <c r="X1020" s="103"/>
      <c r="Y1020" s="177">
        <f t="shared" si="186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79</v>
      </c>
      <c r="K1021" s="80">
        <f>K1016/$K$2/8*I1021</f>
        <v>0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184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185"/>
        <v>0</v>
      </c>
      <c r="X1021" s="103"/>
      <c r="Y1021" s="177">
        <f t="shared" si="186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98" t="s">
        <v>86</v>
      </c>
      <c r="J1022" s="299"/>
      <c r="K1022" s="80">
        <f>K1020+K1021</f>
        <v>0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185"/>
        <v/>
      </c>
      <c r="X1022" s="103"/>
      <c r="Y1022" s="177" t="str">
        <f t="shared" si="186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98" t="s">
        <v>87</v>
      </c>
      <c r="J1023" s="299"/>
      <c r="K1023" s="70">
        <f>G1023</f>
        <v>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185"/>
        <v/>
      </c>
      <c r="X1023" s="103"/>
      <c r="Y1023" s="177" t="str">
        <f t="shared" si="186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84" t="s">
        <v>80</v>
      </c>
      <c r="J1024" s="285"/>
      <c r="K1024" s="84">
        <f>K1022-K1023</f>
        <v>0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184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185"/>
        <v/>
      </c>
      <c r="X1024" s="103"/>
      <c r="Y1024" s="177" t="str">
        <f t="shared" si="186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7" si="187">Y1024</f>
        <v/>
      </c>
      <c r="V1025" s="103"/>
      <c r="W1025" s="177" t="str">
        <f t="shared" si="185"/>
        <v/>
      </c>
      <c r="X1025" s="103"/>
      <c r="Y1025" s="177" t="str">
        <f t="shared" si="186"/>
        <v/>
      </c>
      <c r="Z1025" s="106"/>
      <c r="AA1025" s="57"/>
    </row>
    <row r="1026" spans="1:27" s="55" customFormat="1" ht="21" customHeight="1" x14ac:dyDescent="0.25">
      <c r="A1026" s="56"/>
      <c r="B1026" s="286" t="s">
        <v>118</v>
      </c>
      <c r="C1026" s="286"/>
      <c r="D1026" s="286"/>
      <c r="E1026" s="286"/>
      <c r="F1026" s="286"/>
      <c r="G1026" s="286"/>
      <c r="H1026" s="286"/>
      <c r="I1026" s="286"/>
      <c r="J1026" s="286"/>
      <c r="K1026" s="286"/>
      <c r="L1026" s="73"/>
      <c r="M1026" s="57"/>
      <c r="N1026" s="100"/>
      <c r="O1026" s="101" t="s">
        <v>74</v>
      </c>
      <c r="P1026" s="101"/>
      <c r="Q1026" s="101"/>
      <c r="R1026" s="101">
        <v>0</v>
      </c>
      <c r="S1026" s="105"/>
      <c r="T1026" s="101" t="s">
        <v>74</v>
      </c>
      <c r="U1026" s="177" t="str">
        <f t="shared" si="187"/>
        <v/>
      </c>
      <c r="V1026" s="103"/>
      <c r="W1026" s="177"/>
      <c r="X1026" s="103"/>
      <c r="Y1026" s="177" t="str">
        <f t="shared" si="186"/>
        <v/>
      </c>
      <c r="Z1026" s="106"/>
      <c r="AA1026" s="57"/>
    </row>
    <row r="1027" spans="1:27" s="55" customFormat="1" ht="21" customHeight="1" x14ac:dyDescent="0.25">
      <c r="A1027" s="56"/>
      <c r="B1027" s="286"/>
      <c r="C1027" s="286"/>
      <c r="D1027" s="286"/>
      <c r="E1027" s="286"/>
      <c r="F1027" s="286"/>
      <c r="G1027" s="286"/>
      <c r="H1027" s="286"/>
      <c r="I1027" s="286"/>
      <c r="J1027" s="286"/>
      <c r="K1027" s="286"/>
      <c r="L1027" s="73"/>
      <c r="M1027" s="57"/>
      <c r="N1027" s="100"/>
      <c r="O1027" s="101" t="s">
        <v>75</v>
      </c>
      <c r="P1027" s="101"/>
      <c r="Q1027" s="101"/>
      <c r="R1027" s="101">
        <v>0</v>
      </c>
      <c r="S1027" s="105"/>
      <c r="T1027" s="101" t="s">
        <v>75</v>
      </c>
      <c r="U1027" s="177" t="str">
        <f t="shared" si="187"/>
        <v/>
      </c>
      <c r="V1027" s="103"/>
      <c r="W1027" s="177" t="str">
        <f t="shared" si="185"/>
        <v/>
      </c>
      <c r="X1027" s="103"/>
      <c r="Y1027" s="177" t="str">
        <f t="shared" si="186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00" t="s">
        <v>57</v>
      </c>
      <c r="B1030" s="301"/>
      <c r="C1030" s="301"/>
      <c r="D1030" s="301"/>
      <c r="E1030" s="301"/>
      <c r="F1030" s="301"/>
      <c r="G1030" s="301"/>
      <c r="H1030" s="301"/>
      <c r="I1030" s="301"/>
      <c r="J1030" s="301"/>
      <c r="K1030" s="301"/>
      <c r="L1030" s="302"/>
      <c r="M1030" s="54"/>
      <c r="N1030" s="93"/>
      <c r="O1030" s="290" t="s">
        <v>59</v>
      </c>
      <c r="P1030" s="291"/>
      <c r="Q1030" s="291"/>
      <c r="R1030" s="292"/>
      <c r="S1030" s="94"/>
      <c r="T1030" s="290" t="s">
        <v>60</v>
      </c>
      <c r="U1030" s="291"/>
      <c r="V1030" s="291"/>
      <c r="W1030" s="291"/>
      <c r="X1030" s="291"/>
      <c r="Y1030" s="292"/>
      <c r="Z1030" s="95"/>
      <c r="AA1030" s="54"/>
    </row>
    <row r="1031" spans="1:27" s="55" customFormat="1" ht="21" customHeight="1" x14ac:dyDescent="0.25">
      <c r="A1031" s="56"/>
      <c r="B1031" s="57"/>
      <c r="C1031" s="293" t="s">
        <v>116</v>
      </c>
      <c r="D1031" s="293"/>
      <c r="E1031" s="293"/>
      <c r="F1031" s="293"/>
      <c r="G1031" s="58" t="str">
        <f>$J$1</f>
        <v>May</v>
      </c>
      <c r="H1031" s="294">
        <f>$K$1</f>
        <v>2019</v>
      </c>
      <c r="I1031" s="294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62</v>
      </c>
      <c r="P1032" s="101">
        <v>29</v>
      </c>
      <c r="Q1032" s="101">
        <v>2</v>
      </c>
      <c r="R1032" s="101">
        <v>0</v>
      </c>
      <c r="S1032" s="102"/>
      <c r="T1032" s="101" t="s">
        <v>62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141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>
        <v>27</v>
      </c>
      <c r="Q1033" s="101">
        <v>1</v>
      </c>
      <c r="R1033" s="101">
        <v>0</v>
      </c>
      <c r="S1033" s="105"/>
      <c r="T1033" s="101" t="s">
        <v>88</v>
      </c>
      <c r="U1033" s="177"/>
      <c r="V1033" s="103">
        <v>3000</v>
      </c>
      <c r="W1033" s="103">
        <f>V1033+U1033</f>
        <v>3000</v>
      </c>
      <c r="X1033" s="103">
        <v>3000</v>
      </c>
      <c r="Y1033" s="177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95" t="s">
        <v>60</v>
      </c>
      <c r="G1034" s="295"/>
      <c r="H1034" s="57"/>
      <c r="I1034" s="295" t="s">
        <v>61</v>
      </c>
      <c r="J1034" s="295"/>
      <c r="K1034" s="295"/>
      <c r="L1034" s="73"/>
      <c r="M1034" s="57"/>
      <c r="N1034" s="100"/>
      <c r="O1034" s="101" t="s">
        <v>63</v>
      </c>
      <c r="P1034" s="101">
        <v>31</v>
      </c>
      <c r="Q1034" s="101">
        <v>0</v>
      </c>
      <c r="R1034" s="101">
        <v>0</v>
      </c>
      <c r="S1034" s="105"/>
      <c r="T1034" s="101" t="s">
        <v>63</v>
      </c>
      <c r="U1034" s="177">
        <f>IF($J$1="April",Y1033,Y1033)</f>
        <v>0</v>
      </c>
      <c r="V1034" s="103">
        <v>5000</v>
      </c>
      <c r="W1034" s="177">
        <f t="shared" ref="W1034:W1043" si="188">IF(U1034="","",U1034+V1034)</f>
        <v>5000</v>
      </c>
      <c r="X1034" s="103">
        <v>1500</v>
      </c>
      <c r="Y1034" s="177">
        <f t="shared" ref="Y1034:Y1043" si="189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>
        <v>29</v>
      </c>
      <c r="Q1035" s="101">
        <v>1</v>
      </c>
      <c r="R1035" s="101">
        <v>0</v>
      </c>
      <c r="S1035" s="105"/>
      <c r="T1035" s="101" t="s">
        <v>64</v>
      </c>
      <c r="U1035" s="177">
        <f>IF($J$1="April",Y1034,Y1034)</f>
        <v>3500</v>
      </c>
      <c r="V1035" s="103">
        <v>1000</v>
      </c>
      <c r="W1035" s="177">
        <f t="shared" si="188"/>
        <v>4500</v>
      </c>
      <c r="X1035" s="103">
        <v>2000</v>
      </c>
      <c r="Y1035" s="177">
        <f t="shared" si="189"/>
        <v>2500</v>
      </c>
      <c r="Z1035" s="106"/>
      <c r="AA1035" s="57"/>
    </row>
    <row r="1036" spans="1:27" s="55" customFormat="1" ht="21" customHeight="1" x14ac:dyDescent="0.25">
      <c r="A1036" s="56"/>
      <c r="B1036" s="296" t="s">
        <v>59</v>
      </c>
      <c r="C1036" s="297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2500</v>
      </c>
      <c r="H1036" s="74"/>
      <c r="I1036" s="76">
        <f>IF(C1040&gt;0,$K$2,C1038)</f>
        <v>31</v>
      </c>
      <c r="J1036" s="77" t="s">
        <v>78</v>
      </c>
      <c r="K1036" s="78">
        <f>K1032/$K$2*I1036</f>
        <v>15000</v>
      </c>
      <c r="L1036" s="79"/>
      <c r="M1036" s="57"/>
      <c r="N1036" s="100"/>
      <c r="O1036" s="101" t="s">
        <v>65</v>
      </c>
      <c r="P1036" s="101">
        <v>30</v>
      </c>
      <c r="Q1036" s="101">
        <v>1</v>
      </c>
      <c r="R1036" s="101">
        <v>15</v>
      </c>
      <c r="S1036" s="105"/>
      <c r="T1036" s="101" t="s">
        <v>65</v>
      </c>
      <c r="U1036" s="177">
        <f>Y1035</f>
        <v>2500</v>
      </c>
      <c r="V1036" s="103">
        <v>2000</v>
      </c>
      <c r="W1036" s="177">
        <f t="shared" si="188"/>
        <v>4500</v>
      </c>
      <c r="X1036" s="103"/>
      <c r="Y1036" s="177">
        <f t="shared" si="189"/>
        <v>4500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4"/>
      <c r="I1037" s="120">
        <v>2</v>
      </c>
      <c r="J1037" s="77" t="s">
        <v>79</v>
      </c>
      <c r="K1037" s="80">
        <f>K1032/$K$2/8*I1037</f>
        <v>120.96774193548387</v>
      </c>
      <c r="L1037" s="81"/>
      <c r="M1037" s="57"/>
      <c r="N1037" s="100"/>
      <c r="O1037" s="101" t="s">
        <v>66</v>
      </c>
      <c r="P1037" s="101"/>
      <c r="Q1037" s="101"/>
      <c r="R1037" s="101">
        <v>0</v>
      </c>
      <c r="S1037" s="105"/>
      <c r="T1037" s="101" t="s">
        <v>66</v>
      </c>
      <c r="U1037" s="177"/>
      <c r="V1037" s="103"/>
      <c r="W1037" s="177" t="str">
        <f t="shared" si="188"/>
        <v/>
      </c>
      <c r="X1037" s="103"/>
      <c r="Y1037" s="177" t="str">
        <f t="shared" si="189"/>
        <v/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30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4500</v>
      </c>
      <c r="H1038" s="74"/>
      <c r="I1038" s="298" t="s">
        <v>86</v>
      </c>
      <c r="J1038" s="299"/>
      <c r="K1038" s="80">
        <f>K1036+K1037</f>
        <v>15120.967741935483</v>
      </c>
      <c r="L1038" s="81"/>
      <c r="M1038" s="57"/>
      <c r="N1038" s="100"/>
      <c r="O1038" s="101" t="s">
        <v>67</v>
      </c>
      <c r="P1038" s="101"/>
      <c r="Q1038" s="101"/>
      <c r="R1038" s="101">
        <v>0</v>
      </c>
      <c r="S1038" s="105"/>
      <c r="T1038" s="101" t="s">
        <v>67</v>
      </c>
      <c r="U1038" s="177"/>
      <c r="V1038" s="103"/>
      <c r="W1038" s="177" t="str">
        <f t="shared" si="188"/>
        <v/>
      </c>
      <c r="X1038" s="103"/>
      <c r="Y1038" s="177" t="str">
        <f t="shared" si="189"/>
        <v/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0</v>
      </c>
      <c r="H1039" s="74"/>
      <c r="I1039" s="298" t="s">
        <v>87</v>
      </c>
      <c r="J1039" s="299"/>
      <c r="K1039" s="70">
        <f>G1039</f>
        <v>0</v>
      </c>
      <c r="L1039" s="82"/>
      <c r="M1039" s="57"/>
      <c r="N1039" s="100"/>
      <c r="O1039" s="101" t="s">
        <v>68</v>
      </c>
      <c r="P1039" s="101"/>
      <c r="Q1039" s="101"/>
      <c r="R1039" s="101">
        <v>0</v>
      </c>
      <c r="S1039" s="105"/>
      <c r="T1039" s="101" t="s">
        <v>68</v>
      </c>
      <c r="U1039" s="177"/>
      <c r="V1039" s="103"/>
      <c r="W1039" s="177" t="str">
        <f t="shared" si="188"/>
        <v/>
      </c>
      <c r="X1039" s="103"/>
      <c r="Y1039" s="177" t="str">
        <f t="shared" si="189"/>
        <v/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15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4500</v>
      </c>
      <c r="H1040" s="57"/>
      <c r="I1040" s="284" t="s">
        <v>80</v>
      </c>
      <c r="J1040" s="285"/>
      <c r="K1040" s="84">
        <f>K1038-K1039</f>
        <v>15120.967741935483</v>
      </c>
      <c r="L1040" s="85"/>
      <c r="M1040" s="57"/>
      <c r="N1040" s="100"/>
      <c r="O1040" s="101" t="s">
        <v>73</v>
      </c>
      <c r="P1040" s="101"/>
      <c r="Q1040" s="101"/>
      <c r="R1040" s="101" t="str">
        <f t="shared" ref="R1040:R1041" si="190">IF(Q1040="","",R1039-Q1040)</f>
        <v/>
      </c>
      <c r="S1040" s="105"/>
      <c r="T1040" s="101" t="s">
        <v>73</v>
      </c>
      <c r="U1040" s="177"/>
      <c r="V1040" s="103"/>
      <c r="W1040" s="177" t="str">
        <f t="shared" si="188"/>
        <v/>
      </c>
      <c r="X1040" s="103"/>
      <c r="Y1040" s="177" t="str">
        <f t="shared" si="189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/>
      <c r="Q1041" s="101"/>
      <c r="R1041" s="101" t="str">
        <f t="shared" si="190"/>
        <v/>
      </c>
      <c r="S1041" s="105"/>
      <c r="T1041" s="101" t="s">
        <v>69</v>
      </c>
      <c r="U1041" s="177"/>
      <c r="V1041" s="103"/>
      <c r="W1041" s="177" t="str">
        <f t="shared" si="188"/>
        <v/>
      </c>
      <c r="X1041" s="103"/>
      <c r="Y1041" s="177" t="str">
        <f t="shared" si="189"/>
        <v/>
      </c>
      <c r="Z1041" s="106"/>
      <c r="AA1041" s="57"/>
    </row>
    <row r="1042" spans="1:27" s="55" customFormat="1" ht="21" customHeight="1" x14ac:dyDescent="0.25">
      <c r="A1042" s="56"/>
      <c r="B1042" s="286" t="s">
        <v>118</v>
      </c>
      <c r="C1042" s="286"/>
      <c r="D1042" s="286"/>
      <c r="E1042" s="286"/>
      <c r="F1042" s="286"/>
      <c r="G1042" s="286"/>
      <c r="H1042" s="286"/>
      <c r="I1042" s="286"/>
      <c r="J1042" s="286"/>
      <c r="K1042" s="286"/>
      <c r="L1042" s="73"/>
      <c r="M1042" s="57"/>
      <c r="N1042" s="100"/>
      <c r="O1042" s="101" t="s">
        <v>74</v>
      </c>
      <c r="P1042" s="101"/>
      <c r="Q1042" s="101"/>
      <c r="R1042" s="101">
        <v>0</v>
      </c>
      <c r="S1042" s="105"/>
      <c r="T1042" s="101" t="s">
        <v>74</v>
      </c>
      <c r="U1042" s="177"/>
      <c r="V1042" s="103"/>
      <c r="W1042" s="177" t="str">
        <f t="shared" si="188"/>
        <v/>
      </c>
      <c r="X1042" s="103"/>
      <c r="Y1042" s="177" t="str">
        <f t="shared" si="189"/>
        <v/>
      </c>
      <c r="Z1042" s="106"/>
      <c r="AA1042" s="57"/>
    </row>
    <row r="1043" spans="1:27" s="55" customFormat="1" ht="21" customHeight="1" x14ac:dyDescent="0.25">
      <c r="A1043" s="56"/>
      <c r="B1043" s="286"/>
      <c r="C1043" s="286"/>
      <c r="D1043" s="286"/>
      <c r="E1043" s="286"/>
      <c r="F1043" s="286"/>
      <c r="G1043" s="286"/>
      <c r="H1043" s="286"/>
      <c r="I1043" s="286"/>
      <c r="J1043" s="286"/>
      <c r="K1043" s="286"/>
      <c r="L1043" s="73"/>
      <c r="M1043" s="57"/>
      <c r="N1043" s="100"/>
      <c r="O1043" s="101" t="s">
        <v>75</v>
      </c>
      <c r="P1043" s="101"/>
      <c r="Q1043" s="101"/>
      <c r="R1043" s="101">
        <v>0</v>
      </c>
      <c r="S1043" s="105"/>
      <c r="T1043" s="101" t="s">
        <v>75</v>
      </c>
      <c r="U1043" s="177"/>
      <c r="V1043" s="103"/>
      <c r="W1043" s="177" t="str">
        <f t="shared" si="188"/>
        <v/>
      </c>
      <c r="X1043" s="103"/>
      <c r="Y1043" s="177" t="str">
        <f t="shared" si="189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27" t="s">
        <v>57</v>
      </c>
      <c r="B1046" s="328"/>
      <c r="C1046" s="328"/>
      <c r="D1046" s="328"/>
      <c r="E1046" s="328"/>
      <c r="F1046" s="328"/>
      <c r="G1046" s="328"/>
      <c r="H1046" s="328"/>
      <c r="I1046" s="328"/>
      <c r="J1046" s="328"/>
      <c r="K1046" s="328"/>
      <c r="L1046" s="329"/>
      <c r="M1046" s="54"/>
      <c r="N1046" s="93"/>
      <c r="O1046" s="290" t="s">
        <v>59</v>
      </c>
      <c r="P1046" s="291"/>
      <c r="Q1046" s="291"/>
      <c r="R1046" s="292"/>
      <c r="S1046" s="94"/>
      <c r="T1046" s="290" t="s">
        <v>60</v>
      </c>
      <c r="U1046" s="291"/>
      <c r="V1046" s="291"/>
      <c r="W1046" s="291"/>
      <c r="X1046" s="291"/>
      <c r="Y1046" s="292"/>
      <c r="Z1046" s="95"/>
      <c r="AA1046" s="54"/>
    </row>
    <row r="1047" spans="1:27" s="55" customFormat="1" ht="21" customHeight="1" x14ac:dyDescent="0.25">
      <c r="A1047" s="56"/>
      <c r="B1047" s="57"/>
      <c r="C1047" s="293" t="s">
        <v>116</v>
      </c>
      <c r="D1047" s="293"/>
      <c r="E1047" s="293"/>
      <c r="F1047" s="293"/>
      <c r="G1047" s="58" t="str">
        <f>$J$1</f>
        <v>May</v>
      </c>
      <c r="H1047" s="294">
        <f>$K$1</f>
        <v>2019</v>
      </c>
      <c r="I1047" s="294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/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95" t="s">
        <v>60</v>
      </c>
      <c r="G1050" s="295"/>
      <c r="H1050" s="57"/>
      <c r="I1050" s="295" t="s">
        <v>61</v>
      </c>
      <c r="J1050" s="295"/>
      <c r="K1050" s="295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191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192">IF(U1050="","",U1050+V1050)</f>
        <v>0</v>
      </c>
      <c r="X1050" s="103"/>
      <c r="Y1050" s="177">
        <f t="shared" ref="Y1050:Y1059" si="193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191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192"/>
        <v>0</v>
      </c>
      <c r="X1051" s="103"/>
      <c r="Y1051" s="177">
        <f t="shared" si="193"/>
        <v>0</v>
      </c>
      <c r="Z1051" s="106"/>
      <c r="AA1051" s="57"/>
    </row>
    <row r="1052" spans="1:27" s="55" customFormat="1" ht="21" customHeight="1" x14ac:dyDescent="0.25">
      <c r="A1052" s="56"/>
      <c r="B1052" s="296" t="s">
        <v>59</v>
      </c>
      <c r="C1052" s="297"/>
      <c r="D1052" s="57"/>
      <c r="E1052" s="57"/>
      <c r="F1052" s="75" t="s">
        <v>81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191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192"/>
        <v>0</v>
      </c>
      <c r="X1052" s="103"/>
      <c r="Y1052" s="177">
        <f t="shared" si="193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191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192"/>
        <v>0</v>
      </c>
      <c r="X1053" s="103"/>
      <c r="Y1053" s="177">
        <f t="shared" si="193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98" t="s">
        <v>86</v>
      </c>
      <c r="J1054" s="299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191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192"/>
        <v/>
      </c>
      <c r="X1054" s="103"/>
      <c r="Y1054" s="177" t="str">
        <f t="shared" si="193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98" t="s">
        <v>87</v>
      </c>
      <c r="J1055" s="299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191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192"/>
        <v/>
      </c>
      <c r="X1055" s="103"/>
      <c r="Y1055" s="177" t="str">
        <f t="shared" si="193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84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84" t="s">
        <v>80</v>
      </c>
      <c r="J1056" s="285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191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192"/>
        <v/>
      </c>
      <c r="X1056" s="103"/>
      <c r="Y1056" s="177" t="str">
        <f t="shared" si="193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191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192"/>
        <v/>
      </c>
      <c r="X1057" s="103"/>
      <c r="Y1057" s="177" t="str">
        <f t="shared" si="193"/>
        <v/>
      </c>
      <c r="Z1057" s="106"/>
      <c r="AA1057" s="57"/>
    </row>
    <row r="1058" spans="1:27" s="55" customFormat="1" ht="21" customHeight="1" x14ac:dyDescent="0.25">
      <c r="A1058" s="56"/>
      <c r="B1058" s="286" t="s">
        <v>118</v>
      </c>
      <c r="C1058" s="286"/>
      <c r="D1058" s="286"/>
      <c r="E1058" s="286"/>
      <c r="F1058" s="286"/>
      <c r="G1058" s="286"/>
      <c r="H1058" s="286"/>
      <c r="I1058" s="286"/>
      <c r="J1058" s="286"/>
      <c r="K1058" s="286"/>
      <c r="L1058" s="73"/>
      <c r="M1058" s="57"/>
      <c r="N1058" s="100"/>
      <c r="O1058" s="101" t="s">
        <v>74</v>
      </c>
      <c r="P1058" s="101"/>
      <c r="Q1058" s="101"/>
      <c r="R1058" s="101" t="str">
        <f t="shared" si="191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192"/>
        <v/>
      </c>
      <c r="X1058" s="103"/>
      <c r="Y1058" s="177" t="str">
        <f t="shared" si="193"/>
        <v/>
      </c>
      <c r="Z1058" s="106"/>
      <c r="AA1058" s="57"/>
    </row>
    <row r="1059" spans="1:27" s="55" customFormat="1" ht="21" customHeight="1" x14ac:dyDescent="0.25">
      <c r="A1059" s="56"/>
      <c r="B1059" s="286"/>
      <c r="C1059" s="286"/>
      <c r="D1059" s="286"/>
      <c r="E1059" s="286"/>
      <c r="F1059" s="286"/>
      <c r="G1059" s="286"/>
      <c r="H1059" s="286"/>
      <c r="I1059" s="286"/>
      <c r="J1059" s="286"/>
      <c r="K1059" s="286"/>
      <c r="L1059" s="73"/>
      <c r="M1059" s="57"/>
      <c r="N1059" s="100"/>
      <c r="O1059" s="101" t="s">
        <v>75</v>
      </c>
      <c r="P1059" s="101"/>
      <c r="Q1059" s="101"/>
      <c r="R1059" s="101" t="str">
        <f t="shared" si="191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192"/>
        <v/>
      </c>
      <c r="X1059" s="103"/>
      <c r="Y1059" s="177" t="str">
        <f t="shared" si="193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24" t="s">
        <v>57</v>
      </c>
      <c r="B1062" s="325"/>
      <c r="C1062" s="325"/>
      <c r="D1062" s="325"/>
      <c r="E1062" s="325"/>
      <c r="F1062" s="325"/>
      <c r="G1062" s="325"/>
      <c r="H1062" s="325"/>
      <c r="I1062" s="325"/>
      <c r="J1062" s="325"/>
      <c r="K1062" s="325"/>
      <c r="L1062" s="326"/>
      <c r="M1062" s="54"/>
      <c r="N1062" s="93"/>
      <c r="O1062" s="290" t="s">
        <v>59</v>
      </c>
      <c r="P1062" s="291"/>
      <c r="Q1062" s="291"/>
      <c r="R1062" s="292"/>
      <c r="S1062" s="94"/>
      <c r="T1062" s="290" t="s">
        <v>60</v>
      </c>
      <c r="U1062" s="291"/>
      <c r="V1062" s="291"/>
      <c r="W1062" s="291"/>
      <c r="X1062" s="291"/>
      <c r="Y1062" s="292"/>
      <c r="Z1062" s="95"/>
      <c r="AA1062" s="54"/>
    </row>
    <row r="1063" spans="1:27" s="55" customFormat="1" ht="21" customHeight="1" x14ac:dyDescent="0.25">
      <c r="A1063" s="56"/>
      <c r="B1063" s="57"/>
      <c r="C1063" s="293" t="s">
        <v>116</v>
      </c>
      <c r="D1063" s="293"/>
      <c r="E1063" s="293"/>
      <c r="F1063" s="293"/>
      <c r="G1063" s="58" t="str">
        <f>$J$1</f>
        <v>May</v>
      </c>
      <c r="H1063" s="294">
        <f>$K$1</f>
        <v>2019</v>
      </c>
      <c r="I1063" s="294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/>
      <c r="V1065" s="103"/>
      <c r="W1065" s="177" t="str">
        <f>IF(U1065="","",U1065+V1065)</f>
        <v/>
      </c>
      <c r="X1065" s="103"/>
      <c r="Y1065" s="177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95" t="s">
        <v>60</v>
      </c>
      <c r="G1066" s="295"/>
      <c r="H1066" s="57"/>
      <c r="I1066" s="295" t="s">
        <v>61</v>
      </c>
      <c r="J1066" s="295"/>
      <c r="K1066" s="295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194">IF(Q1066="","",R1065-Q1066)</f>
        <v/>
      </c>
      <c r="S1066" s="105"/>
      <c r="T1066" s="101" t="s">
        <v>63</v>
      </c>
      <c r="U1066" s="177"/>
      <c r="V1066" s="103"/>
      <c r="W1066" s="177" t="str">
        <f t="shared" ref="W1066:W1075" si="195">IF(U1066="","",U1066+V1066)</f>
        <v/>
      </c>
      <c r="X1066" s="103"/>
      <c r="Y1066" s="177" t="str">
        <f t="shared" ref="Y1066:Y1075" si="196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194"/>
        <v/>
      </c>
      <c r="S1067" s="105"/>
      <c r="T1067" s="101" t="s">
        <v>64</v>
      </c>
      <c r="U1067" s="177"/>
      <c r="V1067" s="103"/>
      <c r="W1067" s="177" t="str">
        <f t="shared" si="195"/>
        <v/>
      </c>
      <c r="X1067" s="103"/>
      <c r="Y1067" s="177" t="str">
        <f t="shared" si="196"/>
        <v/>
      </c>
      <c r="Z1067" s="106"/>
      <c r="AA1067" s="57"/>
    </row>
    <row r="1068" spans="1:27" s="55" customFormat="1" ht="21" customHeight="1" x14ac:dyDescent="0.25">
      <c r="A1068" s="56"/>
      <c r="B1068" s="296" t="s">
        <v>59</v>
      </c>
      <c r="C1068" s="297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194"/>
        <v/>
      </c>
      <c r="S1068" s="105"/>
      <c r="T1068" s="101" t="s">
        <v>65</v>
      </c>
      <c r="U1068" s="177"/>
      <c r="V1068" s="103"/>
      <c r="W1068" s="177" t="str">
        <f t="shared" si="195"/>
        <v/>
      </c>
      <c r="X1068" s="103"/>
      <c r="Y1068" s="177" t="str">
        <f t="shared" si="196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194"/>
        <v/>
      </c>
      <c r="S1069" s="105"/>
      <c r="T1069" s="101" t="s">
        <v>66</v>
      </c>
      <c r="U1069" s="177"/>
      <c r="V1069" s="103"/>
      <c r="W1069" s="177" t="str">
        <f t="shared" si="195"/>
        <v/>
      </c>
      <c r="X1069" s="103"/>
      <c r="Y1069" s="177" t="str">
        <f t="shared" si="196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98" t="s">
        <v>86</v>
      </c>
      <c r="J1070" s="299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194"/>
        <v/>
      </c>
      <c r="S1070" s="105"/>
      <c r="T1070" s="101" t="s">
        <v>67</v>
      </c>
      <c r="U1070" s="177"/>
      <c r="V1070" s="103"/>
      <c r="W1070" s="177" t="str">
        <f t="shared" si="195"/>
        <v/>
      </c>
      <c r="X1070" s="103"/>
      <c r="Y1070" s="177" t="str">
        <f t="shared" si="196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98" t="s">
        <v>87</v>
      </c>
      <c r="J1071" s="299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194"/>
        <v/>
      </c>
      <c r="S1071" s="105"/>
      <c r="T1071" s="101" t="s">
        <v>68</v>
      </c>
      <c r="U1071" s="177"/>
      <c r="V1071" s="103"/>
      <c r="W1071" s="177" t="str">
        <f t="shared" si="195"/>
        <v/>
      </c>
      <c r="X1071" s="103"/>
      <c r="Y1071" s="177" t="str">
        <f t="shared" si="196"/>
        <v/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84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284" t="s">
        <v>80</v>
      </c>
      <c r="J1072" s="285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194"/>
        <v/>
      </c>
      <c r="S1072" s="105"/>
      <c r="T1072" s="101" t="s">
        <v>73</v>
      </c>
      <c r="U1072" s="177"/>
      <c r="V1072" s="103"/>
      <c r="W1072" s="177" t="str">
        <f t="shared" si="195"/>
        <v/>
      </c>
      <c r="X1072" s="103"/>
      <c r="Y1072" s="177" t="str">
        <f t="shared" si="196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194"/>
        <v/>
      </c>
      <c r="S1073" s="105"/>
      <c r="T1073" s="101" t="s">
        <v>69</v>
      </c>
      <c r="U1073" s="177"/>
      <c r="V1073" s="103"/>
      <c r="W1073" s="177" t="str">
        <f t="shared" si="195"/>
        <v/>
      </c>
      <c r="X1073" s="103"/>
      <c r="Y1073" s="177" t="str">
        <f t="shared" si="196"/>
        <v/>
      </c>
      <c r="Z1073" s="106"/>
      <c r="AA1073" s="57"/>
    </row>
    <row r="1074" spans="1:27" s="55" customFormat="1" ht="21" customHeight="1" x14ac:dyDescent="0.25">
      <c r="A1074" s="56"/>
      <c r="B1074" s="286" t="s">
        <v>118</v>
      </c>
      <c r="C1074" s="286"/>
      <c r="D1074" s="286"/>
      <c r="E1074" s="286"/>
      <c r="F1074" s="286"/>
      <c r="G1074" s="286"/>
      <c r="H1074" s="286"/>
      <c r="I1074" s="286"/>
      <c r="J1074" s="286"/>
      <c r="K1074" s="286"/>
      <c r="L1074" s="73"/>
      <c r="M1074" s="57"/>
      <c r="N1074" s="100"/>
      <c r="O1074" s="101" t="s">
        <v>74</v>
      </c>
      <c r="P1074" s="101"/>
      <c r="Q1074" s="101"/>
      <c r="R1074" s="101" t="str">
        <f t="shared" si="194"/>
        <v/>
      </c>
      <c r="S1074" s="105"/>
      <c r="T1074" s="101" t="s">
        <v>74</v>
      </c>
      <c r="U1074" s="177"/>
      <c r="V1074" s="103"/>
      <c r="W1074" s="177" t="str">
        <f t="shared" si="195"/>
        <v/>
      </c>
      <c r="X1074" s="103"/>
      <c r="Y1074" s="177" t="str">
        <f t="shared" si="196"/>
        <v/>
      </c>
      <c r="Z1074" s="106"/>
      <c r="AA1074" s="57"/>
    </row>
    <row r="1075" spans="1:27" s="55" customFormat="1" ht="21" customHeight="1" x14ac:dyDescent="0.25">
      <c r="A1075" s="56"/>
      <c r="B1075" s="286"/>
      <c r="C1075" s="286"/>
      <c r="D1075" s="286"/>
      <c r="E1075" s="286"/>
      <c r="F1075" s="286"/>
      <c r="G1075" s="286"/>
      <c r="H1075" s="286"/>
      <c r="I1075" s="286"/>
      <c r="J1075" s="286"/>
      <c r="K1075" s="286"/>
      <c r="L1075" s="73"/>
      <c r="M1075" s="57"/>
      <c r="N1075" s="100"/>
      <c r="O1075" s="101" t="s">
        <v>75</v>
      </c>
      <c r="P1075" s="101"/>
      <c r="Q1075" s="101"/>
      <c r="R1075" s="101" t="str">
        <f t="shared" si="194"/>
        <v/>
      </c>
      <c r="S1075" s="105"/>
      <c r="T1075" s="101" t="s">
        <v>75</v>
      </c>
      <c r="U1075" s="177"/>
      <c r="V1075" s="103"/>
      <c r="W1075" s="177" t="str">
        <f t="shared" si="195"/>
        <v/>
      </c>
      <c r="X1075" s="103"/>
      <c r="Y1075" s="177" t="str">
        <f t="shared" si="196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300" t="s">
        <v>57</v>
      </c>
      <c r="B1078" s="301"/>
      <c r="C1078" s="301"/>
      <c r="D1078" s="301"/>
      <c r="E1078" s="301"/>
      <c r="F1078" s="301"/>
      <c r="G1078" s="301"/>
      <c r="H1078" s="301"/>
      <c r="I1078" s="301"/>
      <c r="J1078" s="301"/>
      <c r="K1078" s="301"/>
      <c r="L1078" s="302"/>
      <c r="M1078" s="54"/>
      <c r="N1078" s="93"/>
      <c r="O1078" s="290" t="s">
        <v>59</v>
      </c>
      <c r="P1078" s="291"/>
      <c r="Q1078" s="291"/>
      <c r="R1078" s="292"/>
      <c r="S1078" s="94"/>
      <c r="T1078" s="290" t="s">
        <v>60</v>
      </c>
      <c r="U1078" s="291"/>
      <c r="V1078" s="291"/>
      <c r="W1078" s="291"/>
      <c r="X1078" s="291"/>
      <c r="Y1078" s="292"/>
      <c r="Z1078" s="95"/>
      <c r="AA1078" s="54"/>
    </row>
    <row r="1079" spans="1:27" s="55" customFormat="1" ht="21" customHeight="1" x14ac:dyDescent="0.25">
      <c r="A1079" s="56"/>
      <c r="B1079" s="57"/>
      <c r="C1079" s="293" t="s">
        <v>116</v>
      </c>
      <c r="D1079" s="293"/>
      <c r="E1079" s="293"/>
      <c r="F1079" s="293"/>
      <c r="G1079" s="58" t="str">
        <f>$J$1</f>
        <v>May</v>
      </c>
      <c r="H1079" s="294">
        <f>$K$1</f>
        <v>2019</v>
      </c>
      <c r="I1079" s="294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31</v>
      </c>
      <c r="Q1080" s="101">
        <v>0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95" t="s">
        <v>60</v>
      </c>
      <c r="G1082" s="295"/>
      <c r="H1082" s="57"/>
      <c r="I1082" s="295" t="s">
        <v>61</v>
      </c>
      <c r="J1082" s="295"/>
      <c r="K1082" s="295"/>
      <c r="L1082" s="73"/>
      <c r="M1082" s="57"/>
      <c r="N1082" s="100"/>
      <c r="O1082" s="101" t="s">
        <v>63</v>
      </c>
      <c r="P1082" s="101">
        <v>31</v>
      </c>
      <c r="Q1082" s="101">
        <v>0</v>
      </c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197">IF(U1082="","",U1082+V1082)</f>
        <v>0</v>
      </c>
      <c r="X1082" s="103"/>
      <c r="Y1082" s="177">
        <f t="shared" ref="Y1082:Y1091" si="198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>
        <v>30</v>
      </c>
      <c r="Q1083" s="101">
        <v>0</v>
      </c>
      <c r="R1083" s="101">
        <f t="shared" ref="R1083:R1090" si="199">IF(Q1083="","",R1082-Q1083)</f>
        <v>0</v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197"/>
        <v>0</v>
      </c>
      <c r="X1083" s="103"/>
      <c r="Y1083" s="177">
        <f t="shared" si="198"/>
        <v>0</v>
      </c>
      <c r="Z1083" s="106"/>
      <c r="AA1083" s="57"/>
    </row>
    <row r="1084" spans="1:27" s="55" customFormat="1" ht="21" customHeight="1" x14ac:dyDescent="0.25">
      <c r="A1084" s="56"/>
      <c r="B1084" s="296" t="s">
        <v>59</v>
      </c>
      <c r="C1084" s="297"/>
      <c r="D1084" s="57"/>
      <c r="E1084" s="57"/>
      <c r="F1084" s="75" t="s">
        <v>81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256">
        <f>IF(C1088&gt;0,$K$2,C1086)+1</f>
        <v>31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>
        <v>30</v>
      </c>
      <c r="Q1084" s="101">
        <v>1</v>
      </c>
      <c r="R1084" s="101">
        <v>0</v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197"/>
        <v>0</v>
      </c>
      <c r="X1084" s="103"/>
      <c r="Y1084" s="177">
        <f t="shared" si="198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69</v>
      </c>
      <c r="J1085" s="77" t="s">
        <v>79</v>
      </c>
      <c r="K1085" s="80">
        <f>K1080/$K$2/8*I1085</f>
        <v>9737.9032258064508</v>
      </c>
      <c r="L1085" s="81"/>
      <c r="M1085" s="57"/>
      <c r="N1085" s="100"/>
      <c r="O1085" s="101" t="s">
        <v>66</v>
      </c>
      <c r="P1085" s="101"/>
      <c r="Q1085" s="101"/>
      <c r="R1085" s="101" t="str">
        <f t="shared" si="199"/>
        <v/>
      </c>
      <c r="S1085" s="105"/>
      <c r="T1085" s="101" t="s">
        <v>66</v>
      </c>
      <c r="U1085" s="177">
        <f>IF($J$1="May",Y1084,Y1084)</f>
        <v>0</v>
      </c>
      <c r="V1085" s="103">
        <f>45000-44738</f>
        <v>262</v>
      </c>
      <c r="W1085" s="177">
        <f t="shared" si="197"/>
        <v>262</v>
      </c>
      <c r="X1085" s="103"/>
      <c r="Y1085" s="177">
        <f t="shared" si="198"/>
        <v>262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7"/>
      <c r="E1086" s="57"/>
      <c r="F1086" s="75" t="s">
        <v>82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298" t="s">
        <v>86</v>
      </c>
      <c r="J1086" s="299"/>
      <c r="K1086" s="80">
        <f>K1084+K1085</f>
        <v>44737.903225806454</v>
      </c>
      <c r="L1086" s="81"/>
      <c r="M1086" s="57"/>
      <c r="N1086" s="100"/>
      <c r="O1086" s="101" t="s">
        <v>67</v>
      </c>
      <c r="P1086" s="101"/>
      <c r="Q1086" s="101"/>
      <c r="R1086" s="101" t="str">
        <f t="shared" si="199"/>
        <v/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197"/>
        <v/>
      </c>
      <c r="X1086" s="103"/>
      <c r="Y1086" s="177" t="str">
        <f t="shared" si="198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1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98" t="s">
        <v>87</v>
      </c>
      <c r="J1087" s="299"/>
      <c r="K1087" s="70">
        <f>G1087</f>
        <v>0</v>
      </c>
      <c r="L1087" s="82"/>
      <c r="M1087" s="57"/>
      <c r="N1087" s="100"/>
      <c r="O1087" s="101" t="s">
        <v>68</v>
      </c>
      <c r="P1087" s="101"/>
      <c r="Q1087" s="101"/>
      <c r="R1087" s="101" t="str">
        <f t="shared" si="199"/>
        <v/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197"/>
        <v/>
      </c>
      <c r="X1087" s="103"/>
      <c r="Y1087" s="177" t="str">
        <f t="shared" si="198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84" t="s">
        <v>80</v>
      </c>
      <c r="J1088" s="285"/>
      <c r="K1088" s="84">
        <f>K1086-K1087</f>
        <v>44737.903225806454</v>
      </c>
      <c r="L1088" s="85"/>
      <c r="M1088" s="57"/>
      <c r="N1088" s="100"/>
      <c r="O1088" s="101" t="s">
        <v>73</v>
      </c>
      <c r="P1088" s="101"/>
      <c r="Q1088" s="101"/>
      <c r="R1088" s="101" t="str">
        <f t="shared" si="199"/>
        <v/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197"/>
        <v/>
      </c>
      <c r="X1088" s="103"/>
      <c r="Y1088" s="177" t="str">
        <f t="shared" si="198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69</v>
      </c>
      <c r="P1089" s="101"/>
      <c r="Q1089" s="101"/>
      <c r="R1089" s="101" t="str">
        <f t="shared" si="199"/>
        <v/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197"/>
        <v/>
      </c>
      <c r="X1089" s="103"/>
      <c r="Y1089" s="177" t="str">
        <f t="shared" si="198"/>
        <v/>
      </c>
      <c r="Z1089" s="106"/>
      <c r="AA1089" s="57"/>
    </row>
    <row r="1090" spans="1:27" s="55" customFormat="1" ht="21" customHeight="1" x14ac:dyDescent="0.25">
      <c r="A1090" s="56"/>
      <c r="B1090" s="286" t="s">
        <v>118</v>
      </c>
      <c r="C1090" s="286"/>
      <c r="D1090" s="286"/>
      <c r="E1090" s="286"/>
      <c r="F1090" s="286"/>
      <c r="G1090" s="286"/>
      <c r="H1090" s="286"/>
      <c r="I1090" s="286"/>
      <c r="J1090" s="286"/>
      <c r="K1090" s="286"/>
      <c r="L1090" s="73"/>
      <c r="M1090" s="57"/>
      <c r="N1090" s="100"/>
      <c r="O1090" s="101" t="s">
        <v>74</v>
      </c>
      <c r="P1090" s="101"/>
      <c r="Q1090" s="101"/>
      <c r="R1090" s="101" t="str">
        <f t="shared" si="199"/>
        <v/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197"/>
        <v/>
      </c>
      <c r="X1090" s="103"/>
      <c r="Y1090" s="177" t="str">
        <f t="shared" si="198"/>
        <v/>
      </c>
      <c r="Z1090" s="106"/>
      <c r="AA1090" s="57"/>
    </row>
    <row r="1091" spans="1:27" s="55" customFormat="1" ht="21" customHeight="1" x14ac:dyDescent="0.25">
      <c r="A1091" s="56"/>
      <c r="B1091" s="286"/>
      <c r="C1091" s="286"/>
      <c r="D1091" s="286"/>
      <c r="E1091" s="286"/>
      <c r="F1091" s="286"/>
      <c r="G1091" s="286"/>
      <c r="H1091" s="286"/>
      <c r="I1091" s="286"/>
      <c r="J1091" s="286"/>
      <c r="K1091" s="286"/>
      <c r="L1091" s="73"/>
      <c r="M1091" s="57"/>
      <c r="N1091" s="100"/>
      <c r="O1091" s="101" t="s">
        <v>75</v>
      </c>
      <c r="P1091" s="101"/>
      <c r="Q1091" s="101"/>
      <c r="R1091" s="101">
        <v>0</v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197"/>
        <v/>
      </c>
      <c r="X1091" s="103"/>
      <c r="Y1091" s="177" t="str">
        <f t="shared" si="198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300" t="s">
        <v>57</v>
      </c>
      <c r="B1094" s="301"/>
      <c r="C1094" s="301"/>
      <c r="D1094" s="301"/>
      <c r="E1094" s="301"/>
      <c r="F1094" s="301"/>
      <c r="G1094" s="301"/>
      <c r="H1094" s="301"/>
      <c r="I1094" s="301"/>
      <c r="J1094" s="301"/>
      <c r="K1094" s="301"/>
      <c r="L1094" s="302"/>
      <c r="M1094" s="143"/>
      <c r="N1094" s="93"/>
      <c r="O1094" s="290" t="s">
        <v>59</v>
      </c>
      <c r="P1094" s="291"/>
      <c r="Q1094" s="291"/>
      <c r="R1094" s="292"/>
      <c r="S1094" s="94"/>
      <c r="T1094" s="290" t="s">
        <v>60</v>
      </c>
      <c r="U1094" s="291"/>
      <c r="V1094" s="291"/>
      <c r="W1094" s="291"/>
      <c r="X1094" s="291"/>
      <c r="Y1094" s="292"/>
      <c r="Z1094" s="92"/>
    </row>
    <row r="1095" spans="1:27" s="55" customFormat="1" ht="21" customHeight="1" x14ac:dyDescent="0.25">
      <c r="A1095" s="56"/>
      <c r="B1095" s="57"/>
      <c r="C1095" s="293" t="s">
        <v>116</v>
      </c>
      <c r="D1095" s="293"/>
      <c r="E1095" s="293"/>
      <c r="F1095" s="293"/>
      <c r="G1095" s="58" t="str">
        <f>$J$1</f>
        <v>May</v>
      </c>
      <c r="H1095" s="294">
        <f>$K$1</f>
        <v>2019</v>
      </c>
      <c r="I1095" s="294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>
        <v>31</v>
      </c>
      <c r="Q1096" s="101">
        <v>0</v>
      </c>
      <c r="R1096" s="101">
        <v>0</v>
      </c>
      <c r="S1096" s="102"/>
      <c r="T1096" s="101" t="s">
        <v>62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142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88</v>
      </c>
      <c r="U1097" s="177"/>
      <c r="V1097" s="103"/>
      <c r="W1097" s="177" t="str">
        <f>IF(U1097="","",U1097+V1097)</f>
        <v/>
      </c>
      <c r="X1097" s="103"/>
      <c r="Y1097" s="177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95" t="s">
        <v>60</v>
      </c>
      <c r="G1098" s="295"/>
      <c r="H1098" s="57"/>
      <c r="I1098" s="295" t="s">
        <v>61</v>
      </c>
      <c r="J1098" s="295"/>
      <c r="K1098" s="295"/>
      <c r="L1098" s="73"/>
      <c r="M1098" s="57"/>
      <c r="N1098" s="100"/>
      <c r="O1098" s="101" t="s">
        <v>63</v>
      </c>
      <c r="P1098" s="101">
        <v>31</v>
      </c>
      <c r="Q1098" s="101">
        <v>0</v>
      </c>
      <c r="R1098" s="101">
        <v>0</v>
      </c>
      <c r="S1098" s="105"/>
      <c r="T1098" s="101" t="s">
        <v>63</v>
      </c>
      <c r="U1098" s="177"/>
      <c r="V1098" s="103"/>
      <c r="W1098" s="177" t="str">
        <f t="shared" ref="W1098:W1107" si="200">IF(U1098="","",U1098+V1098)</f>
        <v/>
      </c>
      <c r="X1098" s="103"/>
      <c r="Y1098" s="177" t="str">
        <f t="shared" ref="Y1098:Y1107" si="201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>
        <v>30</v>
      </c>
      <c r="Q1099" s="101">
        <v>0</v>
      </c>
      <c r="R1099" s="101">
        <f t="shared" ref="R1099:R1107" si="202">IF(Q1099="","",R1098-Q1099)</f>
        <v>0</v>
      </c>
      <c r="S1099" s="105"/>
      <c r="T1099" s="101" t="s">
        <v>64</v>
      </c>
      <c r="U1099" s="177"/>
      <c r="V1099" s="103"/>
      <c r="W1099" s="177" t="str">
        <f t="shared" si="200"/>
        <v/>
      </c>
      <c r="X1099" s="103"/>
      <c r="Y1099" s="177" t="str">
        <f t="shared" si="201"/>
        <v/>
      </c>
      <c r="Z1099" s="92"/>
    </row>
    <row r="1100" spans="1:27" s="55" customFormat="1" ht="21" customHeight="1" x14ac:dyDescent="0.25">
      <c r="A1100" s="56"/>
      <c r="B1100" s="296" t="s">
        <v>59</v>
      </c>
      <c r="C1100" s="297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>
        <v>31</v>
      </c>
      <c r="Q1100" s="101">
        <v>0</v>
      </c>
      <c r="R1100" s="101">
        <v>0</v>
      </c>
      <c r="S1100" s="105"/>
      <c r="T1100" s="101" t="s">
        <v>65</v>
      </c>
      <c r="U1100" s="177"/>
      <c r="V1100" s="103"/>
      <c r="W1100" s="177" t="str">
        <f t="shared" si="200"/>
        <v/>
      </c>
      <c r="X1100" s="103"/>
      <c r="Y1100" s="177" t="str">
        <f t="shared" si="201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79</v>
      </c>
      <c r="K1101" s="80">
        <f>K1096/$K$2/8*I1101</f>
        <v>0</v>
      </c>
      <c r="L1101" s="81"/>
      <c r="M1101" s="57"/>
      <c r="N1101" s="100"/>
      <c r="O1101" s="101" t="s">
        <v>66</v>
      </c>
      <c r="P1101" s="101"/>
      <c r="Q1101" s="101"/>
      <c r="R1101" s="101">
        <v>0</v>
      </c>
      <c r="S1101" s="105"/>
      <c r="T1101" s="101" t="s">
        <v>66</v>
      </c>
      <c r="U1101" s="177"/>
      <c r="V1101" s="103"/>
      <c r="W1101" s="177" t="str">
        <f t="shared" si="200"/>
        <v/>
      </c>
      <c r="X1101" s="103"/>
      <c r="Y1101" s="177" t="str">
        <f t="shared" si="201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82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98" t="s">
        <v>86</v>
      </c>
      <c r="J1102" s="299"/>
      <c r="K1102" s="80">
        <f>K1100+K1101</f>
        <v>40000</v>
      </c>
      <c r="L1102" s="81"/>
      <c r="M1102" s="57"/>
      <c r="N1102" s="100"/>
      <c r="O1102" s="101" t="s">
        <v>67</v>
      </c>
      <c r="P1102" s="101"/>
      <c r="Q1102" s="101"/>
      <c r="R1102" s="101" t="str">
        <f t="shared" si="202"/>
        <v/>
      </c>
      <c r="S1102" s="105"/>
      <c r="T1102" s="101" t="s">
        <v>67</v>
      </c>
      <c r="U1102" s="177"/>
      <c r="V1102" s="103"/>
      <c r="W1102" s="177" t="str">
        <f t="shared" si="200"/>
        <v/>
      </c>
      <c r="X1102" s="103"/>
      <c r="Y1102" s="177" t="str">
        <f t="shared" si="201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98" t="s">
        <v>87</v>
      </c>
      <c r="J1103" s="299"/>
      <c r="K1103" s="70">
        <f>G1103</f>
        <v>0</v>
      </c>
      <c r="L1103" s="82"/>
      <c r="M1103" s="57"/>
      <c r="N1103" s="100"/>
      <c r="O1103" s="101" t="s">
        <v>68</v>
      </c>
      <c r="P1103" s="101"/>
      <c r="Q1103" s="101"/>
      <c r="R1103" s="101" t="str">
        <f t="shared" si="202"/>
        <v/>
      </c>
      <c r="S1103" s="105"/>
      <c r="T1103" s="101" t="s">
        <v>68</v>
      </c>
      <c r="U1103" s="177"/>
      <c r="V1103" s="103"/>
      <c r="W1103" s="177" t="str">
        <f t="shared" si="200"/>
        <v/>
      </c>
      <c r="X1103" s="103"/>
      <c r="Y1103" s="177" t="str">
        <f t="shared" si="201"/>
        <v/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84" t="s">
        <v>80</v>
      </c>
      <c r="J1104" s="285"/>
      <c r="K1104" s="84">
        <f>K1102-K1103</f>
        <v>40000</v>
      </c>
      <c r="L1104" s="85"/>
      <c r="M1104" s="57"/>
      <c r="N1104" s="100"/>
      <c r="O1104" s="101" t="s">
        <v>73</v>
      </c>
      <c r="P1104" s="101"/>
      <c r="Q1104" s="101"/>
      <c r="R1104" s="101" t="str">
        <f t="shared" si="202"/>
        <v/>
      </c>
      <c r="S1104" s="105"/>
      <c r="T1104" s="101" t="s">
        <v>73</v>
      </c>
      <c r="U1104" s="177"/>
      <c r="V1104" s="103"/>
      <c r="W1104" s="177" t="str">
        <f t="shared" si="200"/>
        <v/>
      </c>
      <c r="X1104" s="103"/>
      <c r="Y1104" s="177" t="str">
        <f t="shared" si="201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/>
      <c r="Q1105" s="101"/>
      <c r="R1105" s="101" t="str">
        <f t="shared" si="202"/>
        <v/>
      </c>
      <c r="S1105" s="105"/>
      <c r="T1105" s="101" t="s">
        <v>69</v>
      </c>
      <c r="U1105" s="177"/>
      <c r="V1105" s="103"/>
      <c r="W1105" s="177" t="str">
        <f t="shared" si="200"/>
        <v/>
      </c>
      <c r="X1105" s="103"/>
      <c r="Y1105" s="177" t="str">
        <f t="shared" si="201"/>
        <v/>
      </c>
      <c r="Z1105" s="92"/>
    </row>
    <row r="1106" spans="1:26" s="55" customFormat="1" ht="21" customHeight="1" x14ac:dyDescent="0.25">
      <c r="A1106" s="56"/>
      <c r="B1106" s="286" t="s">
        <v>118</v>
      </c>
      <c r="C1106" s="286"/>
      <c r="D1106" s="286"/>
      <c r="E1106" s="286"/>
      <c r="F1106" s="286"/>
      <c r="G1106" s="286"/>
      <c r="H1106" s="286"/>
      <c r="I1106" s="286"/>
      <c r="J1106" s="286"/>
      <c r="K1106" s="286"/>
      <c r="L1106" s="73"/>
      <c r="M1106" s="57"/>
      <c r="N1106" s="100"/>
      <c r="O1106" s="101" t="s">
        <v>74</v>
      </c>
      <c r="P1106" s="101"/>
      <c r="Q1106" s="101"/>
      <c r="R1106" s="101" t="str">
        <f t="shared" si="202"/>
        <v/>
      </c>
      <c r="S1106" s="105"/>
      <c r="T1106" s="101" t="s">
        <v>74</v>
      </c>
      <c r="U1106" s="177"/>
      <c r="V1106" s="103"/>
      <c r="W1106" s="177" t="str">
        <f t="shared" si="200"/>
        <v/>
      </c>
      <c r="X1106" s="103"/>
      <c r="Y1106" s="177" t="str">
        <f t="shared" si="201"/>
        <v/>
      </c>
      <c r="Z1106" s="92"/>
    </row>
    <row r="1107" spans="1:26" s="55" customFormat="1" ht="21" customHeight="1" x14ac:dyDescent="0.25">
      <c r="A1107" s="56"/>
      <c r="B1107" s="286"/>
      <c r="C1107" s="286"/>
      <c r="D1107" s="286"/>
      <c r="E1107" s="286"/>
      <c r="F1107" s="286"/>
      <c r="G1107" s="286"/>
      <c r="H1107" s="286"/>
      <c r="I1107" s="286"/>
      <c r="J1107" s="286"/>
      <c r="K1107" s="286"/>
      <c r="L1107" s="73"/>
      <c r="M1107" s="57"/>
      <c r="N1107" s="100"/>
      <c r="O1107" s="101" t="s">
        <v>75</v>
      </c>
      <c r="P1107" s="101"/>
      <c r="Q1107" s="101"/>
      <c r="R1107" s="101" t="str">
        <f t="shared" si="202"/>
        <v/>
      </c>
      <c r="S1107" s="105"/>
      <c r="T1107" s="101" t="s">
        <v>75</v>
      </c>
      <c r="U1107" s="177"/>
      <c r="V1107" s="103"/>
      <c r="W1107" s="177" t="str">
        <f t="shared" si="200"/>
        <v/>
      </c>
      <c r="X1107" s="103"/>
      <c r="Y1107" s="177" t="str">
        <f t="shared" si="201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21" t="s">
        <v>57</v>
      </c>
      <c r="B1110" s="322"/>
      <c r="C1110" s="322"/>
      <c r="D1110" s="322"/>
      <c r="E1110" s="322"/>
      <c r="F1110" s="322"/>
      <c r="G1110" s="322"/>
      <c r="H1110" s="322"/>
      <c r="I1110" s="322"/>
      <c r="J1110" s="322"/>
      <c r="K1110" s="322"/>
      <c r="L1110" s="323"/>
      <c r="M1110" s="91"/>
      <c r="N1110" s="93"/>
      <c r="O1110" s="290" t="s">
        <v>59</v>
      </c>
      <c r="P1110" s="291"/>
      <c r="Q1110" s="291"/>
      <c r="R1110" s="292"/>
      <c r="S1110" s="94"/>
      <c r="T1110" s="290" t="s">
        <v>60</v>
      </c>
      <c r="U1110" s="291"/>
      <c r="V1110" s="291"/>
      <c r="W1110" s="291"/>
      <c r="X1110" s="291"/>
      <c r="Y1110" s="292"/>
      <c r="Z1110" s="92"/>
    </row>
    <row r="1111" spans="1:26" s="55" customFormat="1" ht="21" customHeight="1" x14ac:dyDescent="0.25">
      <c r="A1111" s="56"/>
      <c r="B1111" s="57"/>
      <c r="C1111" s="293" t="s">
        <v>116</v>
      </c>
      <c r="D1111" s="293"/>
      <c r="E1111" s="293"/>
      <c r="F1111" s="293"/>
      <c r="G1111" s="58" t="str">
        <f>$J$1</f>
        <v>May</v>
      </c>
      <c r="H1111" s="294">
        <f>$K$1</f>
        <v>2019</v>
      </c>
      <c r="I1111" s="294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95" t="s">
        <v>60</v>
      </c>
      <c r="G1114" s="295"/>
      <c r="H1114" s="57"/>
      <c r="I1114" s="295" t="s">
        <v>61</v>
      </c>
      <c r="J1114" s="295"/>
      <c r="K1114" s="295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03">IF(U1114="","",U1114+V1114)</f>
        <v>0</v>
      </c>
      <c r="X1114" s="103"/>
      <c r="Y1114" s="177">
        <f t="shared" ref="Y1114:Y1123" si="204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05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03"/>
        <v>0</v>
      </c>
      <c r="X1115" s="103"/>
      <c r="Y1115" s="177">
        <f t="shared" si="204"/>
        <v>0</v>
      </c>
      <c r="Z1115" s="92"/>
    </row>
    <row r="1116" spans="1:26" s="55" customFormat="1" ht="21" customHeight="1" x14ac:dyDescent="0.25">
      <c r="A1116" s="56"/>
      <c r="B1116" s="296" t="s">
        <v>59</v>
      </c>
      <c r="C1116" s="297"/>
      <c r="D1116" s="57"/>
      <c r="E1116" s="57"/>
      <c r="F1116" s="75" t="s">
        <v>81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05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03"/>
        <v>0</v>
      </c>
      <c r="X1116" s="103"/>
      <c r="Y1116" s="177">
        <f t="shared" si="204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05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03"/>
        <v>0</v>
      </c>
      <c r="X1117" s="103"/>
      <c r="Y1117" s="177">
        <f t="shared" si="204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98" t="s">
        <v>86</v>
      </c>
      <c r="J1118" s="299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05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03"/>
        <v/>
      </c>
      <c r="X1118" s="103"/>
      <c r="Y1118" s="177" t="str">
        <f t="shared" si="204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98" t="s">
        <v>87</v>
      </c>
      <c r="J1119" s="299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05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03"/>
        <v/>
      </c>
      <c r="X1119" s="103"/>
      <c r="Y1119" s="177" t="str">
        <f t="shared" si="204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84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84" t="s">
        <v>80</v>
      </c>
      <c r="J1120" s="285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05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03"/>
        <v/>
      </c>
      <c r="X1120" s="103"/>
      <c r="Y1120" s="177" t="str">
        <f t="shared" si="204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05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03"/>
        <v/>
      </c>
      <c r="X1121" s="103"/>
      <c r="Y1121" s="177" t="str">
        <f t="shared" si="204"/>
        <v/>
      </c>
      <c r="Z1121" s="92"/>
    </row>
    <row r="1122" spans="1:26" s="55" customFormat="1" ht="21" customHeight="1" x14ac:dyDescent="0.25">
      <c r="A1122" s="56"/>
      <c r="B1122" s="286" t="s">
        <v>118</v>
      </c>
      <c r="C1122" s="286"/>
      <c r="D1122" s="286"/>
      <c r="E1122" s="286"/>
      <c r="F1122" s="286"/>
      <c r="G1122" s="286"/>
      <c r="H1122" s="286"/>
      <c r="I1122" s="286"/>
      <c r="J1122" s="286"/>
      <c r="K1122" s="286"/>
      <c r="L1122" s="73"/>
      <c r="M1122" s="57"/>
      <c r="N1122" s="100"/>
      <c r="O1122" s="101" t="s">
        <v>74</v>
      </c>
      <c r="P1122" s="101"/>
      <c r="Q1122" s="101"/>
      <c r="R1122" s="101" t="str">
        <f t="shared" si="205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03"/>
        <v/>
      </c>
      <c r="X1122" s="103"/>
      <c r="Y1122" s="177" t="str">
        <f t="shared" si="204"/>
        <v/>
      </c>
      <c r="Z1122" s="92"/>
    </row>
    <row r="1123" spans="1:26" s="55" customFormat="1" ht="21" customHeight="1" x14ac:dyDescent="0.25">
      <c r="A1123" s="56"/>
      <c r="B1123" s="286"/>
      <c r="C1123" s="286"/>
      <c r="D1123" s="286"/>
      <c r="E1123" s="286"/>
      <c r="F1123" s="286"/>
      <c r="G1123" s="286"/>
      <c r="H1123" s="286"/>
      <c r="I1123" s="286"/>
      <c r="J1123" s="286"/>
      <c r="K1123" s="286"/>
      <c r="L1123" s="73"/>
      <c r="M1123" s="57"/>
      <c r="N1123" s="100"/>
      <c r="O1123" s="101" t="s">
        <v>75</v>
      </c>
      <c r="P1123" s="101"/>
      <c r="Q1123" s="101"/>
      <c r="R1123" s="101" t="str">
        <f t="shared" si="205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03"/>
        <v/>
      </c>
      <c r="X1123" s="103"/>
      <c r="Y1123" s="177" t="str">
        <f t="shared" si="204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300" t="s">
        <v>57</v>
      </c>
      <c r="B1126" s="301"/>
      <c r="C1126" s="301"/>
      <c r="D1126" s="301"/>
      <c r="E1126" s="301"/>
      <c r="F1126" s="301"/>
      <c r="G1126" s="301"/>
      <c r="H1126" s="301"/>
      <c r="I1126" s="301"/>
      <c r="J1126" s="301"/>
      <c r="K1126" s="301"/>
      <c r="L1126" s="302"/>
      <c r="M1126" s="111"/>
      <c r="N1126" s="93"/>
      <c r="O1126" s="290" t="s">
        <v>59</v>
      </c>
      <c r="P1126" s="291"/>
      <c r="Q1126" s="291"/>
      <c r="R1126" s="292"/>
      <c r="S1126" s="94"/>
      <c r="T1126" s="290" t="s">
        <v>60</v>
      </c>
      <c r="U1126" s="291"/>
      <c r="V1126" s="291"/>
      <c r="W1126" s="291"/>
      <c r="X1126" s="291"/>
      <c r="Y1126" s="292"/>
      <c r="Z1126" s="92"/>
    </row>
    <row r="1127" spans="1:26" s="55" customFormat="1" ht="21" customHeight="1" x14ac:dyDescent="0.25">
      <c r="A1127" s="56"/>
      <c r="B1127" s="57"/>
      <c r="C1127" s="293" t="s">
        <v>116</v>
      </c>
      <c r="D1127" s="293"/>
      <c r="E1127" s="293"/>
      <c r="F1127" s="293"/>
      <c r="G1127" s="58" t="str">
        <f>$J$1</f>
        <v>May</v>
      </c>
      <c r="H1127" s="294">
        <f>$K$1</f>
        <v>2019</v>
      </c>
      <c r="I1127" s="294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>
        <v>31</v>
      </c>
      <c r="Q1128" s="101">
        <v>0</v>
      </c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148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>
        <v>28</v>
      </c>
      <c r="Q1129" s="101">
        <v>0</v>
      </c>
      <c r="R1129" s="101">
        <f>IF(Q1129="","",R1128-Q1129)</f>
        <v>0</v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95" t="s">
        <v>60</v>
      </c>
      <c r="G1130" s="295"/>
      <c r="H1130" s="57"/>
      <c r="I1130" s="295" t="s">
        <v>61</v>
      </c>
      <c r="J1130" s="295"/>
      <c r="K1130" s="295"/>
      <c r="L1130" s="73"/>
      <c r="M1130" s="57"/>
      <c r="N1130" s="100"/>
      <c r="O1130" s="101" t="s">
        <v>63</v>
      </c>
      <c r="P1130" s="101">
        <v>31</v>
      </c>
      <c r="Q1130" s="101">
        <v>0</v>
      </c>
      <c r="R1130" s="101">
        <f t="shared" ref="R1130:R1138" si="206">IF(Q1130="","",R1129-Q1130)</f>
        <v>0</v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07">IF(U1130="","",U1130+V1130)</f>
        <v>0</v>
      </c>
      <c r="X1130" s="103"/>
      <c r="Y1130" s="177">
        <f t="shared" ref="Y1130:Y1139" si="208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>
        <v>30</v>
      </c>
      <c r="Q1131" s="101">
        <v>0</v>
      </c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07"/>
        <v>0</v>
      </c>
      <c r="X1131" s="103"/>
      <c r="Y1131" s="177">
        <f t="shared" si="208"/>
        <v>0</v>
      </c>
      <c r="Z1131" s="92"/>
    </row>
    <row r="1132" spans="1:26" s="55" customFormat="1" ht="21" customHeight="1" x14ac:dyDescent="0.25">
      <c r="A1132" s="56"/>
      <c r="B1132" s="296" t="s">
        <v>59</v>
      </c>
      <c r="C1132" s="297"/>
      <c r="D1132" s="57"/>
      <c r="E1132" s="57"/>
      <c r="F1132" s="75" t="s">
        <v>81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31</v>
      </c>
      <c r="J1132" s="77" t="s">
        <v>78</v>
      </c>
      <c r="K1132" s="78">
        <f>K1128/$K$2*I1132</f>
        <v>15000</v>
      </c>
      <c r="L1132" s="79"/>
      <c r="M1132" s="57"/>
      <c r="N1132" s="100"/>
      <c r="O1132" s="101" t="s">
        <v>65</v>
      </c>
      <c r="P1132" s="101">
        <v>31</v>
      </c>
      <c r="Q1132" s="101">
        <v>0</v>
      </c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07"/>
        <v>0</v>
      </c>
      <c r="X1132" s="103"/>
      <c r="Y1132" s="177">
        <f t="shared" si="208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/>
      <c r="J1133" s="77" t="s">
        <v>79</v>
      </c>
      <c r="K1133" s="80">
        <f>K1128/$K$2/8*I1133</f>
        <v>0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06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07"/>
        <v>0</v>
      </c>
      <c r="X1133" s="103"/>
      <c r="Y1133" s="177">
        <f t="shared" si="208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82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98" t="s">
        <v>86</v>
      </c>
      <c r="J1134" s="299"/>
      <c r="K1134" s="80">
        <f>K1132+K1133</f>
        <v>15000</v>
      </c>
      <c r="L1134" s="81"/>
      <c r="M1134" s="57"/>
      <c r="N1134" s="100"/>
      <c r="O1134" s="101" t="s">
        <v>67</v>
      </c>
      <c r="P1134" s="101"/>
      <c r="Q1134" s="101"/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07"/>
        <v/>
      </c>
      <c r="X1134" s="103"/>
      <c r="Y1134" s="177" t="str">
        <f t="shared" si="208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98" t="s">
        <v>87</v>
      </c>
      <c r="J1135" s="299"/>
      <c r="K1135" s="70">
        <f>G1135</f>
        <v>0</v>
      </c>
      <c r="L1135" s="82"/>
      <c r="M1135" s="57"/>
      <c r="N1135" s="100"/>
      <c r="O1135" s="101" t="s">
        <v>68</v>
      </c>
      <c r="P1135" s="101"/>
      <c r="Q1135" s="101"/>
      <c r="R1135" s="101" t="str">
        <f t="shared" si="206"/>
        <v/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07"/>
        <v/>
      </c>
      <c r="X1135" s="103"/>
      <c r="Y1135" s="177" t="str">
        <f t="shared" si="208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95" t="s">
        <v>80</v>
      </c>
      <c r="J1136" s="295"/>
      <c r="K1136" s="84">
        <f>K1134-K1135</f>
        <v>15000</v>
      </c>
      <c r="L1136" s="85"/>
      <c r="M1136" s="57"/>
      <c r="N1136" s="100"/>
      <c r="O1136" s="101" t="s">
        <v>73</v>
      </c>
      <c r="P1136" s="101"/>
      <c r="Q1136" s="101"/>
      <c r="R1136" s="101" t="str">
        <f t="shared" si="206"/>
        <v/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07"/>
        <v/>
      </c>
      <c r="X1136" s="103"/>
      <c r="Y1136" s="177" t="str">
        <f t="shared" si="208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06"/>
      <c r="J1137" s="306"/>
      <c r="K1137" s="74"/>
      <c r="L1137" s="73"/>
      <c r="M1137" s="57"/>
      <c r="N1137" s="100"/>
      <c r="O1137" s="101" t="s">
        <v>69</v>
      </c>
      <c r="P1137" s="101"/>
      <c r="Q1137" s="101"/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07"/>
        <v/>
      </c>
      <c r="X1137" s="103"/>
      <c r="Y1137" s="177" t="str">
        <f t="shared" si="208"/>
        <v/>
      </c>
      <c r="Z1137" s="92"/>
    </row>
    <row r="1138" spans="1:27" s="55" customFormat="1" ht="21" customHeight="1" x14ac:dyDescent="0.4">
      <c r="A1138" s="56"/>
      <c r="B1138" s="230"/>
      <c r="C1138" s="230"/>
      <c r="D1138" s="230"/>
      <c r="E1138" s="230"/>
      <c r="F1138" s="230"/>
      <c r="G1138" s="230"/>
      <c r="H1138" s="230"/>
      <c r="I1138" s="306"/>
      <c r="J1138" s="306"/>
      <c r="K1138" s="233"/>
      <c r="L1138" s="73"/>
      <c r="M1138" s="57"/>
      <c r="N1138" s="100"/>
      <c r="O1138" s="101" t="s">
        <v>74</v>
      </c>
      <c r="P1138" s="101"/>
      <c r="Q1138" s="101"/>
      <c r="R1138" s="101" t="str">
        <f t="shared" si="206"/>
        <v/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07"/>
        <v/>
      </c>
      <c r="X1138" s="103"/>
      <c r="Y1138" s="177" t="str">
        <f t="shared" si="208"/>
        <v/>
      </c>
      <c r="Z1138" s="92"/>
    </row>
    <row r="1139" spans="1:27" s="55" customFormat="1" ht="21" customHeight="1" x14ac:dyDescent="0.4">
      <c r="A1139" s="56"/>
      <c r="B1139" s="230"/>
      <c r="C1139" s="230"/>
      <c r="D1139" s="230"/>
      <c r="E1139" s="230"/>
      <c r="F1139" s="230"/>
      <c r="G1139" s="230"/>
      <c r="H1139" s="230"/>
      <c r="I1139" s="230"/>
      <c r="J1139" s="230"/>
      <c r="K1139" s="230"/>
      <c r="L1139" s="73"/>
      <c r="M1139" s="57"/>
      <c r="N1139" s="100"/>
      <c r="O1139" s="101" t="s">
        <v>75</v>
      </c>
      <c r="P1139" s="101"/>
      <c r="Q1139" s="101"/>
      <c r="R1139" s="101">
        <v>0</v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07"/>
        <v/>
      </c>
      <c r="X1139" s="103"/>
      <c r="Y1139" s="177" t="str">
        <f t="shared" si="208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300" t="s">
        <v>57</v>
      </c>
      <c r="B1142" s="301"/>
      <c r="C1142" s="301"/>
      <c r="D1142" s="301"/>
      <c r="E1142" s="301"/>
      <c r="F1142" s="301"/>
      <c r="G1142" s="301"/>
      <c r="H1142" s="301"/>
      <c r="I1142" s="301"/>
      <c r="J1142" s="301"/>
      <c r="K1142" s="301"/>
      <c r="L1142" s="302"/>
      <c r="M1142" s="143"/>
      <c r="N1142" s="93"/>
      <c r="O1142" s="290" t="s">
        <v>59</v>
      </c>
      <c r="P1142" s="291"/>
      <c r="Q1142" s="291"/>
      <c r="R1142" s="292"/>
      <c r="S1142" s="94"/>
      <c r="T1142" s="290" t="s">
        <v>60</v>
      </c>
      <c r="U1142" s="291"/>
      <c r="V1142" s="291"/>
      <c r="W1142" s="291"/>
      <c r="X1142" s="291"/>
      <c r="Y1142" s="292"/>
      <c r="Z1142" s="95"/>
      <c r="AA1142" s="143"/>
    </row>
    <row r="1143" spans="1:27" s="55" customFormat="1" ht="21" customHeight="1" x14ac:dyDescent="0.25">
      <c r="A1143" s="56"/>
      <c r="B1143" s="57"/>
      <c r="C1143" s="293" t="s">
        <v>116</v>
      </c>
      <c r="D1143" s="293"/>
      <c r="E1143" s="293"/>
      <c r="F1143" s="293"/>
      <c r="G1143" s="58" t="str">
        <f>$J$1</f>
        <v>May</v>
      </c>
      <c r="H1143" s="294">
        <f>$K$1</f>
        <v>2019</v>
      </c>
      <c r="I1143" s="294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146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>
        <v>28</v>
      </c>
      <c r="Q1145" s="101">
        <v>0</v>
      </c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84" t="s">
        <v>60</v>
      </c>
      <c r="G1146" s="285"/>
      <c r="H1146" s="57"/>
      <c r="I1146" s="284" t="s">
        <v>61</v>
      </c>
      <c r="J1146" s="330"/>
      <c r="K1146" s="285"/>
      <c r="L1146" s="73"/>
      <c r="M1146" s="57"/>
      <c r="N1146" s="100"/>
      <c r="O1146" s="101" t="s">
        <v>63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09">IF(U1146="","",U1146+V1146)</f>
        <v>0</v>
      </c>
      <c r="X1146" s="103"/>
      <c r="Y1146" s="177">
        <f t="shared" ref="Y1146:Y1155" si="210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>
        <v>30</v>
      </c>
      <c r="Q1147" s="101">
        <v>0</v>
      </c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09"/>
        <v>0</v>
      </c>
      <c r="X1147" s="103"/>
      <c r="Y1147" s="177">
        <f t="shared" si="210"/>
        <v>0</v>
      </c>
      <c r="Z1147" s="106"/>
      <c r="AA1147" s="57"/>
    </row>
    <row r="1148" spans="1:27" s="55" customFormat="1" ht="21" customHeight="1" x14ac:dyDescent="0.25">
      <c r="A1148" s="56"/>
      <c r="B1148" s="296" t="s">
        <v>59</v>
      </c>
      <c r="C1148" s="297"/>
      <c r="D1148" s="57"/>
      <c r="E1148" s="57"/>
      <c r="F1148" s="75" t="s">
        <v>81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17</v>
      </c>
      <c r="J1148" s="77" t="s">
        <v>78</v>
      </c>
      <c r="K1148" s="78">
        <f>K1144/$K$2*I1148</f>
        <v>10967.741935483871</v>
      </c>
      <c r="L1148" s="79"/>
      <c r="M1148" s="57"/>
      <c r="N1148" s="100"/>
      <c r="O1148" s="101" t="s">
        <v>65</v>
      </c>
      <c r="P1148" s="101">
        <f>31-14</f>
        <v>17</v>
      </c>
      <c r="Q1148" s="101">
        <v>14</v>
      </c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09"/>
        <v>0</v>
      </c>
      <c r="X1148" s="103"/>
      <c r="Y1148" s="177">
        <f t="shared" si="210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2.88</v>
      </c>
      <c r="J1149" s="77" t="s">
        <v>79</v>
      </c>
      <c r="K1149" s="80">
        <f>K1144/$K$2/8*I1149</f>
        <v>232.25806451612902</v>
      </c>
      <c r="L1149" s="81"/>
      <c r="M1149" s="57"/>
      <c r="N1149" s="100"/>
      <c r="O1149" s="101" t="s">
        <v>66</v>
      </c>
      <c r="P1149" s="101"/>
      <c r="Q1149" s="101"/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09"/>
        <v>0</v>
      </c>
      <c r="X1149" s="103"/>
      <c r="Y1149" s="177">
        <f t="shared" si="210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17</v>
      </c>
      <c r="D1150" s="57"/>
      <c r="E1150" s="57"/>
      <c r="F1150" s="75" t="s">
        <v>82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98" t="s">
        <v>86</v>
      </c>
      <c r="J1150" s="299"/>
      <c r="K1150" s="80">
        <f>K1148+K1149</f>
        <v>11200</v>
      </c>
      <c r="L1150" s="81"/>
      <c r="M1150" s="57"/>
      <c r="N1150" s="100"/>
      <c r="O1150" s="101" t="s">
        <v>67</v>
      </c>
      <c r="P1150" s="101"/>
      <c r="Q1150" s="101"/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09"/>
        <v/>
      </c>
      <c r="X1150" s="103"/>
      <c r="Y1150" s="177" t="str">
        <f t="shared" si="210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14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98" t="s">
        <v>87</v>
      </c>
      <c r="J1151" s="299"/>
      <c r="K1151" s="70">
        <f>G1151</f>
        <v>0</v>
      </c>
      <c r="L1151" s="82"/>
      <c r="M1151" s="57"/>
      <c r="N1151" s="100"/>
      <c r="O1151" s="101" t="s">
        <v>68</v>
      </c>
      <c r="P1151" s="101"/>
      <c r="Q1151" s="101"/>
      <c r="R1151" s="101" t="str">
        <f>IF(Q1151="","",R1150-Q1151)</f>
        <v/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09"/>
        <v/>
      </c>
      <c r="X1151" s="103"/>
      <c r="Y1151" s="177" t="str">
        <f t="shared" si="210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84" t="s">
        <v>80</v>
      </c>
      <c r="J1152" s="285"/>
      <c r="K1152" s="84">
        <f>K1150-K1151</f>
        <v>11200</v>
      </c>
      <c r="L1152" s="85"/>
      <c r="M1152" s="57"/>
      <c r="N1152" s="100"/>
      <c r="O1152" s="101" t="s">
        <v>73</v>
      </c>
      <c r="P1152" s="101"/>
      <c r="Q1152" s="101"/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09"/>
        <v/>
      </c>
      <c r="X1152" s="103"/>
      <c r="Y1152" s="177" t="str">
        <f t="shared" si="210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/>
      <c r="Q1153" s="101"/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09"/>
        <v/>
      </c>
      <c r="X1153" s="103"/>
      <c r="Y1153" s="177" t="str">
        <f t="shared" si="210"/>
        <v/>
      </c>
      <c r="Z1153" s="106"/>
      <c r="AA1153" s="57"/>
    </row>
    <row r="1154" spans="1:27" s="55" customFormat="1" ht="21" customHeight="1" x14ac:dyDescent="0.25">
      <c r="A1154" s="56"/>
      <c r="B1154" s="286" t="s">
        <v>118</v>
      </c>
      <c r="C1154" s="286"/>
      <c r="D1154" s="286"/>
      <c r="E1154" s="286"/>
      <c r="F1154" s="286"/>
      <c r="G1154" s="286"/>
      <c r="H1154" s="286"/>
      <c r="I1154" s="286"/>
      <c r="J1154" s="286"/>
      <c r="K1154" s="286"/>
      <c r="L1154" s="73"/>
      <c r="M1154" s="57"/>
      <c r="N1154" s="100"/>
      <c r="O1154" s="101" t="s">
        <v>74</v>
      </c>
      <c r="P1154" s="101"/>
      <c r="Q1154" s="101"/>
      <c r="R1154" s="101" t="str">
        <f>IF(Q1154="","",R1153-Q1154)</f>
        <v/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09"/>
        <v/>
      </c>
      <c r="X1154" s="103"/>
      <c r="Y1154" s="177" t="str">
        <f t="shared" si="210"/>
        <v/>
      </c>
      <c r="Z1154" s="106"/>
      <c r="AA1154" s="57"/>
    </row>
    <row r="1155" spans="1:27" s="55" customFormat="1" ht="21" customHeight="1" x14ac:dyDescent="0.25">
      <c r="A1155" s="56"/>
      <c r="B1155" s="286"/>
      <c r="C1155" s="286"/>
      <c r="D1155" s="286"/>
      <c r="E1155" s="286"/>
      <c r="F1155" s="286"/>
      <c r="G1155" s="286"/>
      <c r="H1155" s="286"/>
      <c r="I1155" s="286"/>
      <c r="J1155" s="286"/>
      <c r="K1155" s="286"/>
      <c r="L1155" s="73"/>
      <c r="M1155" s="57"/>
      <c r="N1155" s="100"/>
      <c r="O1155" s="101" t="s">
        <v>75</v>
      </c>
      <c r="P1155" s="101"/>
      <c r="Q1155" s="101"/>
      <c r="R1155" s="101">
        <v>0</v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09"/>
        <v/>
      </c>
      <c r="X1155" s="103"/>
      <c r="Y1155" s="177" t="str">
        <f t="shared" si="210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31" t="s">
        <v>57</v>
      </c>
      <c r="B1158" s="332"/>
      <c r="C1158" s="332"/>
      <c r="D1158" s="332"/>
      <c r="E1158" s="332"/>
      <c r="F1158" s="332"/>
      <c r="G1158" s="332"/>
      <c r="H1158" s="332"/>
      <c r="I1158" s="332"/>
      <c r="J1158" s="332"/>
      <c r="K1158" s="332"/>
      <c r="L1158" s="333"/>
      <c r="M1158" s="54"/>
      <c r="N1158" s="93"/>
      <c r="O1158" s="290" t="s">
        <v>59</v>
      </c>
      <c r="P1158" s="291"/>
      <c r="Q1158" s="291"/>
      <c r="R1158" s="292"/>
      <c r="S1158" s="94"/>
      <c r="T1158" s="290" t="s">
        <v>60</v>
      </c>
      <c r="U1158" s="291"/>
      <c r="V1158" s="291"/>
      <c r="W1158" s="291"/>
      <c r="X1158" s="291"/>
      <c r="Y1158" s="292"/>
      <c r="Z1158" s="95"/>
      <c r="AA1158" s="54"/>
    </row>
    <row r="1159" spans="1:27" s="55" customFormat="1" ht="21" customHeight="1" x14ac:dyDescent="0.25">
      <c r="A1159" s="56"/>
      <c r="B1159" s="57"/>
      <c r="C1159" s="293" t="s">
        <v>116</v>
      </c>
      <c r="D1159" s="293"/>
      <c r="E1159" s="293"/>
      <c r="F1159" s="293"/>
      <c r="G1159" s="58" t="str">
        <f>$J$1</f>
        <v>May</v>
      </c>
      <c r="H1159" s="294">
        <f>$K$1</f>
        <v>2019</v>
      </c>
      <c r="I1159" s="294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95" t="s">
        <v>60</v>
      </c>
      <c r="G1162" s="295"/>
      <c r="H1162" s="57"/>
      <c r="I1162" s="295" t="s">
        <v>61</v>
      </c>
      <c r="J1162" s="295"/>
      <c r="K1162" s="295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11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12">IF(U1162="","",U1162+V1162)</f>
        <v>0</v>
      </c>
      <c r="X1162" s="103"/>
      <c r="Y1162" s="177">
        <f t="shared" ref="Y1162:Y1171" si="213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11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12"/>
        <v>0</v>
      </c>
      <c r="X1163" s="103"/>
      <c r="Y1163" s="177">
        <f t="shared" si="213"/>
        <v>0</v>
      </c>
      <c r="Z1163" s="106"/>
      <c r="AA1163" s="57"/>
    </row>
    <row r="1164" spans="1:27" s="55" customFormat="1" ht="21" customHeight="1" x14ac:dyDescent="0.25">
      <c r="A1164" s="56"/>
      <c r="B1164" s="296" t="s">
        <v>59</v>
      </c>
      <c r="C1164" s="297"/>
      <c r="D1164" s="57"/>
      <c r="E1164" s="57"/>
      <c r="F1164" s="75" t="s">
        <v>81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11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12"/>
        <v>0</v>
      </c>
      <c r="X1164" s="103"/>
      <c r="Y1164" s="177">
        <f t="shared" si="213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11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12"/>
        <v>0</v>
      </c>
      <c r="X1165" s="103"/>
      <c r="Y1165" s="177">
        <f t="shared" si="213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98" t="s">
        <v>86</v>
      </c>
      <c r="J1166" s="299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11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12"/>
        <v/>
      </c>
      <c r="X1166" s="103"/>
      <c r="Y1166" s="177" t="str">
        <f t="shared" si="213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98" t="s">
        <v>87</v>
      </c>
      <c r="J1167" s="299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11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12"/>
        <v/>
      </c>
      <c r="X1167" s="103"/>
      <c r="Y1167" s="177" t="str">
        <f t="shared" si="213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84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84" t="s">
        <v>80</v>
      </c>
      <c r="J1168" s="285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11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12"/>
        <v/>
      </c>
      <c r="X1168" s="103"/>
      <c r="Y1168" s="177" t="str">
        <f t="shared" si="213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11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12"/>
        <v/>
      </c>
      <c r="X1169" s="103"/>
      <c r="Y1169" s="177" t="str">
        <f t="shared" si="213"/>
        <v/>
      </c>
      <c r="Z1169" s="106"/>
      <c r="AA1169" s="57"/>
    </row>
    <row r="1170" spans="1:27" s="55" customFormat="1" ht="21" customHeight="1" x14ac:dyDescent="0.25">
      <c r="A1170" s="56"/>
      <c r="B1170" s="286" t="s">
        <v>118</v>
      </c>
      <c r="C1170" s="286"/>
      <c r="D1170" s="286"/>
      <c r="E1170" s="286"/>
      <c r="F1170" s="286"/>
      <c r="G1170" s="286"/>
      <c r="H1170" s="286"/>
      <c r="I1170" s="286"/>
      <c r="J1170" s="286"/>
      <c r="K1170" s="286"/>
      <c r="L1170" s="73"/>
      <c r="M1170" s="57"/>
      <c r="N1170" s="100"/>
      <c r="O1170" s="101" t="s">
        <v>74</v>
      </c>
      <c r="P1170" s="101"/>
      <c r="Q1170" s="101"/>
      <c r="R1170" s="101" t="str">
        <f t="shared" si="211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12"/>
        <v/>
      </c>
      <c r="X1170" s="103"/>
      <c r="Y1170" s="177" t="str">
        <f t="shared" si="213"/>
        <v/>
      </c>
      <c r="Z1170" s="106"/>
      <c r="AA1170" s="57"/>
    </row>
    <row r="1171" spans="1:27" s="55" customFormat="1" ht="21" customHeight="1" x14ac:dyDescent="0.25">
      <c r="A1171" s="56"/>
      <c r="B1171" s="286"/>
      <c r="C1171" s="286"/>
      <c r="D1171" s="286"/>
      <c r="E1171" s="286"/>
      <c r="F1171" s="286"/>
      <c r="G1171" s="286"/>
      <c r="H1171" s="286"/>
      <c r="I1171" s="286"/>
      <c r="J1171" s="286"/>
      <c r="K1171" s="286"/>
      <c r="L1171" s="73"/>
      <c r="M1171" s="57"/>
      <c r="N1171" s="100"/>
      <c r="O1171" s="101" t="s">
        <v>75</v>
      </c>
      <c r="P1171" s="101"/>
      <c r="Q1171" s="101"/>
      <c r="R1171" s="101" t="str">
        <f t="shared" si="211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12"/>
        <v/>
      </c>
      <c r="X1171" s="103"/>
      <c r="Y1171" s="177" t="str">
        <f t="shared" si="213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00" t="s">
        <v>57</v>
      </c>
      <c r="B1174" s="301"/>
      <c r="C1174" s="301"/>
      <c r="D1174" s="301"/>
      <c r="E1174" s="301"/>
      <c r="F1174" s="301"/>
      <c r="G1174" s="301"/>
      <c r="H1174" s="301"/>
      <c r="I1174" s="301"/>
      <c r="J1174" s="301"/>
      <c r="K1174" s="301"/>
      <c r="L1174" s="302"/>
      <c r="M1174" s="54"/>
      <c r="N1174" s="93"/>
      <c r="O1174" s="290" t="s">
        <v>59</v>
      </c>
      <c r="P1174" s="291"/>
      <c r="Q1174" s="291"/>
      <c r="R1174" s="292"/>
      <c r="S1174" s="94"/>
      <c r="T1174" s="290" t="s">
        <v>60</v>
      </c>
      <c r="U1174" s="291"/>
      <c r="V1174" s="291"/>
      <c r="W1174" s="291"/>
      <c r="X1174" s="291"/>
      <c r="Y1174" s="292"/>
      <c r="Z1174" s="95"/>
    </row>
    <row r="1175" spans="1:27" s="55" customFormat="1" ht="21" customHeight="1" x14ac:dyDescent="0.25">
      <c r="A1175" s="56"/>
      <c r="B1175" s="57"/>
      <c r="C1175" s="293" t="s">
        <v>116</v>
      </c>
      <c r="D1175" s="293"/>
      <c r="E1175" s="293"/>
      <c r="F1175" s="293"/>
      <c r="G1175" s="58" t="str">
        <f>$J$1</f>
        <v>May</v>
      </c>
      <c r="H1175" s="294">
        <f>$K$1</f>
        <v>2019</v>
      </c>
      <c r="I1175" s="294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62</v>
      </c>
      <c r="P1176" s="101"/>
      <c r="Q1176" s="101">
        <v>0</v>
      </c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188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/>
      <c r="Q1177" s="101">
        <v>0</v>
      </c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95" t="s">
        <v>60</v>
      </c>
      <c r="G1178" s="295"/>
      <c r="H1178" s="57"/>
      <c r="I1178" s="295" t="s">
        <v>61</v>
      </c>
      <c r="J1178" s="295"/>
      <c r="K1178" s="295"/>
      <c r="L1178" s="73"/>
      <c r="M1178" s="57"/>
      <c r="N1178" s="100"/>
      <c r="O1178" s="101" t="s">
        <v>63</v>
      </c>
      <c r="P1178" s="101"/>
      <c r="Q1178" s="101"/>
      <c r="R1178" s="101" t="str">
        <f t="shared" ref="R1178:R1187" si="214">IF(Q1178="","",R1177-Q1178)</f>
        <v/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15">IF(U1178="","",U1178+V1178)</f>
        <v>0</v>
      </c>
      <c r="X1178" s="103"/>
      <c r="Y1178" s="177">
        <f t="shared" ref="Y1178:Y1187" si="216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>
        <v>6</v>
      </c>
      <c r="Q1179" s="101">
        <v>24</v>
      </c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15"/>
        <v>0</v>
      </c>
      <c r="X1179" s="103"/>
      <c r="Y1179" s="177">
        <f t="shared" si="216"/>
        <v>0</v>
      </c>
      <c r="Z1179" s="106"/>
    </row>
    <row r="1180" spans="1:27" s="55" customFormat="1" ht="21" customHeight="1" x14ac:dyDescent="0.25">
      <c r="A1180" s="56"/>
      <c r="B1180" s="296" t="s">
        <v>59</v>
      </c>
      <c r="C1180" s="297"/>
      <c r="D1180" s="57"/>
      <c r="E1180" s="57"/>
      <c r="F1180" s="75" t="s">
        <v>81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30</v>
      </c>
      <c r="J1180" s="77" t="s">
        <v>78</v>
      </c>
      <c r="K1180" s="78">
        <f>K1176/$K$2*I1180</f>
        <v>12580.645161290324</v>
      </c>
      <c r="L1180" s="79"/>
      <c r="M1180" s="57"/>
      <c r="N1180" s="100"/>
      <c r="O1180" s="101" t="s">
        <v>65</v>
      </c>
      <c r="P1180" s="101">
        <v>30</v>
      </c>
      <c r="Q1180" s="101">
        <v>1</v>
      </c>
      <c r="R1180" s="101"/>
      <c r="S1180" s="105"/>
      <c r="T1180" s="101" t="s">
        <v>65</v>
      </c>
      <c r="U1180" s="177">
        <f>IF($J$1="May",Y1179,Y1179)</f>
        <v>0</v>
      </c>
      <c r="V1180" s="103"/>
      <c r="W1180" s="177">
        <f t="shared" si="215"/>
        <v>0</v>
      </c>
      <c r="X1180" s="103"/>
      <c r="Y1180" s="177">
        <f t="shared" si="216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2.27</v>
      </c>
      <c r="J1181" s="77" t="s">
        <v>79</v>
      </c>
      <c r="K1181" s="80">
        <f>K1176/$K$2/8*I1181</f>
        <v>118.99193548387098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14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15"/>
        <v>0</v>
      </c>
      <c r="X1181" s="103"/>
      <c r="Y1181" s="177">
        <f t="shared" si="216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30</v>
      </c>
      <c r="D1182" s="57"/>
      <c r="E1182" s="57"/>
      <c r="F1182" s="75" t="s">
        <v>82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98" t="s">
        <v>86</v>
      </c>
      <c r="J1182" s="299"/>
      <c r="K1182" s="80">
        <f>K1180+K1181</f>
        <v>12699.637096774195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14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15"/>
        <v/>
      </c>
      <c r="X1182" s="103"/>
      <c r="Y1182" s="177" t="str">
        <f t="shared" si="216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1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98" t="s">
        <v>87</v>
      </c>
      <c r="J1183" s="299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14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15"/>
        <v/>
      </c>
      <c r="X1183" s="103"/>
      <c r="Y1183" s="177" t="str">
        <f t="shared" si="216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84" t="s">
        <v>80</v>
      </c>
      <c r="J1184" s="285"/>
      <c r="K1184" s="84">
        <f>K1182-K1183</f>
        <v>12699.637096774195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14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15"/>
        <v/>
      </c>
      <c r="X1184" s="103"/>
      <c r="Y1184" s="177" t="str">
        <f t="shared" si="216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14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15"/>
        <v/>
      </c>
      <c r="X1185" s="103"/>
      <c r="Y1185" s="177" t="str">
        <f t="shared" si="216"/>
        <v/>
      </c>
      <c r="Z1185" s="106"/>
    </row>
    <row r="1186" spans="1:26" s="55" customFormat="1" ht="21" customHeight="1" x14ac:dyDescent="0.25">
      <c r="A1186" s="56"/>
      <c r="B1186" s="286" t="s">
        <v>118</v>
      </c>
      <c r="C1186" s="286"/>
      <c r="D1186" s="286"/>
      <c r="E1186" s="286"/>
      <c r="F1186" s="286"/>
      <c r="G1186" s="286"/>
      <c r="H1186" s="286"/>
      <c r="I1186" s="286"/>
      <c r="J1186" s="286"/>
      <c r="K1186" s="286"/>
      <c r="L1186" s="73"/>
      <c r="M1186" s="57"/>
      <c r="N1186" s="100"/>
      <c r="O1186" s="101" t="s">
        <v>74</v>
      </c>
      <c r="P1186" s="101"/>
      <c r="Q1186" s="101"/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15"/>
        <v/>
      </c>
      <c r="X1186" s="103"/>
      <c r="Y1186" s="177" t="str">
        <f t="shared" si="216"/>
        <v/>
      </c>
      <c r="Z1186" s="106"/>
    </row>
    <row r="1187" spans="1:26" s="55" customFormat="1" ht="21" customHeight="1" x14ac:dyDescent="0.25">
      <c r="A1187" s="56"/>
      <c r="B1187" s="286"/>
      <c r="C1187" s="286"/>
      <c r="D1187" s="286"/>
      <c r="E1187" s="286"/>
      <c r="F1187" s="286"/>
      <c r="G1187" s="286"/>
      <c r="H1187" s="286"/>
      <c r="I1187" s="286"/>
      <c r="J1187" s="286"/>
      <c r="K1187" s="286"/>
      <c r="L1187" s="73"/>
      <c r="M1187" s="57"/>
      <c r="N1187" s="100"/>
      <c r="O1187" s="101" t="s">
        <v>75</v>
      </c>
      <c r="P1187" s="101"/>
      <c r="Q1187" s="101"/>
      <c r="R1187" s="101" t="str">
        <f t="shared" si="214"/>
        <v/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15"/>
        <v/>
      </c>
      <c r="X1187" s="103"/>
      <c r="Y1187" s="177" t="str">
        <f t="shared" si="216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300" t="s">
        <v>57</v>
      </c>
      <c r="B1190" s="301"/>
      <c r="C1190" s="301"/>
      <c r="D1190" s="301"/>
      <c r="E1190" s="301"/>
      <c r="F1190" s="301"/>
      <c r="G1190" s="301"/>
      <c r="H1190" s="301"/>
      <c r="I1190" s="301"/>
      <c r="J1190" s="301"/>
      <c r="K1190" s="301"/>
      <c r="L1190" s="302"/>
      <c r="M1190" s="115"/>
      <c r="N1190" s="93"/>
      <c r="O1190" s="290" t="s">
        <v>59</v>
      </c>
      <c r="P1190" s="291"/>
      <c r="Q1190" s="291"/>
      <c r="R1190" s="292"/>
      <c r="S1190" s="94"/>
      <c r="T1190" s="290" t="s">
        <v>60</v>
      </c>
      <c r="U1190" s="291"/>
      <c r="V1190" s="291"/>
      <c r="W1190" s="291"/>
      <c r="X1190" s="291"/>
      <c r="Y1190" s="292"/>
      <c r="Z1190" s="95"/>
    </row>
    <row r="1191" spans="1:26" s="55" customFormat="1" ht="21" customHeight="1" x14ac:dyDescent="0.25">
      <c r="A1191" s="56"/>
      <c r="B1191" s="57"/>
      <c r="C1191" s="293" t="s">
        <v>116</v>
      </c>
      <c r="D1191" s="293"/>
      <c r="E1191" s="293"/>
      <c r="F1191" s="293"/>
      <c r="G1191" s="58" t="str">
        <f>$J$1</f>
        <v>May</v>
      </c>
      <c r="H1191" s="294">
        <f>$K$1</f>
        <v>2019</v>
      </c>
      <c r="I1191" s="294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>
        <v>29</v>
      </c>
      <c r="Q1192" s="101">
        <v>2</v>
      </c>
      <c r="R1192" s="101">
        <v>0</v>
      </c>
      <c r="S1192" s="102"/>
      <c r="T1192" s="101" t="s">
        <v>62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139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>
        <v>27</v>
      </c>
      <c r="Q1193" s="101">
        <v>1</v>
      </c>
      <c r="R1193" s="101">
        <v>0</v>
      </c>
      <c r="S1193" s="105"/>
      <c r="T1193" s="101" t="s">
        <v>88</v>
      </c>
      <c r="U1193" s="177"/>
      <c r="V1193" s="103">
        <f>5500+1000</f>
        <v>6500</v>
      </c>
      <c r="W1193" s="103">
        <f>V1193+U1193</f>
        <v>6500</v>
      </c>
      <c r="X1193" s="103">
        <v>6500</v>
      </c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95" t="s">
        <v>60</v>
      </c>
      <c r="G1194" s="295"/>
      <c r="H1194" s="57"/>
      <c r="I1194" s="295" t="s">
        <v>61</v>
      </c>
      <c r="J1194" s="295"/>
      <c r="K1194" s="295"/>
      <c r="L1194" s="73"/>
      <c r="M1194" s="57"/>
      <c r="N1194" s="100"/>
      <c r="O1194" s="101" t="s">
        <v>63</v>
      </c>
      <c r="P1194" s="101">
        <v>29</v>
      </c>
      <c r="Q1194" s="101">
        <v>2</v>
      </c>
      <c r="R1194" s="101">
        <v>0</v>
      </c>
      <c r="S1194" s="105"/>
      <c r="T1194" s="101" t="s">
        <v>63</v>
      </c>
      <c r="U1194" s="177"/>
      <c r="V1194" s="103">
        <f>1000+5500+1000+1500+1000+500</f>
        <v>10500</v>
      </c>
      <c r="W1194" s="103">
        <f>V1194+U1194</f>
        <v>10500</v>
      </c>
      <c r="X1194" s="103">
        <v>10500</v>
      </c>
      <c r="Y1194" s="177">
        <f t="shared" ref="Y1194:Y1203" si="217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>
        <v>26</v>
      </c>
      <c r="Q1195" s="101">
        <v>4</v>
      </c>
      <c r="R1195" s="101">
        <v>0</v>
      </c>
      <c r="S1195" s="105"/>
      <c r="T1195" s="101" t="s">
        <v>64</v>
      </c>
      <c r="U1195" s="177">
        <f>Y1194</f>
        <v>0</v>
      </c>
      <c r="V1195" s="103">
        <f>1000+5000+2000+2000</f>
        <v>10000</v>
      </c>
      <c r="W1195" s="177">
        <f t="shared" ref="W1195:W1203" si="218">IF(U1195="","",U1195+V1195)</f>
        <v>10000</v>
      </c>
      <c r="X1195" s="103">
        <v>10000</v>
      </c>
      <c r="Y1195" s="177">
        <f t="shared" si="217"/>
        <v>0</v>
      </c>
      <c r="Z1195" s="106"/>
    </row>
    <row r="1196" spans="1:26" s="55" customFormat="1" ht="21" customHeight="1" x14ac:dyDescent="0.25">
      <c r="A1196" s="56"/>
      <c r="B1196" s="296" t="s">
        <v>59</v>
      </c>
      <c r="C1196" s="297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28</v>
      </c>
      <c r="J1196" s="77" t="s">
        <v>78</v>
      </c>
      <c r="K1196" s="78">
        <f>K1192/$K$2*I1196</f>
        <v>11741.935483870968</v>
      </c>
      <c r="L1196" s="79"/>
      <c r="M1196" s="57"/>
      <c r="N1196" s="100"/>
      <c r="O1196" s="101" t="s">
        <v>65</v>
      </c>
      <c r="P1196" s="101">
        <v>28</v>
      </c>
      <c r="Q1196" s="101">
        <v>3</v>
      </c>
      <c r="R1196" s="101">
        <v>0</v>
      </c>
      <c r="S1196" s="105"/>
      <c r="T1196" s="101" t="s">
        <v>65</v>
      </c>
      <c r="U1196" s="177"/>
      <c r="V1196" s="103">
        <f>2000+1000+7500</f>
        <v>10500</v>
      </c>
      <c r="W1196" s="177">
        <f>V1196+U1196</f>
        <v>10500</v>
      </c>
      <c r="X1196" s="103">
        <v>10500</v>
      </c>
      <c r="Y1196" s="177">
        <f t="shared" si="217"/>
        <v>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10500</v>
      </c>
      <c r="H1197" s="74"/>
      <c r="I1197" s="120">
        <v>9.1199999999999992</v>
      </c>
      <c r="J1197" s="77" t="s">
        <v>79</v>
      </c>
      <c r="K1197" s="80">
        <f>K1192/$K$2/8*I1197</f>
        <v>478.06451612903226</v>
      </c>
      <c r="L1197" s="81"/>
      <c r="M1197" s="57"/>
      <c r="N1197" s="100"/>
      <c r="O1197" s="101" t="s">
        <v>66</v>
      </c>
      <c r="P1197" s="101"/>
      <c r="Q1197" s="101"/>
      <c r="R1197" s="101">
        <v>0</v>
      </c>
      <c r="S1197" s="105"/>
      <c r="T1197" s="101" t="s">
        <v>66</v>
      </c>
      <c r="U1197" s="177"/>
      <c r="V1197" s="103"/>
      <c r="W1197" s="177" t="str">
        <f t="shared" si="218"/>
        <v/>
      </c>
      <c r="X1197" s="103"/>
      <c r="Y1197" s="177" t="str">
        <f t="shared" si="217"/>
        <v/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28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10500</v>
      </c>
      <c r="H1198" s="74"/>
      <c r="I1198" s="298" t="s">
        <v>86</v>
      </c>
      <c r="J1198" s="299"/>
      <c r="K1198" s="80">
        <f>K1196+K1197</f>
        <v>12220</v>
      </c>
      <c r="L1198" s="81"/>
      <c r="M1198" s="57"/>
      <c r="N1198" s="100"/>
      <c r="O1198" s="101" t="s">
        <v>67</v>
      </c>
      <c r="P1198" s="101"/>
      <c r="Q1198" s="101"/>
      <c r="R1198" s="101" t="str">
        <f>IF(Q1198="","",R1197-Q1198)</f>
        <v/>
      </c>
      <c r="S1198" s="105"/>
      <c r="T1198" s="101" t="s">
        <v>67</v>
      </c>
      <c r="U1198" s="177"/>
      <c r="V1198" s="103"/>
      <c r="W1198" s="177" t="str">
        <f t="shared" si="218"/>
        <v/>
      </c>
      <c r="X1198" s="103"/>
      <c r="Y1198" s="177" t="str">
        <f t="shared" si="217"/>
        <v/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3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10500</v>
      </c>
      <c r="H1199" s="74"/>
      <c r="I1199" s="298" t="s">
        <v>87</v>
      </c>
      <c r="J1199" s="299"/>
      <c r="K1199" s="70">
        <f>G1199</f>
        <v>10500</v>
      </c>
      <c r="L1199" s="82"/>
      <c r="M1199" s="57"/>
      <c r="N1199" s="100"/>
      <c r="O1199" s="101" t="s">
        <v>68</v>
      </c>
      <c r="P1199" s="101"/>
      <c r="Q1199" s="101"/>
      <c r="R1199" s="101">
        <v>0</v>
      </c>
      <c r="S1199" s="105"/>
      <c r="T1199" s="101" t="s">
        <v>68</v>
      </c>
      <c r="U1199" s="177"/>
      <c r="V1199" s="103"/>
      <c r="W1199" s="177" t="str">
        <f t="shared" si="218"/>
        <v/>
      </c>
      <c r="X1199" s="103"/>
      <c r="Y1199" s="177" t="str">
        <f t="shared" si="217"/>
        <v/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84" t="s">
        <v>80</v>
      </c>
      <c r="J1200" s="285"/>
      <c r="K1200" s="84">
        <f>K1198-K1199</f>
        <v>1720</v>
      </c>
      <c r="L1200" s="85"/>
      <c r="M1200" s="57"/>
      <c r="N1200" s="100"/>
      <c r="O1200" s="101" t="s">
        <v>73</v>
      </c>
      <c r="P1200" s="101"/>
      <c r="Q1200" s="101"/>
      <c r="R1200" s="101">
        <v>0</v>
      </c>
      <c r="S1200" s="105"/>
      <c r="T1200" s="101" t="s">
        <v>73</v>
      </c>
      <c r="U1200" s="177"/>
      <c r="V1200" s="103"/>
      <c r="W1200" s="177" t="str">
        <f t="shared" si="218"/>
        <v/>
      </c>
      <c r="X1200" s="103"/>
      <c r="Y1200" s="177" t="str">
        <f t="shared" si="217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/>
      <c r="Q1201" s="101"/>
      <c r="R1201" s="101">
        <v>0</v>
      </c>
      <c r="S1201" s="105"/>
      <c r="T1201" s="101" t="s">
        <v>69</v>
      </c>
      <c r="U1201" s="177"/>
      <c r="V1201" s="103"/>
      <c r="W1201" s="177" t="str">
        <f t="shared" si="218"/>
        <v/>
      </c>
      <c r="X1201" s="103"/>
      <c r="Y1201" s="177" t="str">
        <f t="shared" si="217"/>
        <v/>
      </c>
      <c r="Z1201" s="106"/>
    </row>
    <row r="1202" spans="1:26" s="55" customFormat="1" ht="21" customHeight="1" x14ac:dyDescent="0.25">
      <c r="A1202" s="56"/>
      <c r="B1202" s="286" t="s">
        <v>118</v>
      </c>
      <c r="C1202" s="286"/>
      <c r="D1202" s="286"/>
      <c r="E1202" s="286"/>
      <c r="F1202" s="286"/>
      <c r="G1202" s="286"/>
      <c r="H1202" s="286"/>
      <c r="I1202" s="286"/>
      <c r="J1202" s="286"/>
      <c r="K1202" s="286"/>
      <c r="L1202" s="73"/>
      <c r="M1202" s="57"/>
      <c r="N1202" s="100"/>
      <c r="O1202" s="101" t="s">
        <v>74</v>
      </c>
      <c r="P1202" s="101"/>
      <c r="Q1202" s="101"/>
      <c r="R1202" s="101">
        <v>0</v>
      </c>
      <c r="S1202" s="105"/>
      <c r="T1202" s="101" t="s">
        <v>74</v>
      </c>
      <c r="U1202" s="177"/>
      <c r="V1202" s="103"/>
      <c r="W1202" s="177" t="str">
        <f t="shared" si="218"/>
        <v/>
      </c>
      <c r="X1202" s="103"/>
      <c r="Y1202" s="177" t="str">
        <f t="shared" si="217"/>
        <v/>
      </c>
      <c r="Z1202" s="106"/>
    </row>
    <row r="1203" spans="1:26" s="55" customFormat="1" ht="21" customHeight="1" x14ac:dyDescent="0.25">
      <c r="A1203" s="56"/>
      <c r="B1203" s="286"/>
      <c r="C1203" s="286"/>
      <c r="D1203" s="286"/>
      <c r="E1203" s="286"/>
      <c r="F1203" s="286"/>
      <c r="G1203" s="286"/>
      <c r="H1203" s="286"/>
      <c r="I1203" s="286"/>
      <c r="J1203" s="286"/>
      <c r="K1203" s="286"/>
      <c r="L1203" s="73"/>
      <c r="M1203" s="57"/>
      <c r="N1203" s="100"/>
      <c r="O1203" s="101" t="s">
        <v>75</v>
      </c>
      <c r="P1203" s="101"/>
      <c r="Q1203" s="101"/>
      <c r="R1203" s="101">
        <v>0</v>
      </c>
      <c r="S1203" s="105"/>
      <c r="T1203" s="101" t="s">
        <v>75</v>
      </c>
      <c r="U1203" s="177"/>
      <c r="V1203" s="103"/>
      <c r="W1203" s="177" t="str">
        <f t="shared" si="218"/>
        <v/>
      </c>
      <c r="X1203" s="103"/>
      <c r="Y1203" s="177" t="str">
        <f t="shared" si="217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300" t="s">
        <v>57</v>
      </c>
      <c r="B1207" s="301"/>
      <c r="C1207" s="301"/>
      <c r="D1207" s="301"/>
      <c r="E1207" s="301"/>
      <c r="F1207" s="301"/>
      <c r="G1207" s="301"/>
      <c r="H1207" s="301"/>
      <c r="I1207" s="301"/>
      <c r="J1207" s="301"/>
      <c r="K1207" s="301"/>
      <c r="L1207" s="302"/>
      <c r="M1207" s="142"/>
      <c r="N1207" s="93"/>
      <c r="O1207" s="290" t="s">
        <v>59</v>
      </c>
      <c r="P1207" s="291"/>
      <c r="Q1207" s="291"/>
      <c r="R1207" s="292"/>
      <c r="S1207" s="94"/>
      <c r="T1207" s="290" t="s">
        <v>60</v>
      </c>
      <c r="U1207" s="291"/>
      <c r="V1207" s="291"/>
      <c r="W1207" s="291"/>
      <c r="X1207" s="291"/>
      <c r="Y1207" s="292"/>
      <c r="Z1207" s="95"/>
    </row>
    <row r="1208" spans="1:26" s="55" customFormat="1" ht="21" customHeight="1" x14ac:dyDescent="0.25">
      <c r="A1208" s="56"/>
      <c r="B1208" s="57"/>
      <c r="C1208" s="293" t="s">
        <v>116</v>
      </c>
      <c r="D1208" s="293"/>
      <c r="E1208" s="293"/>
      <c r="F1208" s="293"/>
      <c r="G1208" s="58" t="str">
        <f>$J$1</f>
        <v>May</v>
      </c>
      <c r="H1208" s="294">
        <f>$K$1</f>
        <v>2019</v>
      </c>
      <c r="I1208" s="294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24000</v>
      </c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180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>
        <v>8</v>
      </c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95" t="s">
        <v>60</v>
      </c>
      <c r="G1211" s="295"/>
      <c r="H1211" s="57"/>
      <c r="I1211" s="295" t="s">
        <v>61</v>
      </c>
      <c r="J1211" s="295"/>
      <c r="K1211" s="295"/>
      <c r="L1211" s="73"/>
      <c r="M1211" s="57"/>
      <c r="N1211" s="100"/>
      <c r="O1211" s="101" t="s">
        <v>63</v>
      </c>
      <c r="P1211" s="101">
        <v>31</v>
      </c>
      <c r="Q1211" s="101">
        <v>0</v>
      </c>
      <c r="R1211" s="101">
        <v>0</v>
      </c>
      <c r="S1211" s="105"/>
      <c r="T1211" s="101" t="s">
        <v>63</v>
      </c>
      <c r="U1211" s="177">
        <f>IF($J$1="April",Y1210,Y1210)</f>
        <v>0</v>
      </c>
      <c r="V1211" s="103">
        <f>1000+1000+2000+2000</f>
        <v>6000</v>
      </c>
      <c r="W1211" s="177">
        <f t="shared" ref="W1211:W1220" si="219">IF(U1211="","",U1211+V1211)</f>
        <v>6000</v>
      </c>
      <c r="X1211" s="103">
        <v>6000</v>
      </c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>
        <v>29</v>
      </c>
      <c r="Q1212" s="101">
        <v>1</v>
      </c>
      <c r="R1212" s="101">
        <v>0</v>
      </c>
      <c r="S1212" s="105"/>
      <c r="T1212" s="101" t="s">
        <v>64</v>
      </c>
      <c r="U1212" s="177">
        <f>IF($J$1="April",Y1211,Y1211)</f>
        <v>0</v>
      </c>
      <c r="V1212" s="103">
        <f>1000+3000+2000</f>
        <v>6000</v>
      </c>
      <c r="W1212" s="177">
        <f t="shared" si="219"/>
        <v>6000</v>
      </c>
      <c r="X1212" s="103">
        <v>6000</v>
      </c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96" t="s">
        <v>59</v>
      </c>
      <c r="C1213" s="297"/>
      <c r="D1213" s="57"/>
      <c r="E1213" s="57"/>
      <c r="F1213" s="75" t="s">
        <v>81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f>IF(C1217&gt;0,$K$2,C1215)</f>
        <v>30</v>
      </c>
      <c r="J1213" s="77" t="s">
        <v>78</v>
      </c>
      <c r="K1213" s="78">
        <f>K1209/$K$2*I1213</f>
        <v>23225.806451612905</v>
      </c>
      <c r="L1213" s="79"/>
      <c r="M1213" s="57"/>
      <c r="N1213" s="100"/>
      <c r="O1213" s="101" t="s">
        <v>65</v>
      </c>
      <c r="P1213" s="101">
        <v>30</v>
      </c>
      <c r="Q1213" s="101">
        <v>1</v>
      </c>
      <c r="R1213" s="101">
        <v>0</v>
      </c>
      <c r="S1213" s="105"/>
      <c r="T1213" s="101" t="s">
        <v>65</v>
      </c>
      <c r="U1213" s="177">
        <f>IF($J$1="May",Y1212,Y1212)</f>
        <v>0</v>
      </c>
      <c r="V1213" s="103">
        <f>5000+2000</f>
        <v>7000</v>
      </c>
      <c r="W1213" s="177">
        <f t="shared" si="219"/>
        <v>7000</v>
      </c>
      <c r="X1213" s="103">
        <v>7000</v>
      </c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7000</v>
      </c>
      <c r="H1214" s="74"/>
      <c r="I1214" s="120">
        <v>4.07</v>
      </c>
      <c r="J1214" s="77" t="s">
        <v>79</v>
      </c>
      <c r="K1214" s="80">
        <f>K1209/$K$2/8*I1214</f>
        <v>393.87096774193554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ref="R1214:R1220" si="221">IF(Q1214="","",R1213-Q1214)</f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30</v>
      </c>
      <c r="D1215" s="57"/>
      <c r="E1215" s="57"/>
      <c r="F1215" s="75" t="s">
        <v>82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7000</v>
      </c>
      <c r="H1215" s="74"/>
      <c r="I1215" s="298" t="s">
        <v>86</v>
      </c>
      <c r="J1215" s="299"/>
      <c r="K1215" s="80">
        <f>K1213+K1214</f>
        <v>23619.677419354841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19"/>
        <v>0</v>
      </c>
      <c r="X1215" s="103"/>
      <c r="Y1215" s="177">
        <f t="shared" si="220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1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7000</v>
      </c>
      <c r="H1216" s="74"/>
      <c r="I1216" s="298" t="s">
        <v>87</v>
      </c>
      <c r="J1216" s="299"/>
      <c r="K1216" s="70">
        <f>G1216</f>
        <v>7000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19"/>
        <v>0</v>
      </c>
      <c r="X1216" s="103"/>
      <c r="Y1216" s="177">
        <f t="shared" si="220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84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84" t="s">
        <v>80</v>
      </c>
      <c r="J1217" s="285"/>
      <c r="K1217" s="84">
        <f>K1215-K1216</f>
        <v>16619.677419354841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21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19"/>
        <v>0</v>
      </c>
      <c r="X1217" s="103"/>
      <c r="Y1217" s="177">
        <f t="shared" si="220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22">Y1217</f>
        <v>0</v>
      </c>
      <c r="V1218" s="103"/>
      <c r="W1218" s="177">
        <f t="shared" si="219"/>
        <v>0</v>
      </c>
      <c r="X1218" s="103"/>
      <c r="Y1218" s="177">
        <f t="shared" si="220"/>
        <v>0</v>
      </c>
      <c r="Z1218" s="106"/>
    </row>
    <row r="1219" spans="1:26" s="55" customFormat="1" ht="21" customHeight="1" x14ac:dyDescent="0.25">
      <c r="A1219" s="56"/>
      <c r="B1219" s="286" t="s">
        <v>118</v>
      </c>
      <c r="C1219" s="286"/>
      <c r="D1219" s="286"/>
      <c r="E1219" s="286"/>
      <c r="F1219" s="286"/>
      <c r="G1219" s="286"/>
      <c r="H1219" s="286"/>
      <c r="I1219" s="286"/>
      <c r="J1219" s="286"/>
      <c r="K1219" s="286"/>
      <c r="L1219" s="73"/>
      <c r="M1219" s="57"/>
      <c r="N1219" s="100"/>
      <c r="O1219" s="101" t="s">
        <v>74</v>
      </c>
      <c r="P1219" s="101"/>
      <c r="Q1219" s="101"/>
      <c r="R1219" s="101" t="str">
        <f t="shared" si="221"/>
        <v/>
      </c>
      <c r="S1219" s="105"/>
      <c r="T1219" s="101" t="s">
        <v>74</v>
      </c>
      <c r="U1219" s="177">
        <f t="shared" si="222"/>
        <v>0</v>
      </c>
      <c r="V1219" s="103"/>
      <c r="W1219" s="177">
        <f t="shared" si="219"/>
        <v>0</v>
      </c>
      <c r="X1219" s="103"/>
      <c r="Y1219" s="177">
        <f t="shared" si="220"/>
        <v>0</v>
      </c>
      <c r="Z1219" s="106"/>
    </row>
    <row r="1220" spans="1:26" s="55" customFormat="1" ht="21" customHeight="1" x14ac:dyDescent="0.25">
      <c r="A1220" s="56"/>
      <c r="B1220" s="286"/>
      <c r="C1220" s="286"/>
      <c r="D1220" s="286"/>
      <c r="E1220" s="286"/>
      <c r="F1220" s="286"/>
      <c r="G1220" s="286"/>
      <c r="H1220" s="286"/>
      <c r="I1220" s="286"/>
      <c r="J1220" s="286"/>
      <c r="K1220" s="286"/>
      <c r="L1220" s="73"/>
      <c r="M1220" s="57"/>
      <c r="N1220" s="100"/>
      <c r="O1220" s="101" t="s">
        <v>75</v>
      </c>
      <c r="P1220" s="101"/>
      <c r="Q1220" s="101"/>
      <c r="R1220" s="101" t="str">
        <f t="shared" si="221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300" t="s">
        <v>57</v>
      </c>
      <c r="B1223" s="301"/>
      <c r="C1223" s="301"/>
      <c r="D1223" s="301"/>
      <c r="E1223" s="301"/>
      <c r="F1223" s="301"/>
      <c r="G1223" s="301"/>
      <c r="H1223" s="301"/>
      <c r="I1223" s="301"/>
      <c r="J1223" s="301"/>
      <c r="K1223" s="301"/>
      <c r="L1223" s="302"/>
      <c r="M1223" s="142"/>
      <c r="N1223" s="93"/>
      <c r="O1223" s="290" t="s">
        <v>59</v>
      </c>
      <c r="P1223" s="291"/>
      <c r="Q1223" s="291"/>
      <c r="R1223" s="292"/>
      <c r="S1223" s="94"/>
      <c r="T1223" s="290" t="s">
        <v>60</v>
      </c>
      <c r="U1223" s="291"/>
      <c r="V1223" s="291"/>
      <c r="W1223" s="291"/>
      <c r="X1223" s="291"/>
      <c r="Y1223" s="292"/>
      <c r="Z1223" s="95"/>
    </row>
    <row r="1224" spans="1:26" s="55" customFormat="1" ht="21" customHeight="1" x14ac:dyDescent="0.25">
      <c r="A1224" s="56"/>
      <c r="B1224" s="57"/>
      <c r="C1224" s="293" t="s">
        <v>116</v>
      </c>
      <c r="D1224" s="293"/>
      <c r="E1224" s="293"/>
      <c r="F1224" s="293"/>
      <c r="G1224" s="58" t="str">
        <f>$J$1</f>
        <v>May</v>
      </c>
      <c r="H1224" s="294">
        <f>$K$1</f>
        <v>2019</v>
      </c>
      <c r="I1224" s="294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>
        <v>28</v>
      </c>
      <c r="Q1225" s="101">
        <v>3</v>
      </c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177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>
        <v>24</v>
      </c>
      <c r="Q1226" s="101">
        <v>4</v>
      </c>
      <c r="R1226" s="101">
        <v>0</v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95" t="s">
        <v>60</v>
      </c>
      <c r="G1227" s="295"/>
      <c r="H1227" s="57"/>
      <c r="I1227" s="295" t="s">
        <v>61</v>
      </c>
      <c r="J1227" s="295"/>
      <c r="K1227" s="295"/>
      <c r="L1227" s="73"/>
      <c r="M1227" s="57"/>
      <c r="N1227" s="100"/>
      <c r="O1227" s="101" t="s">
        <v>63</v>
      </c>
      <c r="P1227" s="101">
        <v>21</v>
      </c>
      <c r="Q1227" s="101">
        <v>10</v>
      </c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23">IF(U1227="","",U1227+V1227)</f>
        <v>0</v>
      </c>
      <c r="X1227" s="103"/>
      <c r="Y1227" s="177">
        <f t="shared" ref="Y1227:Y1236" si="224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>
        <v>26</v>
      </c>
      <c r="Q1228" s="101">
        <v>4</v>
      </c>
      <c r="R1228" s="101">
        <v>0</v>
      </c>
      <c r="S1228" s="105"/>
      <c r="T1228" s="101" t="s">
        <v>64</v>
      </c>
      <c r="U1228" s="177">
        <f>IF($J$1="April",Y1227,Y1227)</f>
        <v>0</v>
      </c>
      <c r="V1228" s="103">
        <v>10000</v>
      </c>
      <c r="W1228" s="177">
        <f t="shared" si="223"/>
        <v>10000</v>
      </c>
      <c r="X1228" s="103">
        <v>2000</v>
      </c>
      <c r="Y1228" s="177">
        <f t="shared" si="224"/>
        <v>8000</v>
      </c>
      <c r="Z1228" s="106"/>
    </row>
    <row r="1229" spans="1:26" s="55" customFormat="1" ht="21" customHeight="1" x14ac:dyDescent="0.25">
      <c r="A1229" s="56"/>
      <c r="B1229" s="296" t="s">
        <v>59</v>
      </c>
      <c r="C1229" s="297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8000</v>
      </c>
      <c r="H1229" s="74"/>
      <c r="I1229" s="76">
        <f>IF(C1233&gt;0,$K$2,C1231)</f>
        <v>28</v>
      </c>
      <c r="J1229" s="77" t="s">
        <v>78</v>
      </c>
      <c r="K1229" s="78">
        <f>K1225/$K$2*I1229</f>
        <v>14451.612903225807</v>
      </c>
      <c r="L1229" s="79"/>
      <c r="M1229" s="57"/>
      <c r="N1229" s="100"/>
      <c r="O1229" s="101" t="s">
        <v>65</v>
      </c>
      <c r="P1229" s="101">
        <v>28</v>
      </c>
      <c r="Q1229" s="101">
        <v>3</v>
      </c>
      <c r="R1229" s="101">
        <v>0</v>
      </c>
      <c r="S1229" s="105"/>
      <c r="T1229" s="101" t="s">
        <v>65</v>
      </c>
      <c r="U1229" s="177">
        <f>IF($J$1="May",Y1228,0)</f>
        <v>8000</v>
      </c>
      <c r="V1229" s="103"/>
      <c r="W1229" s="177">
        <f t="shared" si="223"/>
        <v>8000</v>
      </c>
      <c r="X1229" s="103"/>
      <c r="Y1229" s="177">
        <f t="shared" si="224"/>
        <v>8000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2.2999999999999998</v>
      </c>
      <c r="J1230" s="77" t="s">
        <v>79</v>
      </c>
      <c r="K1230" s="80">
        <f>K1225/$K$2/8*I1230</f>
        <v>148.38709677419354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25">IF(Q1230="","",R1229-Q1230)</f>
        <v/>
      </c>
      <c r="S1230" s="105"/>
      <c r="T1230" s="101" t="s">
        <v>66</v>
      </c>
      <c r="U1230" s="177"/>
      <c r="V1230" s="103"/>
      <c r="W1230" s="177" t="str">
        <f t="shared" si="223"/>
        <v/>
      </c>
      <c r="X1230" s="103"/>
      <c r="Y1230" s="177" t="str">
        <f t="shared" si="224"/>
        <v/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28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8000</v>
      </c>
      <c r="H1231" s="74"/>
      <c r="I1231" s="298" t="s">
        <v>86</v>
      </c>
      <c r="J1231" s="299"/>
      <c r="K1231" s="80">
        <f>K1229+K1230</f>
        <v>14600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/>
      <c r="V1231" s="103"/>
      <c r="W1231" s="177" t="str">
        <f t="shared" si="223"/>
        <v/>
      </c>
      <c r="X1231" s="103"/>
      <c r="Y1231" s="177" t="str">
        <f t="shared" si="224"/>
        <v/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3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4"/>
      <c r="I1232" s="298" t="s">
        <v>87</v>
      </c>
      <c r="J1232" s="299"/>
      <c r="K1232" s="70">
        <f>G1232</f>
        <v>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23"/>
        <v/>
      </c>
      <c r="X1232" s="103"/>
      <c r="Y1232" s="177" t="str">
        <f t="shared" si="224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8000</v>
      </c>
      <c r="H1233" s="57"/>
      <c r="I1233" s="284" t="s">
        <v>80</v>
      </c>
      <c r="J1233" s="285"/>
      <c r="K1233" s="84">
        <f>K1231-K1232</f>
        <v>14600</v>
      </c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23"/>
        <v/>
      </c>
      <c r="X1233" s="103"/>
      <c r="Y1233" s="177" t="str">
        <f t="shared" si="224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23"/>
        <v/>
      </c>
      <c r="X1234" s="103"/>
      <c r="Y1234" s="177" t="str">
        <f t="shared" si="224"/>
        <v/>
      </c>
      <c r="Z1234" s="106"/>
    </row>
    <row r="1235" spans="1:26" s="55" customFormat="1" ht="21" customHeight="1" x14ac:dyDescent="0.25">
      <c r="A1235" s="56"/>
      <c r="B1235" s="286" t="s">
        <v>118</v>
      </c>
      <c r="C1235" s="286"/>
      <c r="D1235" s="286"/>
      <c r="E1235" s="286"/>
      <c r="F1235" s="286"/>
      <c r="G1235" s="286"/>
      <c r="H1235" s="286"/>
      <c r="I1235" s="286"/>
      <c r="J1235" s="286"/>
      <c r="K1235" s="286"/>
      <c r="L1235" s="73"/>
      <c r="M1235" s="57"/>
      <c r="N1235" s="100"/>
      <c r="O1235" s="101" t="s">
        <v>74</v>
      </c>
      <c r="P1235" s="101"/>
      <c r="Q1235" s="101"/>
      <c r="R1235" s="101">
        <v>0</v>
      </c>
      <c r="S1235" s="105"/>
      <c r="T1235" s="101" t="s">
        <v>74</v>
      </c>
      <c r="U1235" s="177"/>
      <c r="V1235" s="103"/>
      <c r="W1235" s="177">
        <f>V1235+U1235</f>
        <v>0</v>
      </c>
      <c r="X1235" s="103"/>
      <c r="Y1235" s="177">
        <f t="shared" si="224"/>
        <v>0</v>
      </c>
      <c r="Z1235" s="106"/>
    </row>
    <row r="1236" spans="1:26" s="55" customFormat="1" ht="21" customHeight="1" x14ac:dyDescent="0.25">
      <c r="A1236" s="56"/>
      <c r="B1236" s="286"/>
      <c r="C1236" s="286"/>
      <c r="D1236" s="286"/>
      <c r="E1236" s="286"/>
      <c r="F1236" s="286"/>
      <c r="G1236" s="286"/>
      <c r="H1236" s="286"/>
      <c r="I1236" s="286"/>
      <c r="J1236" s="286"/>
      <c r="K1236" s="286"/>
      <c r="L1236" s="73"/>
      <c r="M1236" s="57"/>
      <c r="N1236" s="100"/>
      <c r="O1236" s="101" t="s">
        <v>75</v>
      </c>
      <c r="P1236" s="101"/>
      <c r="Q1236" s="101"/>
      <c r="R1236" s="101" t="str">
        <f t="shared" si="225"/>
        <v/>
      </c>
      <c r="S1236" s="105"/>
      <c r="T1236" s="101" t="s">
        <v>75</v>
      </c>
      <c r="U1236" s="177">
        <f t="shared" ref="U1236" si="226">Y1235</f>
        <v>0</v>
      </c>
      <c r="V1236" s="103"/>
      <c r="W1236" s="177">
        <f t="shared" si="223"/>
        <v>0</v>
      </c>
      <c r="X1236" s="103"/>
      <c r="Y1236" s="177">
        <f t="shared" si="224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300" t="s">
        <v>57</v>
      </c>
      <c r="B1239" s="301"/>
      <c r="C1239" s="301"/>
      <c r="D1239" s="301"/>
      <c r="E1239" s="301"/>
      <c r="F1239" s="301"/>
      <c r="G1239" s="301"/>
      <c r="H1239" s="301"/>
      <c r="I1239" s="301"/>
      <c r="J1239" s="301"/>
      <c r="K1239" s="301"/>
      <c r="L1239" s="302"/>
      <c r="M1239" s="146"/>
      <c r="N1239" s="93"/>
      <c r="O1239" s="290" t="s">
        <v>59</v>
      </c>
      <c r="P1239" s="291"/>
      <c r="Q1239" s="291"/>
      <c r="R1239" s="292"/>
      <c r="S1239" s="94"/>
      <c r="T1239" s="290" t="s">
        <v>60</v>
      </c>
      <c r="U1239" s="291"/>
      <c r="V1239" s="291"/>
      <c r="W1239" s="291"/>
      <c r="X1239" s="291"/>
      <c r="Y1239" s="292"/>
      <c r="Z1239" s="95"/>
    </row>
    <row r="1240" spans="1:26" s="55" customFormat="1" ht="21" customHeight="1" x14ac:dyDescent="0.25">
      <c r="A1240" s="56"/>
      <c r="B1240" s="57"/>
      <c r="C1240" s="293" t="s">
        <v>116</v>
      </c>
      <c r="D1240" s="293"/>
      <c r="E1240" s="293"/>
      <c r="F1240" s="293"/>
      <c r="G1240" s="58" t="str">
        <f>$J$1</f>
        <v>May</v>
      </c>
      <c r="H1240" s="294">
        <f>$K$1</f>
        <v>2019</v>
      </c>
      <c r="I1240" s="294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62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62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136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88</v>
      </c>
      <c r="U1242" s="177">
        <f>Y1241</f>
        <v>5500</v>
      </c>
      <c r="V1242" s="103"/>
      <c r="W1242" s="177">
        <f>IF(U1242="","",U1242+V1242)</f>
        <v>5500</v>
      </c>
      <c r="X1242" s="103">
        <v>5500</v>
      </c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95" t="s">
        <v>60</v>
      </c>
      <c r="G1243" s="295"/>
      <c r="H1243" s="57"/>
      <c r="I1243" s="295" t="s">
        <v>61</v>
      </c>
      <c r="J1243" s="295"/>
      <c r="K1243" s="295"/>
      <c r="L1243" s="73"/>
      <c r="M1243" s="57"/>
      <c r="N1243" s="100"/>
      <c r="O1243" s="101" t="s">
        <v>63</v>
      </c>
      <c r="P1243" s="101">
        <v>29</v>
      </c>
      <c r="Q1243" s="101">
        <v>2</v>
      </c>
      <c r="R1243" s="101">
        <f t="shared" ref="R1243:R1252" si="227">IF(Q1243="","",R1242-Q1243)</f>
        <v>12</v>
      </c>
      <c r="S1243" s="105"/>
      <c r="T1243" s="101" t="s">
        <v>63</v>
      </c>
      <c r="U1243" s="177">
        <f>Y1242</f>
        <v>0</v>
      </c>
      <c r="V1243" s="103">
        <v>2800</v>
      </c>
      <c r="W1243" s="177">
        <f>V1243+U1243</f>
        <v>2800</v>
      </c>
      <c r="X1243" s="103">
        <v>2800</v>
      </c>
      <c r="Y1243" s="177">
        <f t="shared" ref="Y1243:Y1252" si="228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>
        <v>29</v>
      </c>
      <c r="Q1244" s="101">
        <v>1</v>
      </c>
      <c r="R1244" s="101">
        <f t="shared" si="227"/>
        <v>11</v>
      </c>
      <c r="S1244" s="105"/>
      <c r="T1244" s="101" t="s">
        <v>64</v>
      </c>
      <c r="U1244" s="177">
        <f>Y1243</f>
        <v>0</v>
      </c>
      <c r="V1244" s="103">
        <v>2000</v>
      </c>
      <c r="W1244" s="177">
        <f t="shared" ref="W1244:W1252" si="229">IF(U1244="","",U1244+V1244)</f>
        <v>2000</v>
      </c>
      <c r="X1244" s="103">
        <v>2000</v>
      </c>
      <c r="Y1244" s="177">
        <f t="shared" si="228"/>
        <v>0</v>
      </c>
      <c r="Z1244" s="106"/>
    </row>
    <row r="1245" spans="1:26" s="55" customFormat="1" ht="21" customHeight="1" x14ac:dyDescent="0.25">
      <c r="A1245" s="56"/>
      <c r="B1245" s="296" t="s">
        <v>59</v>
      </c>
      <c r="C1245" s="297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31</v>
      </c>
      <c r="J1245" s="77" t="s">
        <v>78</v>
      </c>
      <c r="K1245" s="78">
        <f>K1241/$K$2*I1245</f>
        <v>19000</v>
      </c>
      <c r="L1245" s="79"/>
      <c r="M1245" s="57"/>
      <c r="N1245" s="100"/>
      <c r="O1245" s="101" t="s">
        <v>65</v>
      </c>
      <c r="P1245" s="101">
        <v>31</v>
      </c>
      <c r="Q1245" s="101">
        <v>0</v>
      </c>
      <c r="R1245" s="101">
        <f t="shared" si="227"/>
        <v>11</v>
      </c>
      <c r="S1245" s="105"/>
      <c r="T1245" s="101" t="s">
        <v>65</v>
      </c>
      <c r="U1245" s="177"/>
      <c r="V1245" s="103">
        <v>10000</v>
      </c>
      <c r="W1245" s="177">
        <f>V1245+U1245</f>
        <v>10000</v>
      </c>
      <c r="X1245" s="103">
        <v>2000</v>
      </c>
      <c r="Y1245" s="177">
        <f t="shared" si="228"/>
        <v>8000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10000</v>
      </c>
      <c r="H1246" s="74"/>
      <c r="I1246" s="120">
        <v>65</v>
      </c>
      <c r="J1246" s="77" t="s">
        <v>79</v>
      </c>
      <c r="K1246" s="80">
        <f>K1241/$K$2/8*I1246</f>
        <v>4979.8387096774195</v>
      </c>
      <c r="L1246" s="81"/>
      <c r="M1246" s="57"/>
      <c r="N1246" s="100"/>
      <c r="O1246" s="101" t="s">
        <v>66</v>
      </c>
      <c r="P1246" s="101"/>
      <c r="Q1246" s="101"/>
      <c r="R1246" s="101" t="str">
        <f t="shared" si="227"/>
        <v/>
      </c>
      <c r="S1246" s="105"/>
      <c r="T1246" s="101" t="s">
        <v>66</v>
      </c>
      <c r="U1246" s="177"/>
      <c r="V1246" s="103"/>
      <c r="W1246" s="177" t="str">
        <f t="shared" si="229"/>
        <v/>
      </c>
      <c r="X1246" s="103"/>
      <c r="Y1246" s="177" t="str">
        <f t="shared" si="228"/>
        <v/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31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10000</v>
      </c>
      <c r="H1247" s="74"/>
      <c r="I1247" s="298" t="s">
        <v>86</v>
      </c>
      <c r="J1247" s="299"/>
      <c r="K1247" s="80">
        <f>K1245+K1246</f>
        <v>23979.83870967742</v>
      </c>
      <c r="L1247" s="81"/>
      <c r="M1247" s="57"/>
      <c r="N1247" s="100"/>
      <c r="O1247" s="101" t="s">
        <v>67</v>
      </c>
      <c r="P1247" s="101"/>
      <c r="Q1247" s="101"/>
      <c r="R1247" s="101" t="str">
        <f t="shared" si="227"/>
        <v/>
      </c>
      <c r="S1247" s="105"/>
      <c r="T1247" s="101" t="s">
        <v>67</v>
      </c>
      <c r="U1247" s="177"/>
      <c r="V1247" s="103"/>
      <c r="W1247" s="177" t="str">
        <f t="shared" si="229"/>
        <v/>
      </c>
      <c r="X1247" s="103"/>
      <c r="Y1247" s="177" t="str">
        <f t="shared" si="228"/>
        <v/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0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2000</v>
      </c>
      <c r="H1248" s="74"/>
      <c r="I1248" s="298" t="s">
        <v>87</v>
      </c>
      <c r="J1248" s="299"/>
      <c r="K1248" s="70">
        <f>G1248</f>
        <v>2000</v>
      </c>
      <c r="L1248" s="82"/>
      <c r="M1248" s="57"/>
      <c r="N1248" s="100"/>
      <c r="O1248" s="101" t="s">
        <v>68</v>
      </c>
      <c r="P1248" s="101"/>
      <c r="Q1248" s="101"/>
      <c r="R1248" s="101" t="str">
        <f t="shared" si="227"/>
        <v/>
      </c>
      <c r="S1248" s="105"/>
      <c r="T1248" s="101" t="s">
        <v>68</v>
      </c>
      <c r="U1248" s="177"/>
      <c r="V1248" s="103"/>
      <c r="W1248" s="177" t="str">
        <f t="shared" si="229"/>
        <v/>
      </c>
      <c r="X1248" s="103"/>
      <c r="Y1248" s="177" t="str">
        <f t="shared" si="228"/>
        <v/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11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8000</v>
      </c>
      <c r="H1249" s="57"/>
      <c r="I1249" s="284" t="s">
        <v>80</v>
      </c>
      <c r="J1249" s="285"/>
      <c r="K1249" s="84">
        <f>K1247-K1248</f>
        <v>21979.83870967742</v>
      </c>
      <c r="L1249" s="85"/>
      <c r="M1249" s="57"/>
      <c r="N1249" s="100"/>
      <c r="O1249" s="101" t="s">
        <v>73</v>
      </c>
      <c r="P1249" s="101"/>
      <c r="Q1249" s="101"/>
      <c r="R1249" s="101" t="str">
        <f t="shared" si="227"/>
        <v/>
      </c>
      <c r="S1249" s="105"/>
      <c r="T1249" s="101" t="s">
        <v>73</v>
      </c>
      <c r="U1249" s="177"/>
      <c r="V1249" s="103"/>
      <c r="W1249" s="177" t="str">
        <f t="shared" si="229"/>
        <v/>
      </c>
      <c r="X1249" s="103"/>
      <c r="Y1249" s="177" t="str">
        <f t="shared" si="228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69</v>
      </c>
      <c r="P1250" s="101"/>
      <c r="Q1250" s="101"/>
      <c r="R1250" s="101" t="str">
        <f t="shared" si="227"/>
        <v/>
      </c>
      <c r="S1250" s="105"/>
      <c r="T1250" s="101" t="s">
        <v>69</v>
      </c>
      <c r="U1250" s="177"/>
      <c r="V1250" s="103"/>
      <c r="W1250" s="177" t="str">
        <f t="shared" si="229"/>
        <v/>
      </c>
      <c r="X1250" s="103"/>
      <c r="Y1250" s="177" t="str">
        <f t="shared" si="228"/>
        <v/>
      </c>
      <c r="Z1250" s="106"/>
    </row>
    <row r="1251" spans="1:26" s="55" customFormat="1" ht="21" customHeight="1" x14ac:dyDescent="0.25">
      <c r="A1251" s="56"/>
      <c r="B1251" s="334"/>
      <c r="C1251" s="334"/>
      <c r="D1251" s="334"/>
      <c r="E1251" s="334"/>
      <c r="F1251" s="334"/>
      <c r="G1251" s="334"/>
      <c r="H1251" s="334"/>
      <c r="I1251" s="334"/>
      <c r="J1251" s="334"/>
      <c r="K1251" s="334"/>
      <c r="L1251" s="73"/>
      <c r="M1251" s="57"/>
      <c r="N1251" s="100"/>
      <c r="O1251" s="101" t="s">
        <v>74</v>
      </c>
      <c r="P1251" s="101"/>
      <c r="Q1251" s="101"/>
      <c r="R1251" s="101" t="str">
        <f t="shared" si="227"/>
        <v/>
      </c>
      <c r="S1251" s="105"/>
      <c r="T1251" s="101" t="s">
        <v>74</v>
      </c>
      <c r="U1251" s="177"/>
      <c r="V1251" s="103"/>
      <c r="W1251" s="177" t="str">
        <f t="shared" si="229"/>
        <v/>
      </c>
      <c r="X1251" s="103"/>
      <c r="Y1251" s="177" t="str">
        <f t="shared" si="228"/>
        <v/>
      </c>
      <c r="Z1251" s="106"/>
    </row>
    <row r="1252" spans="1:26" s="55" customFormat="1" ht="21" customHeight="1" x14ac:dyDescent="0.25">
      <c r="A1252" s="56"/>
      <c r="B1252" s="334"/>
      <c r="C1252" s="334"/>
      <c r="D1252" s="334"/>
      <c r="E1252" s="334"/>
      <c r="F1252" s="334"/>
      <c r="G1252" s="334"/>
      <c r="H1252" s="334"/>
      <c r="I1252" s="334"/>
      <c r="J1252" s="334"/>
      <c r="K1252" s="334"/>
      <c r="L1252" s="73"/>
      <c r="M1252" s="57"/>
      <c r="N1252" s="100"/>
      <c r="O1252" s="101" t="s">
        <v>75</v>
      </c>
      <c r="P1252" s="101"/>
      <c r="Q1252" s="101"/>
      <c r="R1252" s="101" t="str">
        <f t="shared" si="227"/>
        <v/>
      </c>
      <c r="S1252" s="105"/>
      <c r="T1252" s="101" t="s">
        <v>75</v>
      </c>
      <c r="U1252" s="177"/>
      <c r="V1252" s="103"/>
      <c r="W1252" s="177" t="str">
        <f t="shared" si="229"/>
        <v/>
      </c>
      <c r="X1252" s="103"/>
      <c r="Y1252" s="177" t="str">
        <f t="shared" si="228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300" t="s">
        <v>57</v>
      </c>
      <c r="B1255" s="301"/>
      <c r="C1255" s="301"/>
      <c r="D1255" s="301"/>
      <c r="E1255" s="301"/>
      <c r="F1255" s="301"/>
      <c r="G1255" s="301"/>
      <c r="H1255" s="301"/>
      <c r="I1255" s="301"/>
      <c r="J1255" s="301"/>
      <c r="K1255" s="301"/>
      <c r="L1255" s="302"/>
      <c r="M1255" s="184"/>
      <c r="N1255" s="93"/>
      <c r="O1255" s="290" t="s">
        <v>59</v>
      </c>
      <c r="P1255" s="291"/>
      <c r="Q1255" s="291"/>
      <c r="R1255" s="292"/>
      <c r="S1255" s="94"/>
      <c r="T1255" s="290" t="s">
        <v>60</v>
      </c>
      <c r="U1255" s="291"/>
      <c r="V1255" s="291"/>
      <c r="W1255" s="291"/>
      <c r="X1255" s="291"/>
      <c r="Y1255" s="292"/>
      <c r="Z1255" s="95"/>
    </row>
    <row r="1256" spans="1:26" s="55" customFormat="1" ht="21" customHeight="1" x14ac:dyDescent="0.25">
      <c r="A1256" s="56"/>
      <c r="B1256" s="57"/>
      <c r="C1256" s="293" t="s">
        <v>116</v>
      </c>
      <c r="D1256" s="293"/>
      <c r="E1256" s="293"/>
      <c r="F1256" s="293"/>
      <c r="G1256" s="58" t="str">
        <f>$J$1</f>
        <v>May</v>
      </c>
      <c r="H1256" s="294">
        <f>$K$1</f>
        <v>2019</v>
      </c>
      <c r="I1256" s="294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137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>
        <v>28</v>
      </c>
      <c r="Q1258" s="101">
        <v>0</v>
      </c>
      <c r="R1258" s="101">
        <f>R1257-Q1258</f>
        <v>14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95" t="s">
        <v>60</v>
      </c>
      <c r="G1259" s="295"/>
      <c r="H1259" s="57"/>
      <c r="I1259" s="295" t="s">
        <v>61</v>
      </c>
      <c r="J1259" s="295"/>
      <c r="K1259" s="295"/>
      <c r="L1259" s="73"/>
      <c r="M1259" s="57"/>
      <c r="N1259" s="100"/>
      <c r="O1259" s="101" t="s">
        <v>63</v>
      </c>
      <c r="P1259" s="101">
        <v>29</v>
      </c>
      <c r="Q1259" s="101">
        <v>2</v>
      </c>
      <c r="R1259" s="101">
        <f>R1258-Q1259</f>
        <v>12</v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30">IF(U1259="","",U1259+V1259)</f>
        <v>0</v>
      </c>
      <c r="X1259" s="103"/>
      <c r="Y1259" s="177">
        <f t="shared" ref="Y1259:Y1268" si="231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>
        <v>30</v>
      </c>
      <c r="Q1260" s="101">
        <v>0</v>
      </c>
      <c r="R1260" s="101">
        <f>R1259-Q1260</f>
        <v>12</v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30"/>
        <v>0</v>
      </c>
      <c r="X1260" s="103"/>
      <c r="Y1260" s="177">
        <f t="shared" si="231"/>
        <v>0</v>
      </c>
      <c r="Z1260" s="106"/>
    </row>
    <row r="1261" spans="1:26" s="55" customFormat="1" ht="21" customHeight="1" x14ac:dyDescent="0.25">
      <c r="A1261" s="56"/>
      <c r="B1261" s="296" t="s">
        <v>59</v>
      </c>
      <c r="C1261" s="297"/>
      <c r="D1261" s="57"/>
      <c r="E1261" s="57"/>
      <c r="F1261" s="75" t="s">
        <v>81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31</v>
      </c>
      <c r="J1261" s="77" t="s">
        <v>78</v>
      </c>
      <c r="K1261" s="78">
        <f>K1257/$K$2*I1261</f>
        <v>30000</v>
      </c>
      <c r="L1261" s="79"/>
      <c r="M1261" s="57"/>
      <c r="N1261" s="100"/>
      <c r="O1261" s="101" t="s">
        <v>65</v>
      </c>
      <c r="P1261" s="101">
        <v>30</v>
      </c>
      <c r="Q1261" s="101">
        <v>1</v>
      </c>
      <c r="R1261" s="101">
        <f>R1260-Q1261</f>
        <v>11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30"/>
        <v>0</v>
      </c>
      <c r="X1261" s="103"/>
      <c r="Y1261" s="177">
        <f t="shared" si="231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26.04</v>
      </c>
      <c r="J1262" s="77" t="s">
        <v>79</v>
      </c>
      <c r="K1262" s="80">
        <f>K1257/$K$2/8*I1262</f>
        <v>3150</v>
      </c>
      <c r="L1262" s="81"/>
      <c r="M1262" s="57"/>
      <c r="N1262" s="100"/>
      <c r="O1262" s="101" t="s">
        <v>66</v>
      </c>
      <c r="P1262" s="101"/>
      <c r="Q1262" s="101"/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30"/>
        <v>0</v>
      </c>
      <c r="X1262" s="103"/>
      <c r="Y1262" s="177">
        <f t="shared" si="231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82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98" t="s">
        <v>86</v>
      </c>
      <c r="J1263" s="299"/>
      <c r="K1263" s="80">
        <f>K1261+K1262</f>
        <v>33150</v>
      </c>
      <c r="L1263" s="81"/>
      <c r="M1263" s="57"/>
      <c r="N1263" s="100"/>
      <c r="O1263" s="101" t="s">
        <v>67</v>
      </c>
      <c r="P1263" s="101"/>
      <c r="Q1263" s="101"/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30"/>
        <v/>
      </c>
      <c r="X1263" s="103"/>
      <c r="Y1263" s="177" t="str">
        <f t="shared" si="231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98" t="s">
        <v>87</v>
      </c>
      <c r="J1264" s="299"/>
      <c r="K1264" s="70">
        <f>G1264</f>
        <v>0</v>
      </c>
      <c r="L1264" s="82"/>
      <c r="M1264" s="57"/>
      <c r="N1264" s="100"/>
      <c r="O1264" s="101" t="s">
        <v>68</v>
      </c>
      <c r="P1264" s="101"/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30"/>
        <v/>
      </c>
      <c r="X1264" s="103"/>
      <c r="Y1264" s="177" t="str">
        <f t="shared" si="231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11</v>
      </c>
      <c r="D1265" s="57"/>
      <c r="E1265" s="57"/>
      <c r="F1265" s="75" t="s">
        <v>84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84" t="s">
        <v>80</v>
      </c>
      <c r="J1265" s="285"/>
      <c r="K1265" s="84">
        <f>K1263-K1264</f>
        <v>33150</v>
      </c>
      <c r="L1265" s="85"/>
      <c r="M1265" s="57"/>
      <c r="N1265" s="100"/>
      <c r="O1265" s="101" t="s">
        <v>73</v>
      </c>
      <c r="P1265" s="101"/>
      <c r="Q1265" s="101"/>
      <c r="R1265" s="101" t="str">
        <f t="shared" ref="R1265:R1267" si="232">IF(Q1265="","",R1264-Q1265)</f>
        <v/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30"/>
        <v/>
      </c>
      <c r="X1265" s="103"/>
      <c r="Y1265" s="177" t="str">
        <f t="shared" si="231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/>
      <c r="Q1266" s="101"/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30"/>
        <v/>
      </c>
      <c r="X1266" s="103"/>
      <c r="Y1266" s="177" t="str">
        <f t="shared" si="231"/>
        <v/>
      </c>
      <c r="Z1266" s="106"/>
    </row>
    <row r="1267" spans="1:28" s="55" customFormat="1" ht="21" customHeight="1" x14ac:dyDescent="0.25">
      <c r="A1267" s="56"/>
      <c r="B1267" s="286" t="s">
        <v>118</v>
      </c>
      <c r="C1267" s="286"/>
      <c r="D1267" s="286"/>
      <c r="E1267" s="286"/>
      <c r="F1267" s="286"/>
      <c r="G1267" s="286"/>
      <c r="H1267" s="286"/>
      <c r="I1267" s="286"/>
      <c r="J1267" s="286"/>
      <c r="K1267" s="286"/>
      <c r="L1267" s="73"/>
      <c r="M1267" s="57"/>
      <c r="N1267" s="100"/>
      <c r="O1267" s="101" t="s">
        <v>74</v>
      </c>
      <c r="P1267" s="101"/>
      <c r="Q1267" s="101"/>
      <c r="R1267" s="101" t="str">
        <f t="shared" si="232"/>
        <v/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30"/>
        <v/>
      </c>
      <c r="X1267" s="103"/>
      <c r="Y1267" s="177" t="str">
        <f t="shared" si="231"/>
        <v/>
      </c>
      <c r="Z1267" s="106"/>
    </row>
    <row r="1268" spans="1:28" s="55" customFormat="1" ht="21" customHeight="1" x14ac:dyDescent="0.25">
      <c r="A1268" s="56"/>
      <c r="B1268" s="286"/>
      <c r="C1268" s="286"/>
      <c r="D1268" s="286"/>
      <c r="E1268" s="286"/>
      <c r="F1268" s="286"/>
      <c r="G1268" s="286"/>
      <c r="H1268" s="286"/>
      <c r="I1268" s="286"/>
      <c r="J1268" s="286"/>
      <c r="K1268" s="286"/>
      <c r="L1268" s="73"/>
      <c r="M1268" s="57"/>
      <c r="N1268" s="100"/>
      <c r="O1268" s="101" t="s">
        <v>75</v>
      </c>
      <c r="P1268" s="101"/>
      <c r="Q1268" s="101"/>
      <c r="R1268" s="101">
        <v>0</v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30"/>
        <v/>
      </c>
      <c r="X1268" s="103"/>
      <c r="Y1268" s="177" t="str">
        <f t="shared" si="231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300" t="s">
        <v>57</v>
      </c>
      <c r="B1271" s="301"/>
      <c r="C1271" s="301"/>
      <c r="D1271" s="301"/>
      <c r="E1271" s="301"/>
      <c r="F1271" s="301"/>
      <c r="G1271" s="301"/>
      <c r="H1271" s="301"/>
      <c r="I1271" s="301"/>
      <c r="J1271" s="301"/>
      <c r="K1271" s="301"/>
      <c r="L1271" s="302"/>
      <c r="M1271" s="199"/>
      <c r="N1271" s="93"/>
      <c r="O1271" s="290" t="s">
        <v>59</v>
      </c>
      <c r="P1271" s="291"/>
      <c r="Q1271" s="291"/>
      <c r="R1271" s="292"/>
      <c r="S1271" s="94"/>
      <c r="T1271" s="290" t="s">
        <v>60</v>
      </c>
      <c r="U1271" s="291"/>
      <c r="V1271" s="291"/>
      <c r="W1271" s="291"/>
      <c r="X1271" s="291"/>
      <c r="Y1271" s="292"/>
      <c r="Z1271" s="95"/>
    </row>
    <row r="1272" spans="1:28" s="55" customFormat="1" ht="21" customHeight="1" x14ac:dyDescent="0.25">
      <c r="A1272" s="56"/>
      <c r="B1272" s="57"/>
      <c r="C1272" s="293" t="s">
        <v>116</v>
      </c>
      <c r="D1272" s="293"/>
      <c r="E1272" s="293"/>
      <c r="F1272" s="293"/>
      <c r="G1272" s="58" t="str">
        <f>$J$1</f>
        <v>May</v>
      </c>
      <c r="H1272" s="294">
        <f>$K$1</f>
        <v>2019</v>
      </c>
      <c r="I1272" s="294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>
        <v>25</v>
      </c>
      <c r="Q1273" s="101">
        <v>6</v>
      </c>
      <c r="R1273" s="101">
        <v>0</v>
      </c>
      <c r="S1273" s="102"/>
      <c r="T1273" s="101" t="s">
        <v>62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149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9"/>
      <c r="N1274" s="104"/>
      <c r="O1274" s="101" t="s">
        <v>88</v>
      </c>
      <c r="P1274" s="101">
        <v>25</v>
      </c>
      <c r="Q1274" s="101">
        <v>3</v>
      </c>
      <c r="R1274" s="101">
        <v>0</v>
      </c>
      <c r="S1274" s="105"/>
      <c r="T1274" s="101" t="s">
        <v>88</v>
      </c>
      <c r="U1274" s="177">
        <f>Y1273</f>
        <v>4000</v>
      </c>
      <c r="V1274" s="103">
        <v>5000</v>
      </c>
      <c r="W1274" s="177">
        <f>IF(U1274="","",U1274+V1274)</f>
        <v>9000</v>
      </c>
      <c r="X1274" s="103">
        <v>2000</v>
      </c>
      <c r="Y1274" s="177">
        <f>IF(W1274="","",W1274-X1274)</f>
        <v>7000</v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95" t="s">
        <v>60</v>
      </c>
      <c r="G1275" s="295"/>
      <c r="H1275" s="57"/>
      <c r="I1275" s="295" t="s">
        <v>61</v>
      </c>
      <c r="J1275" s="295"/>
      <c r="K1275" s="295"/>
      <c r="L1275" s="73"/>
      <c r="M1275" s="57"/>
      <c r="N1275" s="100"/>
      <c r="O1275" s="101" t="s">
        <v>63</v>
      </c>
      <c r="P1275" s="101">
        <v>27</v>
      </c>
      <c r="Q1275" s="101">
        <v>4</v>
      </c>
      <c r="R1275" s="101">
        <v>0</v>
      </c>
      <c r="S1275" s="105"/>
      <c r="T1275" s="101" t="s">
        <v>63</v>
      </c>
      <c r="U1275" s="177">
        <f>Y1274</f>
        <v>7000</v>
      </c>
      <c r="V1275" s="103">
        <f>1500+500+500</f>
        <v>2500</v>
      </c>
      <c r="W1275" s="177">
        <f t="shared" ref="W1275:W1284" si="233">IF(U1275="","",U1275+V1275)</f>
        <v>9500</v>
      </c>
      <c r="X1275" s="103">
        <v>2000</v>
      </c>
      <c r="Y1275" s="177">
        <f t="shared" ref="Y1275:Y1284" si="234">IF(W1275="","",W1275-X1275)</f>
        <v>7500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>
        <v>23</v>
      </c>
      <c r="Q1276" s="101">
        <v>7</v>
      </c>
      <c r="R1276" s="101">
        <f>IF(Q1276="","",R1275-Q1276)</f>
        <v>-7</v>
      </c>
      <c r="S1276" s="105"/>
      <c r="T1276" s="101" t="s">
        <v>64</v>
      </c>
      <c r="U1276" s="177">
        <f>Y1275</f>
        <v>7500</v>
      </c>
      <c r="V1276" s="103">
        <v>10000</v>
      </c>
      <c r="W1276" s="177">
        <f t="shared" si="233"/>
        <v>17500</v>
      </c>
      <c r="X1276" s="103">
        <v>5000</v>
      </c>
      <c r="Y1276" s="177">
        <f t="shared" si="234"/>
        <v>12500</v>
      </c>
      <c r="Z1276" s="106"/>
    </row>
    <row r="1277" spans="1:28" s="55" customFormat="1" ht="21" customHeight="1" x14ac:dyDescent="0.25">
      <c r="A1277" s="56"/>
      <c r="B1277" s="296" t="s">
        <v>59</v>
      </c>
      <c r="C1277" s="297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12500</v>
      </c>
      <c r="H1277" s="74"/>
      <c r="I1277" s="76">
        <f>IF(C1281&gt;0,$K$2,C1279)</f>
        <v>29</v>
      </c>
      <c r="J1277" s="77" t="s">
        <v>78</v>
      </c>
      <c r="K1277" s="78">
        <f>K1273/$K$2*I1277</f>
        <v>13096.774193548388</v>
      </c>
      <c r="L1277" s="79"/>
      <c r="M1277" s="57"/>
      <c r="N1277" s="100"/>
      <c r="O1277" s="101" t="s">
        <v>65</v>
      </c>
      <c r="P1277" s="101">
        <v>29</v>
      </c>
      <c r="Q1277" s="101">
        <v>2</v>
      </c>
      <c r="R1277" s="101">
        <v>0</v>
      </c>
      <c r="S1277" s="105"/>
      <c r="T1277" s="101" t="s">
        <v>65</v>
      </c>
      <c r="U1277" s="177">
        <f>IF($J$1="May",Y1276,0)</f>
        <v>12500</v>
      </c>
      <c r="V1277" s="103"/>
      <c r="W1277" s="177">
        <f t="shared" si="233"/>
        <v>12500</v>
      </c>
      <c r="X1277" s="103"/>
      <c r="Y1277" s="177">
        <f t="shared" si="234"/>
        <v>12500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8.02</v>
      </c>
      <c r="J1278" s="77" t="s">
        <v>79</v>
      </c>
      <c r="K1278" s="80">
        <f>K1273/$K$2/8*I1278</f>
        <v>452.74193548387098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/>
      <c r="V1278" s="103"/>
      <c r="W1278" s="177" t="str">
        <f t="shared" si="233"/>
        <v/>
      </c>
      <c r="X1278" s="103"/>
      <c r="Y1278" s="177" t="str">
        <f t="shared" si="234"/>
        <v/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29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12500</v>
      </c>
      <c r="H1279" s="74"/>
      <c r="I1279" s="298" t="s">
        <v>86</v>
      </c>
      <c r="J1279" s="299"/>
      <c r="K1279" s="80">
        <f>K1277+K1278</f>
        <v>13549.516129032259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/>
      <c r="V1279" s="103"/>
      <c r="W1279" s="177" t="str">
        <f t="shared" si="233"/>
        <v/>
      </c>
      <c r="X1279" s="103"/>
      <c r="Y1279" s="177" t="str">
        <f t="shared" si="234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2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298" t="s">
        <v>87</v>
      </c>
      <c r="J1280" s="299"/>
      <c r="K1280" s="70">
        <f>G1280</f>
        <v>0</v>
      </c>
      <c r="L1280" s="82"/>
      <c r="M1280" s="57"/>
      <c r="N1280" s="100"/>
      <c r="O1280" s="101" t="s">
        <v>68</v>
      </c>
      <c r="P1280" s="101"/>
      <c r="Q1280" s="101"/>
      <c r="R1280" s="101">
        <v>0</v>
      </c>
      <c r="S1280" s="105"/>
      <c r="T1280" s="101" t="s">
        <v>68</v>
      </c>
      <c r="U1280" s="177"/>
      <c r="V1280" s="103"/>
      <c r="W1280" s="177" t="str">
        <f t="shared" si="233"/>
        <v/>
      </c>
      <c r="X1280" s="103"/>
      <c r="Y1280" s="177" t="str">
        <f t="shared" si="234"/>
        <v/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12500</v>
      </c>
      <c r="H1281" s="57"/>
      <c r="I1281" s="284" t="s">
        <v>80</v>
      </c>
      <c r="J1281" s="285"/>
      <c r="K1281" s="84">
        <f>K1279-K1280</f>
        <v>13549.516129032259</v>
      </c>
      <c r="L1281" s="85"/>
      <c r="M1281" s="57"/>
      <c r="N1281" s="100"/>
      <c r="O1281" s="101" t="s">
        <v>73</v>
      </c>
      <c r="P1281" s="101"/>
      <c r="Q1281" s="101"/>
      <c r="R1281" s="101">
        <v>0</v>
      </c>
      <c r="S1281" s="105"/>
      <c r="T1281" s="101" t="s">
        <v>73</v>
      </c>
      <c r="U1281" s="177"/>
      <c r="V1281" s="103"/>
      <c r="W1281" s="177" t="str">
        <f t="shared" si="233"/>
        <v/>
      </c>
      <c r="X1281" s="103"/>
      <c r="Y1281" s="177" t="str">
        <f t="shared" si="234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69</v>
      </c>
      <c r="P1282" s="101"/>
      <c r="Q1282" s="101"/>
      <c r="R1282" s="101">
        <v>0</v>
      </c>
      <c r="S1282" s="105"/>
      <c r="T1282" s="101" t="s">
        <v>69</v>
      </c>
      <c r="U1282" s="177"/>
      <c r="V1282" s="103"/>
      <c r="W1282" s="177" t="str">
        <f t="shared" si="233"/>
        <v/>
      </c>
      <c r="X1282" s="103"/>
      <c r="Y1282" s="177" t="str">
        <f t="shared" si="234"/>
        <v/>
      </c>
      <c r="Z1282" s="106"/>
    </row>
    <row r="1283" spans="1:26" s="55" customFormat="1" ht="21" customHeight="1" x14ac:dyDescent="0.25">
      <c r="A1283" s="56"/>
      <c r="B1283" s="286" t="s">
        <v>118</v>
      </c>
      <c r="C1283" s="286"/>
      <c r="D1283" s="286"/>
      <c r="E1283" s="286"/>
      <c r="F1283" s="286"/>
      <c r="G1283" s="286"/>
      <c r="H1283" s="286"/>
      <c r="I1283" s="286"/>
      <c r="J1283" s="286"/>
      <c r="K1283" s="286"/>
      <c r="L1283" s="73"/>
      <c r="M1283" s="57"/>
      <c r="N1283" s="100"/>
      <c r="O1283" s="101" t="s">
        <v>74</v>
      </c>
      <c r="P1283" s="101"/>
      <c r="Q1283" s="101"/>
      <c r="R1283" s="101">
        <v>0</v>
      </c>
      <c r="S1283" s="105"/>
      <c r="T1283" s="101" t="s">
        <v>74</v>
      </c>
      <c r="U1283" s="177"/>
      <c r="V1283" s="103"/>
      <c r="W1283" s="177" t="str">
        <f t="shared" si="233"/>
        <v/>
      </c>
      <c r="X1283" s="103"/>
      <c r="Y1283" s="177" t="str">
        <f t="shared" si="234"/>
        <v/>
      </c>
      <c r="Z1283" s="106"/>
    </row>
    <row r="1284" spans="1:26" s="55" customFormat="1" ht="21" customHeight="1" x14ac:dyDescent="0.25">
      <c r="A1284" s="56"/>
      <c r="B1284" s="286"/>
      <c r="C1284" s="286"/>
      <c r="D1284" s="286"/>
      <c r="E1284" s="286"/>
      <c r="F1284" s="286"/>
      <c r="G1284" s="286"/>
      <c r="H1284" s="286"/>
      <c r="I1284" s="286"/>
      <c r="J1284" s="286"/>
      <c r="K1284" s="286"/>
      <c r="L1284" s="73"/>
      <c r="M1284" s="57"/>
      <c r="N1284" s="100"/>
      <c r="O1284" s="101" t="s">
        <v>75</v>
      </c>
      <c r="P1284" s="101"/>
      <c r="Q1284" s="101"/>
      <c r="R1284" s="101">
        <v>0</v>
      </c>
      <c r="S1284" s="105"/>
      <c r="T1284" s="101" t="s">
        <v>75</v>
      </c>
      <c r="U1284" s="177"/>
      <c r="V1284" s="103"/>
      <c r="W1284" s="177" t="str">
        <f t="shared" si="233"/>
        <v/>
      </c>
      <c r="X1284" s="103"/>
      <c r="Y1284" s="177" t="str">
        <f t="shared" si="234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300" t="s">
        <v>57</v>
      </c>
      <c r="B1287" s="301"/>
      <c r="C1287" s="301"/>
      <c r="D1287" s="301"/>
      <c r="E1287" s="301"/>
      <c r="F1287" s="301"/>
      <c r="G1287" s="301"/>
      <c r="H1287" s="301"/>
      <c r="I1287" s="301"/>
      <c r="J1287" s="301"/>
      <c r="K1287" s="301"/>
      <c r="L1287" s="302"/>
      <c r="M1287" s="199"/>
      <c r="N1287" s="93"/>
      <c r="O1287" s="290" t="s">
        <v>59</v>
      </c>
      <c r="P1287" s="291"/>
      <c r="Q1287" s="291"/>
      <c r="R1287" s="292"/>
      <c r="S1287" s="94"/>
      <c r="T1287" s="290" t="s">
        <v>60</v>
      </c>
      <c r="U1287" s="291"/>
      <c r="V1287" s="291"/>
      <c r="W1287" s="291"/>
      <c r="X1287" s="291"/>
      <c r="Y1287" s="292"/>
      <c r="Z1287" s="95"/>
    </row>
    <row r="1288" spans="1:26" s="55" customFormat="1" ht="21" customHeight="1" x14ac:dyDescent="0.25">
      <c r="A1288" s="56"/>
      <c r="B1288" s="57"/>
      <c r="C1288" s="293" t="s">
        <v>116</v>
      </c>
      <c r="D1288" s="293"/>
      <c r="E1288" s="293"/>
      <c r="F1288" s="293"/>
      <c r="G1288" s="58" t="str">
        <f>$J$1</f>
        <v>May</v>
      </c>
      <c r="H1288" s="294">
        <f>$K$1</f>
        <v>2019</v>
      </c>
      <c r="I1288" s="294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>
        <v>28</v>
      </c>
      <c r="Q1289" s="101">
        <v>3</v>
      </c>
      <c r="R1289" s="101">
        <v>0</v>
      </c>
      <c r="S1289" s="102"/>
      <c r="T1289" s="101" t="s">
        <v>62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150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9"/>
      <c r="N1290" s="104"/>
      <c r="O1290" s="101" t="s">
        <v>88</v>
      </c>
      <c r="P1290" s="101">
        <v>27</v>
      </c>
      <c r="Q1290" s="101">
        <v>1</v>
      </c>
      <c r="R1290" s="101">
        <v>0</v>
      </c>
      <c r="S1290" s="105"/>
      <c r="T1290" s="101" t="s">
        <v>88</v>
      </c>
      <c r="U1290" s="177"/>
      <c r="V1290" s="103">
        <v>2000</v>
      </c>
      <c r="W1290" s="103">
        <f>V1290+U1290</f>
        <v>2000</v>
      </c>
      <c r="X1290" s="103">
        <v>2000</v>
      </c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95" t="s">
        <v>60</v>
      </c>
      <c r="G1291" s="295"/>
      <c r="H1291" s="57"/>
      <c r="I1291" s="295" t="s">
        <v>61</v>
      </c>
      <c r="J1291" s="295"/>
      <c r="K1291" s="295"/>
      <c r="L1291" s="73"/>
      <c r="M1291" s="57"/>
      <c r="N1291" s="100"/>
      <c r="O1291" s="101" t="s">
        <v>63</v>
      </c>
      <c r="P1291" s="101">
        <v>30</v>
      </c>
      <c r="Q1291" s="101">
        <v>1</v>
      </c>
      <c r="R1291" s="101">
        <v>0</v>
      </c>
      <c r="S1291" s="105"/>
      <c r="T1291" s="101" t="s">
        <v>63</v>
      </c>
      <c r="U1291" s="177"/>
      <c r="V1291" s="103"/>
      <c r="W1291" s="177" t="str">
        <f t="shared" ref="W1291:W1300" si="235">IF(U1291="","",U1291+V1291)</f>
        <v/>
      </c>
      <c r="X1291" s="103"/>
      <c r="Y1291" s="177" t="str">
        <f t="shared" ref="Y1291:Y1300" si="236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>
        <v>27</v>
      </c>
      <c r="Q1292" s="101">
        <v>3</v>
      </c>
      <c r="R1292" s="101">
        <v>0</v>
      </c>
      <c r="S1292" s="105"/>
      <c r="T1292" s="101" t="s">
        <v>64</v>
      </c>
      <c r="U1292" s="177"/>
      <c r="V1292" s="103"/>
      <c r="W1292" s="177" t="str">
        <f t="shared" si="235"/>
        <v/>
      </c>
      <c r="X1292" s="103"/>
      <c r="Y1292" s="177" t="str">
        <f t="shared" si="236"/>
        <v/>
      </c>
      <c r="Z1292" s="106"/>
    </row>
    <row r="1293" spans="1:26" s="55" customFormat="1" ht="21" customHeight="1" x14ac:dyDescent="0.25">
      <c r="A1293" s="56"/>
      <c r="B1293" s="296" t="s">
        <v>59</v>
      </c>
      <c r="C1293" s="297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31</v>
      </c>
      <c r="J1293" s="77" t="s">
        <v>78</v>
      </c>
      <c r="K1293" s="78">
        <f>K1289/$K$2*I1293</f>
        <v>23000</v>
      </c>
      <c r="L1293" s="79"/>
      <c r="M1293" s="57"/>
      <c r="N1293" s="100"/>
      <c r="O1293" s="101" t="s">
        <v>65</v>
      </c>
      <c r="P1293" s="101">
        <v>31</v>
      </c>
      <c r="Q1293" s="101">
        <v>0</v>
      </c>
      <c r="R1293" s="101">
        <v>0</v>
      </c>
      <c r="S1293" s="105"/>
      <c r="T1293" s="101" t="s">
        <v>65</v>
      </c>
      <c r="U1293" s="177"/>
      <c r="V1293" s="103">
        <v>20000</v>
      </c>
      <c r="W1293" s="103">
        <f>V1293+U1293</f>
        <v>20000</v>
      </c>
      <c r="X1293" s="103"/>
      <c r="Y1293" s="177">
        <f t="shared" si="236"/>
        <v>20000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20000</v>
      </c>
      <c r="H1294" s="74"/>
      <c r="I1294" s="209">
        <v>10.24</v>
      </c>
      <c r="J1294" s="77" t="s">
        <v>79</v>
      </c>
      <c r="K1294" s="80">
        <f>K1289/$K$2/8*I1294</f>
        <v>949.67741935483866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/>
      <c r="V1294" s="103">
        <v>50</v>
      </c>
      <c r="W1294" s="177" t="str">
        <f t="shared" si="235"/>
        <v/>
      </c>
      <c r="X1294" s="103"/>
      <c r="Y1294" s="177" t="str">
        <f t="shared" si="236"/>
        <v/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31</v>
      </c>
      <c r="D1295" s="57"/>
      <c r="E1295" s="57"/>
      <c r="F1295" s="75" t="s">
        <v>82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20000</v>
      </c>
      <c r="H1295" s="74"/>
      <c r="I1295" s="298" t="s">
        <v>86</v>
      </c>
      <c r="J1295" s="299"/>
      <c r="K1295" s="80">
        <f>K1293+K1294</f>
        <v>23949.677419354837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/>
      <c r="V1295" s="103"/>
      <c r="W1295" s="177" t="str">
        <f t="shared" si="235"/>
        <v/>
      </c>
      <c r="X1295" s="103"/>
      <c r="Y1295" s="177" t="str">
        <f t="shared" si="236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0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0</v>
      </c>
      <c r="H1296" s="74"/>
      <c r="I1296" s="298" t="s">
        <v>87</v>
      </c>
      <c r="J1296" s="299"/>
      <c r="K1296" s="70">
        <f>G1296</f>
        <v>0</v>
      </c>
      <c r="L1296" s="82"/>
      <c r="M1296" s="57"/>
      <c r="N1296" s="100"/>
      <c r="O1296" s="101" t="s">
        <v>68</v>
      </c>
      <c r="P1296" s="101"/>
      <c r="Q1296" s="101"/>
      <c r="R1296" s="101">
        <v>0</v>
      </c>
      <c r="S1296" s="105"/>
      <c r="T1296" s="101" t="s">
        <v>68</v>
      </c>
      <c r="U1296" s="177"/>
      <c r="V1296" s="103"/>
      <c r="W1296" s="177" t="str">
        <f t="shared" si="235"/>
        <v/>
      </c>
      <c r="X1296" s="103"/>
      <c r="Y1296" s="177" t="str">
        <f t="shared" si="236"/>
        <v/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20000</v>
      </c>
      <c r="H1297" s="57"/>
      <c r="I1297" s="284" t="s">
        <v>80</v>
      </c>
      <c r="J1297" s="285"/>
      <c r="K1297" s="84">
        <f>K1295-K1296</f>
        <v>23949.677419354837</v>
      </c>
      <c r="L1297" s="85"/>
      <c r="M1297" s="57"/>
      <c r="N1297" s="100"/>
      <c r="O1297" s="101" t="s">
        <v>73</v>
      </c>
      <c r="P1297" s="101"/>
      <c r="Q1297" s="101"/>
      <c r="R1297" s="101">
        <v>0</v>
      </c>
      <c r="S1297" s="105"/>
      <c r="T1297" s="101" t="s">
        <v>73</v>
      </c>
      <c r="U1297" s="177"/>
      <c r="V1297" s="103"/>
      <c r="W1297" s="177" t="str">
        <f t="shared" si="235"/>
        <v/>
      </c>
      <c r="X1297" s="103"/>
      <c r="Y1297" s="177" t="str">
        <f t="shared" si="236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/>
      <c r="Q1298" s="101"/>
      <c r="R1298" s="101">
        <v>0</v>
      </c>
      <c r="S1298" s="105"/>
      <c r="T1298" s="101" t="s">
        <v>69</v>
      </c>
      <c r="U1298" s="177"/>
      <c r="V1298" s="103"/>
      <c r="W1298" s="177" t="str">
        <f t="shared" si="235"/>
        <v/>
      </c>
      <c r="X1298" s="103"/>
      <c r="Y1298" s="177" t="str">
        <f t="shared" si="236"/>
        <v/>
      </c>
      <c r="Z1298" s="106"/>
    </row>
    <row r="1299" spans="1:26" s="55" customFormat="1" ht="21" customHeight="1" x14ac:dyDescent="0.25">
      <c r="A1299" s="56"/>
      <c r="B1299" s="286" t="s">
        <v>118</v>
      </c>
      <c r="C1299" s="286"/>
      <c r="D1299" s="286"/>
      <c r="E1299" s="286"/>
      <c r="F1299" s="286"/>
      <c r="G1299" s="286"/>
      <c r="H1299" s="286"/>
      <c r="I1299" s="286"/>
      <c r="J1299" s="286"/>
      <c r="K1299" s="286"/>
      <c r="L1299" s="73"/>
      <c r="M1299" s="57"/>
      <c r="N1299" s="100"/>
      <c r="O1299" s="101" t="s">
        <v>74</v>
      </c>
      <c r="P1299" s="101"/>
      <c r="Q1299" s="101"/>
      <c r="R1299" s="101">
        <v>0</v>
      </c>
      <c r="S1299" s="105"/>
      <c r="T1299" s="101" t="s">
        <v>74</v>
      </c>
      <c r="U1299" s="177"/>
      <c r="V1299" s="103"/>
      <c r="W1299" s="177" t="str">
        <f t="shared" si="235"/>
        <v/>
      </c>
      <c r="X1299" s="103"/>
      <c r="Y1299" s="177" t="str">
        <f t="shared" si="236"/>
        <v/>
      </c>
      <c r="Z1299" s="106"/>
    </row>
    <row r="1300" spans="1:26" s="55" customFormat="1" ht="21" customHeight="1" x14ac:dyDescent="0.25">
      <c r="A1300" s="56"/>
      <c r="B1300" s="286"/>
      <c r="C1300" s="286"/>
      <c r="D1300" s="286"/>
      <c r="E1300" s="286"/>
      <c r="F1300" s="286"/>
      <c r="G1300" s="286"/>
      <c r="H1300" s="286"/>
      <c r="I1300" s="286"/>
      <c r="J1300" s="286"/>
      <c r="K1300" s="286"/>
      <c r="L1300" s="73"/>
      <c r="M1300" s="57"/>
      <c r="N1300" s="100"/>
      <c r="O1300" s="101" t="s">
        <v>75</v>
      </c>
      <c r="P1300" s="101"/>
      <c r="Q1300" s="101"/>
      <c r="R1300" s="101">
        <v>0</v>
      </c>
      <c r="S1300" s="105"/>
      <c r="T1300" s="101" t="s">
        <v>75</v>
      </c>
      <c r="U1300" s="177"/>
      <c r="V1300" s="103"/>
      <c r="W1300" s="177" t="str">
        <f t="shared" si="235"/>
        <v/>
      </c>
      <c r="X1300" s="103"/>
      <c r="Y1300" s="177" t="str">
        <f t="shared" si="236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00" t="s">
        <v>57</v>
      </c>
      <c r="B1303" s="301"/>
      <c r="C1303" s="301"/>
      <c r="D1303" s="301"/>
      <c r="E1303" s="301"/>
      <c r="F1303" s="301"/>
      <c r="G1303" s="301"/>
      <c r="H1303" s="301"/>
      <c r="I1303" s="301"/>
      <c r="J1303" s="301"/>
      <c r="K1303" s="301"/>
      <c r="L1303" s="302"/>
      <c r="M1303" s="200"/>
      <c r="N1303" s="93"/>
      <c r="O1303" s="290" t="s">
        <v>59</v>
      </c>
      <c r="P1303" s="291"/>
      <c r="Q1303" s="291"/>
      <c r="R1303" s="292"/>
      <c r="S1303" s="94"/>
      <c r="T1303" s="290" t="s">
        <v>60</v>
      </c>
      <c r="U1303" s="291"/>
      <c r="V1303" s="291"/>
      <c r="W1303" s="291"/>
      <c r="X1303" s="291"/>
      <c r="Y1303" s="292"/>
      <c r="Z1303" s="95"/>
    </row>
    <row r="1304" spans="1:26" s="55" customFormat="1" ht="21" customHeight="1" x14ac:dyDescent="0.25">
      <c r="A1304" s="56"/>
      <c r="B1304" s="57"/>
      <c r="C1304" s="293" t="s">
        <v>116</v>
      </c>
      <c r="D1304" s="293"/>
      <c r="E1304" s="293"/>
      <c r="F1304" s="293"/>
      <c r="G1304" s="58" t="str">
        <f>$J$1</f>
        <v>May</v>
      </c>
      <c r="H1304" s="294">
        <f>$K$1</f>
        <v>2019</v>
      </c>
      <c r="I1304" s="294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>
        <v>31</v>
      </c>
      <c r="Q1305" s="101">
        <v>0</v>
      </c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152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0"/>
      <c r="N1306" s="104"/>
      <c r="O1306" s="101" t="s">
        <v>88</v>
      </c>
      <c r="P1306" s="101">
        <v>28</v>
      </c>
      <c r="Q1306" s="101">
        <v>0</v>
      </c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95" t="s">
        <v>60</v>
      </c>
      <c r="G1307" s="295"/>
      <c r="H1307" s="57"/>
      <c r="I1307" s="295" t="s">
        <v>61</v>
      </c>
      <c r="J1307" s="295"/>
      <c r="K1307" s="295"/>
      <c r="L1307" s="73"/>
      <c r="M1307" s="57"/>
      <c r="N1307" s="100"/>
      <c r="O1307" s="101" t="s">
        <v>63</v>
      </c>
      <c r="P1307" s="101">
        <v>31</v>
      </c>
      <c r="Q1307" s="101">
        <v>0</v>
      </c>
      <c r="R1307" s="101">
        <f>IF(Q1307="","",R1306-Q1307)</f>
        <v>0</v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37">IF(U1307="","",U1307+V1307)</f>
        <v>0</v>
      </c>
      <c r="X1307" s="103"/>
      <c r="Y1307" s="177">
        <f t="shared" ref="Y1307:Y1316" si="238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>
        <v>30</v>
      </c>
      <c r="Q1308" s="101">
        <v>0</v>
      </c>
      <c r="R1308" s="101">
        <f>IF(Q1308="","",R1307-Q1308)</f>
        <v>0</v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37"/>
        <v>0</v>
      </c>
      <c r="X1308" s="103"/>
      <c r="Y1308" s="177">
        <f t="shared" si="238"/>
        <v>0</v>
      </c>
      <c r="Z1308" s="106"/>
    </row>
    <row r="1309" spans="1:26" s="55" customFormat="1" ht="21" customHeight="1" x14ac:dyDescent="0.25">
      <c r="A1309" s="56"/>
      <c r="B1309" s="296" t="s">
        <v>59</v>
      </c>
      <c r="C1309" s="297"/>
      <c r="D1309" s="57"/>
      <c r="E1309" s="57"/>
      <c r="F1309" s="75" t="s">
        <v>81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31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>
        <v>31</v>
      </c>
      <c r="Q1309" s="101">
        <v>0</v>
      </c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37"/>
        <v>0</v>
      </c>
      <c r="X1309" s="103"/>
      <c r="Y1309" s="177">
        <f t="shared" si="238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/>
      <c r="J1310" s="77" t="s">
        <v>79</v>
      </c>
      <c r="K1310" s="80">
        <f>K1305/$K$2/8*I1310</f>
        <v>0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37"/>
        <v>0</v>
      </c>
      <c r="X1310" s="103"/>
      <c r="Y1310" s="177">
        <f t="shared" si="238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31</v>
      </c>
      <c r="D1311" s="57"/>
      <c r="E1311" s="57"/>
      <c r="F1311" s="75" t="s">
        <v>82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298" t="s">
        <v>86</v>
      </c>
      <c r="J1311" s="299"/>
      <c r="K1311" s="80">
        <f>K1309+K1310</f>
        <v>18000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37"/>
        <v/>
      </c>
      <c r="X1311" s="103"/>
      <c r="Y1311" s="177" t="str">
        <f t="shared" si="238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98" t="s">
        <v>87</v>
      </c>
      <c r="J1312" s="299"/>
      <c r="K1312" s="70">
        <f>G1312</f>
        <v>0</v>
      </c>
      <c r="L1312" s="82"/>
      <c r="M1312" s="57"/>
      <c r="N1312" s="100"/>
      <c r="O1312" s="101" t="s">
        <v>68</v>
      </c>
      <c r="P1312" s="101"/>
      <c r="Q1312" s="101"/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37"/>
        <v/>
      </c>
      <c r="X1312" s="103"/>
      <c r="Y1312" s="177" t="str">
        <f t="shared" si="238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284" t="s">
        <v>80</v>
      </c>
      <c r="J1313" s="285"/>
      <c r="K1313" s="84">
        <f>K1311-K1312</f>
        <v>18000</v>
      </c>
      <c r="L1313" s="85"/>
      <c r="M1313" s="57"/>
      <c r="N1313" s="100"/>
      <c r="O1313" s="101" t="s">
        <v>73</v>
      </c>
      <c r="P1313" s="101"/>
      <c r="Q1313" s="101"/>
      <c r="R1313" s="101" t="str">
        <f>IF(Q1313="","",R1312-Q1313)</f>
        <v/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37"/>
        <v/>
      </c>
      <c r="X1313" s="103"/>
      <c r="Y1313" s="177" t="str">
        <f t="shared" si="238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/>
      <c r="Q1314" s="101"/>
      <c r="R1314" s="101" t="str">
        <f>IF(Q1314="","",R1313-Q1314)</f>
        <v/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37"/>
        <v/>
      </c>
      <c r="X1314" s="103"/>
      <c r="Y1314" s="177" t="str">
        <f t="shared" si="238"/>
        <v/>
      </c>
      <c r="Z1314" s="106"/>
    </row>
    <row r="1315" spans="1:26" s="55" customFormat="1" ht="21" customHeight="1" x14ac:dyDescent="0.25">
      <c r="A1315" s="56"/>
      <c r="B1315" s="286" t="s">
        <v>118</v>
      </c>
      <c r="C1315" s="286"/>
      <c r="D1315" s="286"/>
      <c r="E1315" s="286"/>
      <c r="F1315" s="286"/>
      <c r="G1315" s="286"/>
      <c r="H1315" s="286"/>
      <c r="I1315" s="286"/>
      <c r="J1315" s="286"/>
      <c r="K1315" s="286"/>
      <c r="L1315" s="73"/>
      <c r="M1315" s="57"/>
      <c r="N1315" s="100"/>
      <c r="O1315" s="101" t="s">
        <v>74</v>
      </c>
      <c r="P1315" s="101"/>
      <c r="Q1315" s="101"/>
      <c r="R1315" s="101" t="str">
        <f>IF(Q1315="","",R1314-Q1315)</f>
        <v/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37"/>
        <v/>
      </c>
      <c r="X1315" s="103"/>
      <c r="Y1315" s="177" t="str">
        <f t="shared" si="238"/>
        <v/>
      </c>
      <c r="Z1315" s="106"/>
    </row>
    <row r="1316" spans="1:26" s="55" customFormat="1" ht="21" customHeight="1" x14ac:dyDescent="0.25">
      <c r="A1316" s="56"/>
      <c r="B1316" s="286"/>
      <c r="C1316" s="286"/>
      <c r="D1316" s="286"/>
      <c r="E1316" s="286"/>
      <c r="F1316" s="286"/>
      <c r="G1316" s="286"/>
      <c r="H1316" s="286"/>
      <c r="I1316" s="286"/>
      <c r="J1316" s="286"/>
      <c r="K1316" s="286"/>
      <c r="L1316" s="73"/>
      <c r="M1316" s="57"/>
      <c r="N1316" s="100"/>
      <c r="O1316" s="101" t="s">
        <v>75</v>
      </c>
      <c r="P1316" s="101"/>
      <c r="Q1316" s="101"/>
      <c r="R1316" s="101" t="str">
        <f>IF(Q1316="","",R1315-Q1316)</f>
        <v/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37"/>
        <v/>
      </c>
      <c r="X1316" s="103"/>
      <c r="Y1316" s="177" t="str">
        <f t="shared" si="238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300" t="s">
        <v>57</v>
      </c>
      <c r="B1319" s="301"/>
      <c r="C1319" s="301"/>
      <c r="D1319" s="301"/>
      <c r="E1319" s="301"/>
      <c r="F1319" s="301"/>
      <c r="G1319" s="301"/>
      <c r="H1319" s="301"/>
      <c r="I1319" s="301"/>
      <c r="J1319" s="301"/>
      <c r="K1319" s="301"/>
      <c r="L1319" s="302"/>
      <c r="M1319" s="200"/>
      <c r="N1319" s="93"/>
      <c r="O1319" s="290" t="s">
        <v>59</v>
      </c>
      <c r="P1319" s="291"/>
      <c r="Q1319" s="291"/>
      <c r="R1319" s="292"/>
      <c r="S1319" s="94"/>
      <c r="T1319" s="290" t="s">
        <v>60</v>
      </c>
      <c r="U1319" s="291"/>
      <c r="V1319" s="291"/>
      <c r="W1319" s="291"/>
      <c r="X1319" s="291"/>
      <c r="Y1319" s="292"/>
      <c r="Z1319" s="95"/>
    </row>
    <row r="1320" spans="1:26" s="55" customFormat="1" ht="21" customHeight="1" x14ac:dyDescent="0.25">
      <c r="A1320" s="56"/>
      <c r="B1320" s="57"/>
      <c r="C1320" s="293" t="s">
        <v>116</v>
      </c>
      <c r="D1320" s="293"/>
      <c r="E1320" s="293"/>
      <c r="F1320" s="293"/>
      <c r="G1320" s="58" t="str">
        <f>$J$1</f>
        <v>May</v>
      </c>
      <c r="H1320" s="294">
        <f>$K$1</f>
        <v>2019</v>
      </c>
      <c r="I1320" s="294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62</v>
      </c>
      <c r="P1321" s="101">
        <v>31</v>
      </c>
      <c r="Q1321" s="101">
        <v>0</v>
      </c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159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0"/>
      <c r="N1322" s="104"/>
      <c r="O1322" s="101" t="s">
        <v>88</v>
      </c>
      <c r="P1322" s="101">
        <v>28</v>
      </c>
      <c r="Q1322" s="101">
        <v>0</v>
      </c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211">
        <v>43435</v>
      </c>
      <c r="D1323" s="57"/>
      <c r="E1323" s="57"/>
      <c r="F1323" s="295" t="s">
        <v>60</v>
      </c>
      <c r="G1323" s="295"/>
      <c r="H1323" s="57"/>
      <c r="I1323" s="295" t="s">
        <v>61</v>
      </c>
      <c r="J1323" s="295"/>
      <c r="K1323" s="295"/>
      <c r="L1323" s="73"/>
      <c r="M1323" s="57"/>
      <c r="N1323" s="100"/>
      <c r="O1323" s="101" t="s">
        <v>63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39">IF(U1323="","",U1323+V1323)</f>
        <v>0</v>
      </c>
      <c r="X1323" s="103"/>
      <c r="Y1323" s="177">
        <f t="shared" ref="Y1323:Y1332" si="240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39"/>
        <v>0</v>
      </c>
      <c r="X1324" s="103"/>
      <c r="Y1324" s="177">
        <f t="shared" si="240"/>
        <v>0</v>
      </c>
      <c r="Z1324" s="106"/>
    </row>
    <row r="1325" spans="1:26" s="55" customFormat="1" ht="21" customHeight="1" x14ac:dyDescent="0.25">
      <c r="A1325" s="56"/>
      <c r="B1325" s="296" t="s">
        <v>59</v>
      </c>
      <c r="C1325" s="297"/>
      <c r="D1325" s="57"/>
      <c r="E1325" s="57"/>
      <c r="F1325" s="75" t="s">
        <v>81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</f>
        <v>31</v>
      </c>
      <c r="J1325" s="77" t="s">
        <v>78</v>
      </c>
      <c r="K1325" s="78">
        <f>K1321/$K$2*I1325</f>
        <v>22000</v>
      </c>
      <c r="L1325" s="79"/>
      <c r="M1325" s="57"/>
      <c r="N1325" s="100"/>
      <c r="O1325" s="101" t="s">
        <v>65</v>
      </c>
      <c r="P1325" s="101">
        <v>31</v>
      </c>
      <c r="Q1325" s="101">
        <v>0</v>
      </c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39"/>
        <v>0</v>
      </c>
      <c r="X1325" s="103"/>
      <c r="Y1325" s="177">
        <f t="shared" si="240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39</v>
      </c>
      <c r="J1326" s="77" t="s">
        <v>79</v>
      </c>
      <c r="K1326" s="80">
        <f>K1321/$K$2/8*I1326</f>
        <v>3459.6774193548385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>
        <v>40</v>
      </c>
      <c r="W1326" s="177">
        <f t="shared" si="239"/>
        <v>40</v>
      </c>
      <c r="X1326" s="103"/>
      <c r="Y1326" s="177">
        <f t="shared" si="240"/>
        <v>40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31</v>
      </c>
      <c r="D1327" s="57"/>
      <c r="E1327" s="57"/>
      <c r="F1327" s="75" t="s">
        <v>82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0</v>
      </c>
      <c r="H1327" s="74"/>
      <c r="I1327" s="298" t="s">
        <v>86</v>
      </c>
      <c r="J1327" s="299"/>
      <c r="K1327" s="80">
        <f>K1325+K1326</f>
        <v>25459.677419354837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39"/>
        <v/>
      </c>
      <c r="X1327" s="103"/>
      <c r="Y1327" s="177" t="str">
        <f t="shared" si="240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98" t="s">
        <v>87</v>
      </c>
      <c r="J1328" s="299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39"/>
        <v/>
      </c>
      <c r="X1328" s="103"/>
      <c r="Y1328" s="177" t="str">
        <f t="shared" si="240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284" t="s">
        <v>80</v>
      </c>
      <c r="J1329" s="285"/>
      <c r="K1329" s="84">
        <f>K1327-K1328</f>
        <v>25459.677419354837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39"/>
        <v/>
      </c>
      <c r="X1329" s="103"/>
      <c r="Y1329" s="177" t="str">
        <f t="shared" si="240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/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39"/>
        <v/>
      </c>
      <c r="X1330" s="103"/>
      <c r="Y1330" s="177" t="str">
        <f t="shared" si="240"/>
        <v/>
      </c>
      <c r="Z1330" s="106"/>
    </row>
    <row r="1331" spans="1:26" s="55" customFormat="1" ht="21" customHeight="1" x14ac:dyDescent="0.25">
      <c r="A1331" s="56"/>
      <c r="B1331" s="286" t="s">
        <v>118</v>
      </c>
      <c r="C1331" s="286"/>
      <c r="D1331" s="286"/>
      <c r="E1331" s="286"/>
      <c r="F1331" s="286"/>
      <c r="G1331" s="286"/>
      <c r="H1331" s="286"/>
      <c r="I1331" s="286"/>
      <c r="J1331" s="286"/>
      <c r="K1331" s="286"/>
      <c r="L1331" s="73"/>
      <c r="M1331" s="57"/>
      <c r="N1331" s="100"/>
      <c r="O1331" s="101" t="s">
        <v>74</v>
      </c>
      <c r="P1331" s="101"/>
      <c r="Q1331" s="101"/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39"/>
        <v/>
      </c>
      <c r="X1331" s="103"/>
      <c r="Y1331" s="177" t="str">
        <f t="shared" si="240"/>
        <v/>
      </c>
      <c r="Z1331" s="106"/>
    </row>
    <row r="1332" spans="1:26" s="55" customFormat="1" ht="21" customHeight="1" x14ac:dyDescent="0.25">
      <c r="A1332" s="56"/>
      <c r="B1332" s="286"/>
      <c r="C1332" s="286"/>
      <c r="D1332" s="286"/>
      <c r="E1332" s="286"/>
      <c r="F1332" s="286"/>
      <c r="G1332" s="286"/>
      <c r="H1332" s="286"/>
      <c r="I1332" s="286"/>
      <c r="J1332" s="286"/>
      <c r="K1332" s="286"/>
      <c r="L1332" s="73"/>
      <c r="M1332" s="57"/>
      <c r="N1332" s="100"/>
      <c r="O1332" s="101" t="s">
        <v>75</v>
      </c>
      <c r="P1332" s="101"/>
      <c r="Q1332" s="101"/>
      <c r="R1332" s="101" t="str">
        <f>IF(Q1332="","",R1331-Q1332)</f>
        <v/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39"/>
        <v/>
      </c>
      <c r="X1332" s="103"/>
      <c r="Y1332" s="177" t="str">
        <f t="shared" si="240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300" t="s">
        <v>57</v>
      </c>
      <c r="B1335" s="301"/>
      <c r="C1335" s="301"/>
      <c r="D1335" s="301"/>
      <c r="E1335" s="301"/>
      <c r="F1335" s="301"/>
      <c r="G1335" s="301"/>
      <c r="H1335" s="301"/>
      <c r="I1335" s="301"/>
      <c r="J1335" s="301"/>
      <c r="K1335" s="301"/>
      <c r="L1335" s="302"/>
      <c r="M1335" s="200"/>
      <c r="N1335" s="93"/>
      <c r="O1335" s="290" t="s">
        <v>59</v>
      </c>
      <c r="P1335" s="291"/>
      <c r="Q1335" s="291"/>
      <c r="R1335" s="292"/>
      <c r="S1335" s="94"/>
      <c r="T1335" s="290" t="s">
        <v>60</v>
      </c>
      <c r="U1335" s="291"/>
      <c r="V1335" s="291"/>
      <c r="W1335" s="291"/>
      <c r="X1335" s="291"/>
      <c r="Y1335" s="292"/>
      <c r="Z1335" s="95"/>
    </row>
    <row r="1336" spans="1:26" s="55" customFormat="1" ht="21" customHeight="1" x14ac:dyDescent="0.25">
      <c r="A1336" s="56"/>
      <c r="B1336" s="57"/>
      <c r="C1336" s="293" t="s">
        <v>116</v>
      </c>
      <c r="D1336" s="293"/>
      <c r="E1336" s="293"/>
      <c r="F1336" s="293"/>
      <c r="G1336" s="58" t="str">
        <f>$J$1</f>
        <v>May</v>
      </c>
      <c r="H1336" s="294">
        <f>$K$1</f>
        <v>2019</v>
      </c>
      <c r="I1336" s="294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>
        <v>31</v>
      </c>
      <c r="Q1337" s="101">
        <v>0</v>
      </c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158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0"/>
      <c r="N1338" s="104"/>
      <c r="O1338" s="101" t="s">
        <v>88</v>
      </c>
      <c r="P1338" s="101">
        <v>27</v>
      </c>
      <c r="Q1338" s="101">
        <v>1</v>
      </c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95" t="s">
        <v>60</v>
      </c>
      <c r="G1339" s="295"/>
      <c r="H1339" s="57"/>
      <c r="I1339" s="295" t="s">
        <v>61</v>
      </c>
      <c r="J1339" s="295"/>
      <c r="K1339" s="295"/>
      <c r="L1339" s="73"/>
      <c r="M1339" s="57"/>
      <c r="N1339" s="100"/>
      <c r="O1339" s="101" t="s">
        <v>63</v>
      </c>
      <c r="P1339" s="101">
        <v>27</v>
      </c>
      <c r="Q1339" s="101">
        <v>4</v>
      </c>
      <c r="R1339" s="101">
        <v>0</v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41">IF(U1339="","",U1339+V1339)</f>
        <v>0</v>
      </c>
      <c r="X1339" s="103"/>
      <c r="Y1339" s="177">
        <f t="shared" ref="Y1339:Y1348" si="242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>
        <v>29</v>
      </c>
      <c r="Q1340" s="101">
        <v>1</v>
      </c>
      <c r="R1340" s="101">
        <v>0</v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41"/>
        <v>0</v>
      </c>
      <c r="X1340" s="103"/>
      <c r="Y1340" s="177">
        <f t="shared" si="242"/>
        <v>0</v>
      </c>
      <c r="Z1340" s="106"/>
    </row>
    <row r="1341" spans="1:26" s="55" customFormat="1" ht="21" customHeight="1" x14ac:dyDescent="0.25">
      <c r="A1341" s="56"/>
      <c r="B1341" s="296" t="s">
        <v>59</v>
      </c>
      <c r="C1341" s="297"/>
      <c r="D1341" s="57"/>
      <c r="E1341" s="57"/>
      <c r="F1341" s="75" t="s">
        <v>81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31</v>
      </c>
      <c r="J1341" s="77" t="s">
        <v>78</v>
      </c>
      <c r="K1341" s="78">
        <f>K1337/$K$2*I1341</f>
        <v>16000</v>
      </c>
      <c r="L1341" s="79"/>
      <c r="M1341" s="57"/>
      <c r="N1341" s="100"/>
      <c r="O1341" s="101" t="s">
        <v>65</v>
      </c>
      <c r="P1341" s="101">
        <v>31</v>
      </c>
      <c r="Q1341" s="101">
        <v>0</v>
      </c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41"/>
        <v>0</v>
      </c>
      <c r="X1341" s="103"/>
      <c r="Y1341" s="177">
        <f t="shared" si="242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60</v>
      </c>
      <c r="J1342" s="77" t="s">
        <v>79</v>
      </c>
      <c r="K1342" s="80">
        <f>K1337/$K$2/8*I1342</f>
        <v>3870.9677419354839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>
        <v>130</v>
      </c>
      <c r="W1342" s="177">
        <f t="shared" si="241"/>
        <v>130</v>
      </c>
      <c r="X1342" s="103"/>
      <c r="Y1342" s="177">
        <f t="shared" si="242"/>
        <v>130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31</v>
      </c>
      <c r="D1343" s="57"/>
      <c r="E1343" s="57"/>
      <c r="F1343" s="75" t="s">
        <v>82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98" t="s">
        <v>86</v>
      </c>
      <c r="J1343" s="299"/>
      <c r="K1343" s="80">
        <f>K1341+K1342</f>
        <v>19870.967741935485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130</v>
      </c>
      <c r="V1343" s="103"/>
      <c r="W1343" s="177">
        <f t="shared" si="241"/>
        <v>130</v>
      </c>
      <c r="X1343" s="103"/>
      <c r="Y1343" s="177">
        <f t="shared" si="242"/>
        <v>130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0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98" t="s">
        <v>87</v>
      </c>
      <c r="J1344" s="299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130</v>
      </c>
      <c r="V1344" s="103"/>
      <c r="W1344" s="177">
        <f t="shared" si="241"/>
        <v>130</v>
      </c>
      <c r="X1344" s="103"/>
      <c r="Y1344" s="177">
        <f t="shared" si="242"/>
        <v>130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84" t="s">
        <v>80</v>
      </c>
      <c r="J1345" s="285"/>
      <c r="K1345" s="84">
        <f>K1343-K1344</f>
        <v>19870.967741935485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130</v>
      </c>
      <c r="V1345" s="103"/>
      <c r="W1345" s="177">
        <f t="shared" si="241"/>
        <v>130</v>
      </c>
      <c r="X1345" s="103"/>
      <c r="Y1345" s="177">
        <f t="shared" si="242"/>
        <v>130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41"/>
        <v/>
      </c>
      <c r="X1346" s="103"/>
      <c r="Y1346" s="177" t="str">
        <f t="shared" si="242"/>
        <v/>
      </c>
      <c r="Z1346" s="106"/>
    </row>
    <row r="1347" spans="1:26" s="55" customFormat="1" ht="21" customHeight="1" x14ac:dyDescent="0.25">
      <c r="A1347" s="56"/>
      <c r="B1347" s="286" t="s">
        <v>118</v>
      </c>
      <c r="C1347" s="286"/>
      <c r="D1347" s="286"/>
      <c r="E1347" s="286"/>
      <c r="F1347" s="286"/>
      <c r="G1347" s="286"/>
      <c r="H1347" s="286"/>
      <c r="I1347" s="286"/>
      <c r="J1347" s="286"/>
      <c r="K1347" s="286"/>
      <c r="L1347" s="73"/>
      <c r="M1347" s="57"/>
      <c r="N1347" s="100"/>
      <c r="O1347" s="101" t="s">
        <v>74</v>
      </c>
      <c r="P1347" s="101"/>
      <c r="Q1347" s="101"/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41"/>
        <v/>
      </c>
      <c r="X1347" s="103"/>
      <c r="Y1347" s="177" t="str">
        <f t="shared" si="242"/>
        <v/>
      </c>
      <c r="Z1347" s="106"/>
    </row>
    <row r="1348" spans="1:26" s="55" customFormat="1" ht="21" customHeight="1" x14ac:dyDescent="0.25">
      <c r="A1348" s="56"/>
      <c r="B1348" s="286"/>
      <c r="C1348" s="286"/>
      <c r="D1348" s="286"/>
      <c r="E1348" s="286"/>
      <c r="F1348" s="286"/>
      <c r="G1348" s="286"/>
      <c r="H1348" s="286"/>
      <c r="I1348" s="286"/>
      <c r="J1348" s="286"/>
      <c r="K1348" s="286"/>
      <c r="L1348" s="73"/>
      <c r="M1348" s="57"/>
      <c r="N1348" s="100"/>
      <c r="O1348" s="101" t="s">
        <v>75</v>
      </c>
      <c r="P1348" s="101"/>
      <c r="Q1348" s="101"/>
      <c r="R1348" s="101">
        <v>0</v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41"/>
        <v/>
      </c>
      <c r="X1348" s="103"/>
      <c r="Y1348" s="177" t="str">
        <f t="shared" si="242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300" t="s">
        <v>57</v>
      </c>
      <c r="B1351" s="301"/>
      <c r="C1351" s="301"/>
      <c r="D1351" s="301"/>
      <c r="E1351" s="301"/>
      <c r="F1351" s="301"/>
      <c r="G1351" s="301"/>
      <c r="H1351" s="301"/>
      <c r="I1351" s="301"/>
      <c r="J1351" s="301"/>
      <c r="K1351" s="301"/>
      <c r="L1351" s="302"/>
      <c r="M1351" s="200"/>
      <c r="N1351" s="93"/>
      <c r="O1351" s="290" t="s">
        <v>59</v>
      </c>
      <c r="P1351" s="291"/>
      <c r="Q1351" s="291"/>
      <c r="R1351" s="292"/>
      <c r="S1351" s="94"/>
      <c r="T1351" s="290" t="s">
        <v>60</v>
      </c>
      <c r="U1351" s="291"/>
      <c r="V1351" s="291"/>
      <c r="W1351" s="291"/>
      <c r="X1351" s="291"/>
      <c r="Y1351" s="292"/>
      <c r="Z1351" s="95"/>
    </row>
    <row r="1352" spans="1:26" s="55" customFormat="1" ht="21" customHeight="1" x14ac:dyDescent="0.25">
      <c r="A1352" s="56"/>
      <c r="B1352" s="57"/>
      <c r="C1352" s="293" t="s">
        <v>116</v>
      </c>
      <c r="D1352" s="293"/>
      <c r="E1352" s="293"/>
      <c r="F1352" s="293"/>
      <c r="G1352" s="58" t="str">
        <f>$J$1</f>
        <v>May</v>
      </c>
      <c r="H1352" s="294">
        <f>$K$1</f>
        <v>2019</v>
      </c>
      <c r="I1352" s="294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>
        <v>29</v>
      </c>
      <c r="Q1353" s="101">
        <v>2</v>
      </c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154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0"/>
      <c r="N1354" s="104"/>
      <c r="O1354" s="101" t="s">
        <v>88</v>
      </c>
      <c r="P1354" s="101">
        <v>28</v>
      </c>
      <c r="Q1354" s="101">
        <v>0</v>
      </c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95" t="s">
        <v>60</v>
      </c>
      <c r="G1355" s="295"/>
      <c r="H1355" s="57"/>
      <c r="I1355" s="295" t="s">
        <v>61</v>
      </c>
      <c r="J1355" s="295"/>
      <c r="K1355" s="295"/>
      <c r="L1355" s="73"/>
      <c r="M1355" s="57"/>
      <c r="N1355" s="100"/>
      <c r="O1355" s="101" t="s">
        <v>63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3" si="243">IF(U1355="","",U1355+V1355)</f>
        <v>0</v>
      </c>
      <c r="X1355" s="103"/>
      <c r="Y1355" s="177">
        <f t="shared" ref="Y1355:Y1363" si="244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43"/>
        <v>0</v>
      </c>
      <c r="X1356" s="103"/>
      <c r="Y1356" s="177">
        <f t="shared" si="244"/>
        <v>0</v>
      </c>
      <c r="Z1356" s="106"/>
    </row>
    <row r="1357" spans="1:26" s="55" customFormat="1" ht="21" customHeight="1" x14ac:dyDescent="0.25">
      <c r="A1357" s="56"/>
      <c r="B1357" s="296" t="s">
        <v>59</v>
      </c>
      <c r="C1357" s="297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31</v>
      </c>
      <c r="J1357" s="77" t="s">
        <v>78</v>
      </c>
      <c r="K1357" s="78">
        <f>K1353/$K$2*I1357</f>
        <v>25000</v>
      </c>
      <c r="L1357" s="79"/>
      <c r="M1357" s="57"/>
      <c r="N1357" s="100"/>
      <c r="O1357" s="101" t="s">
        <v>65</v>
      </c>
      <c r="P1357" s="101">
        <v>31</v>
      </c>
      <c r="Q1357" s="101">
        <v>0</v>
      </c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43"/>
        <v>0</v>
      </c>
      <c r="X1357" s="103"/>
      <c r="Y1357" s="177">
        <f t="shared" si="244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58</v>
      </c>
      <c r="J1358" s="77" t="s">
        <v>79</v>
      </c>
      <c r="K1358" s="80">
        <f>K1353/$K$2/8*I1358</f>
        <v>5846.7741935483873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>
        <v>150</v>
      </c>
      <c r="W1358" s="177">
        <f t="shared" si="243"/>
        <v>150</v>
      </c>
      <c r="X1358" s="103"/>
      <c r="Y1358" s="177">
        <f t="shared" si="244"/>
        <v>150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31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98" t="s">
        <v>86</v>
      </c>
      <c r="J1359" s="299"/>
      <c r="K1359" s="80">
        <f>K1357+K1358</f>
        <v>30846.774193548386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150</v>
      </c>
      <c r="V1359" s="103"/>
      <c r="W1359" s="177">
        <f t="shared" si="243"/>
        <v>150</v>
      </c>
      <c r="X1359" s="103"/>
      <c r="Y1359" s="177">
        <f t="shared" si="244"/>
        <v>150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98" t="s">
        <v>87</v>
      </c>
      <c r="J1360" s="299"/>
      <c r="K1360" s="70">
        <f>G1360</f>
        <v>0</v>
      </c>
      <c r="L1360" s="82"/>
      <c r="M1360" s="57"/>
      <c r="N1360" s="100"/>
      <c r="O1360" s="101" t="s">
        <v>68</v>
      </c>
      <c r="P1360" s="101"/>
      <c r="Q1360" s="101"/>
      <c r="R1360" s="101">
        <v>0</v>
      </c>
      <c r="S1360" s="105"/>
      <c r="T1360" s="101" t="s">
        <v>68</v>
      </c>
      <c r="U1360" s="177">
        <f>IF($J$1="May",Y1359,Y1359)</f>
        <v>150</v>
      </c>
      <c r="V1360" s="103"/>
      <c r="W1360" s="177">
        <f t="shared" si="243"/>
        <v>150</v>
      </c>
      <c r="X1360" s="103"/>
      <c r="Y1360" s="177">
        <f t="shared" si="244"/>
        <v>150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84" t="s">
        <v>80</v>
      </c>
      <c r="J1361" s="285"/>
      <c r="K1361" s="84">
        <f>K1359-K1360</f>
        <v>30846.774193548386</v>
      </c>
      <c r="L1361" s="85"/>
      <c r="M1361" s="57"/>
      <c r="N1361" s="100"/>
      <c r="O1361" s="101" t="s">
        <v>73</v>
      </c>
      <c r="P1361" s="101"/>
      <c r="Q1361" s="101"/>
      <c r="R1361" s="101" t="str">
        <f>IF(Q1361="","",R1360-Q1361)</f>
        <v/>
      </c>
      <c r="S1361" s="105"/>
      <c r="T1361" s="101" t="s">
        <v>73</v>
      </c>
      <c r="U1361" s="177">
        <f>IF($J$1="May",Y1360,Y1360)</f>
        <v>150</v>
      </c>
      <c r="V1361" s="103"/>
      <c r="W1361" s="177">
        <f t="shared" si="243"/>
        <v>150</v>
      </c>
      <c r="X1361" s="103"/>
      <c r="Y1361" s="177">
        <f t="shared" si="244"/>
        <v>150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69</v>
      </c>
      <c r="P1362" s="101"/>
      <c r="Q1362" s="101"/>
      <c r="R1362" s="101">
        <v>0</v>
      </c>
      <c r="S1362" s="105"/>
      <c r="T1362" s="101" t="s">
        <v>69</v>
      </c>
      <c r="U1362" s="177">
        <f t="shared" ref="U1362:U1363" si="245">Y1361</f>
        <v>150</v>
      </c>
      <c r="V1362" s="103"/>
      <c r="W1362" s="177">
        <f t="shared" si="243"/>
        <v>150</v>
      </c>
      <c r="X1362" s="103"/>
      <c r="Y1362" s="177">
        <f t="shared" si="244"/>
        <v>150</v>
      </c>
      <c r="Z1362" s="106"/>
    </row>
    <row r="1363" spans="1:26" s="55" customFormat="1" ht="21" customHeight="1" x14ac:dyDescent="0.25">
      <c r="A1363" s="56"/>
      <c r="B1363" s="286" t="s">
        <v>118</v>
      </c>
      <c r="C1363" s="286"/>
      <c r="D1363" s="286"/>
      <c r="E1363" s="286"/>
      <c r="F1363" s="286"/>
      <c r="G1363" s="286"/>
      <c r="H1363" s="286"/>
      <c r="I1363" s="286"/>
      <c r="J1363" s="286"/>
      <c r="K1363" s="286"/>
      <c r="L1363" s="73"/>
      <c r="M1363" s="57"/>
      <c r="N1363" s="100"/>
      <c r="O1363" s="101" t="s">
        <v>74</v>
      </c>
      <c r="P1363" s="101"/>
      <c r="Q1363" s="101"/>
      <c r="R1363" s="101" t="str">
        <f>IF(Q1363="","",R1362-Q1363)</f>
        <v/>
      </c>
      <c r="S1363" s="105"/>
      <c r="T1363" s="101" t="s">
        <v>74</v>
      </c>
      <c r="U1363" s="177">
        <f t="shared" si="245"/>
        <v>150</v>
      </c>
      <c r="V1363" s="103"/>
      <c r="W1363" s="177">
        <f t="shared" si="243"/>
        <v>150</v>
      </c>
      <c r="X1363" s="103"/>
      <c r="Y1363" s="177">
        <f t="shared" si="244"/>
        <v>150</v>
      </c>
      <c r="Z1363" s="106"/>
    </row>
    <row r="1364" spans="1:26" s="55" customFormat="1" ht="21" customHeight="1" x14ac:dyDescent="0.25">
      <c r="A1364" s="56"/>
      <c r="B1364" s="286"/>
      <c r="C1364" s="286"/>
      <c r="D1364" s="286"/>
      <c r="E1364" s="286"/>
      <c r="F1364" s="286"/>
      <c r="G1364" s="286"/>
      <c r="H1364" s="286"/>
      <c r="I1364" s="286"/>
      <c r="J1364" s="286"/>
      <c r="K1364" s="286"/>
      <c r="L1364" s="73"/>
      <c r="M1364" s="57"/>
      <c r="N1364" s="100"/>
      <c r="O1364" s="101" t="s">
        <v>75</v>
      </c>
      <c r="P1364" s="101"/>
      <c r="Q1364" s="101"/>
      <c r="R1364" s="101" t="str">
        <f>IF(Q1364="","",R1363-Q1364)</f>
        <v/>
      </c>
      <c r="S1364" s="105"/>
      <c r="T1364" s="101" t="s">
        <v>75</v>
      </c>
      <c r="U1364" s="177">
        <f t="shared" ref="U1364" si="246">Y1363</f>
        <v>150</v>
      </c>
      <c r="V1364" s="103"/>
      <c r="W1364" s="177">
        <f t="shared" ref="W1364" si="247">IF(U1364="","",U1364+V1364)</f>
        <v>150</v>
      </c>
      <c r="X1364" s="103"/>
      <c r="Y1364" s="177">
        <f t="shared" ref="Y1364" si="248">IF(W1364="","",W1364-X1364)</f>
        <v>150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300" t="s">
        <v>57</v>
      </c>
      <c r="B1367" s="301"/>
      <c r="C1367" s="301"/>
      <c r="D1367" s="301"/>
      <c r="E1367" s="301"/>
      <c r="F1367" s="301"/>
      <c r="G1367" s="301"/>
      <c r="H1367" s="301"/>
      <c r="I1367" s="301"/>
      <c r="J1367" s="301"/>
      <c r="K1367" s="301"/>
      <c r="L1367" s="302"/>
      <c r="M1367" s="200"/>
      <c r="N1367" s="93"/>
      <c r="O1367" s="290" t="s">
        <v>59</v>
      </c>
      <c r="P1367" s="291"/>
      <c r="Q1367" s="291"/>
      <c r="R1367" s="292"/>
      <c r="S1367" s="94"/>
      <c r="T1367" s="290" t="s">
        <v>60</v>
      </c>
      <c r="U1367" s="291"/>
      <c r="V1367" s="291"/>
      <c r="W1367" s="291"/>
      <c r="X1367" s="291"/>
      <c r="Y1367" s="292"/>
      <c r="Z1367" s="95"/>
    </row>
    <row r="1368" spans="1:26" s="55" customFormat="1" ht="21" customHeight="1" x14ac:dyDescent="0.25">
      <c r="A1368" s="56"/>
      <c r="B1368" s="57"/>
      <c r="C1368" s="293" t="s">
        <v>116</v>
      </c>
      <c r="D1368" s="293"/>
      <c r="E1368" s="293"/>
      <c r="F1368" s="293"/>
      <c r="G1368" s="58" t="str">
        <f>$J$1</f>
        <v>May</v>
      </c>
      <c r="H1368" s="294">
        <f>$K$1</f>
        <v>2019</v>
      </c>
      <c r="I1368" s="294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15000</v>
      </c>
      <c r="L1369" s="65"/>
      <c r="M1369" s="57"/>
      <c r="N1369" s="100"/>
      <c r="O1369" s="101" t="s">
        <v>62</v>
      </c>
      <c r="P1369" s="101"/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183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0"/>
      <c r="N1370" s="104"/>
      <c r="O1370" s="101" t="s">
        <v>88</v>
      </c>
      <c r="P1370" s="101"/>
      <c r="Q1370" s="101"/>
      <c r="R1370" s="101">
        <v>0</v>
      </c>
      <c r="S1370" s="105"/>
      <c r="T1370" s="101" t="s">
        <v>88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95" t="s">
        <v>60</v>
      </c>
      <c r="G1371" s="295"/>
      <c r="H1371" s="57"/>
      <c r="I1371" s="295" t="s">
        <v>61</v>
      </c>
      <c r="J1371" s="295"/>
      <c r="K1371" s="295"/>
      <c r="L1371" s="73"/>
      <c r="M1371" s="57"/>
      <c r="N1371" s="100"/>
      <c r="O1371" s="101" t="s">
        <v>63</v>
      </c>
      <c r="P1371" s="101">
        <v>24</v>
      </c>
      <c r="Q1371" s="101">
        <v>7</v>
      </c>
      <c r="R1371" s="101">
        <v>0</v>
      </c>
      <c r="S1371" s="105"/>
      <c r="T1371" s="101" t="s">
        <v>63</v>
      </c>
      <c r="U1371" s="177">
        <f>IF($J$1="April",Y1370,Y1370)</f>
        <v>0</v>
      </c>
      <c r="V1371" s="103"/>
      <c r="W1371" s="177">
        <f t="shared" ref="W1371:W1380" si="249">IF(U1371="","",U1371+V1371)</f>
        <v>0</v>
      </c>
      <c r="X1371" s="103"/>
      <c r="Y1371" s="177">
        <f t="shared" ref="Y1371:Y1380" si="250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>
        <v>27</v>
      </c>
      <c r="Q1372" s="101">
        <v>3</v>
      </c>
      <c r="R1372" s="101">
        <v>0</v>
      </c>
      <c r="S1372" s="105"/>
      <c r="T1372" s="101" t="s">
        <v>64</v>
      </c>
      <c r="U1372" s="177">
        <f>IF($J$1="April",Y1371,Y1371)</f>
        <v>0</v>
      </c>
      <c r="V1372" s="103">
        <v>1000</v>
      </c>
      <c r="W1372" s="177">
        <f t="shared" si="249"/>
        <v>1000</v>
      </c>
      <c r="X1372" s="103">
        <v>1000</v>
      </c>
      <c r="Y1372" s="177">
        <f t="shared" si="250"/>
        <v>0</v>
      </c>
      <c r="Z1372" s="106"/>
    </row>
    <row r="1373" spans="1:26" s="55" customFormat="1" ht="21" customHeight="1" x14ac:dyDescent="0.25">
      <c r="A1373" s="56"/>
      <c r="B1373" s="296" t="s">
        <v>59</v>
      </c>
      <c r="C1373" s="297"/>
      <c r="D1373" s="57"/>
      <c r="E1373" s="57"/>
      <c r="F1373" s="75" t="s">
        <v>81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29</v>
      </c>
      <c r="J1373" s="77" t="s">
        <v>78</v>
      </c>
      <c r="K1373" s="78">
        <f>K1369/$K$2*I1373</f>
        <v>14032.258064516129</v>
      </c>
      <c r="L1373" s="79"/>
      <c r="M1373" s="57"/>
      <c r="N1373" s="100"/>
      <c r="O1373" s="101" t="s">
        <v>65</v>
      </c>
      <c r="P1373" s="101">
        <v>29</v>
      </c>
      <c r="Q1373" s="101">
        <v>2</v>
      </c>
      <c r="R1373" s="101">
        <v>0</v>
      </c>
      <c r="S1373" s="105"/>
      <c r="T1373" s="101" t="s">
        <v>65</v>
      </c>
      <c r="U1373" s="177">
        <f>IF($J$1="May",Y1372,Y1372)</f>
        <v>0</v>
      </c>
      <c r="V1373" s="103"/>
      <c r="W1373" s="177">
        <f t="shared" si="249"/>
        <v>0</v>
      </c>
      <c r="X1373" s="103"/>
      <c r="Y1373" s="177">
        <f t="shared" si="250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>
        <v>11.2</v>
      </c>
      <c r="J1374" s="77" t="s">
        <v>79</v>
      </c>
      <c r="K1374" s="80">
        <f>K1369/$K$2/8*I1374</f>
        <v>677.41935483870964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>
        <f>IF($J$1="May",Y1373,Y1373)</f>
        <v>0</v>
      </c>
      <c r="V1374" s="103"/>
      <c r="W1374" s="177">
        <f t="shared" si="249"/>
        <v>0</v>
      </c>
      <c r="X1374" s="103"/>
      <c r="Y1374" s="177">
        <f t="shared" si="250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29</v>
      </c>
      <c r="D1375" s="57"/>
      <c r="E1375" s="57"/>
      <c r="F1375" s="75" t="s">
        <v>82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0</v>
      </c>
      <c r="H1375" s="74"/>
      <c r="I1375" s="298" t="s">
        <v>86</v>
      </c>
      <c r="J1375" s="299"/>
      <c r="K1375" s="80">
        <f>K1373+K1374</f>
        <v>14709.677419354839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>
        <f>IF($J$1="May",Y1374,Y1374)</f>
        <v>0</v>
      </c>
      <c r="V1375" s="103"/>
      <c r="W1375" s="177">
        <f t="shared" si="249"/>
        <v>0</v>
      </c>
      <c r="X1375" s="103"/>
      <c r="Y1375" s="177">
        <f t="shared" si="250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2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98" t="s">
        <v>87</v>
      </c>
      <c r="J1376" s="299"/>
      <c r="K1376" s="70">
        <f>G1376</f>
        <v>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/>
      <c r="V1376" s="103"/>
      <c r="W1376" s="177" t="str">
        <f t="shared" si="249"/>
        <v/>
      </c>
      <c r="X1376" s="103"/>
      <c r="Y1376" s="177" t="str">
        <f t="shared" si="250"/>
        <v/>
      </c>
      <c r="Z1376" s="106"/>
    </row>
    <row r="1377" spans="1:26" s="55" customFormat="1" ht="21" customHeight="1" x14ac:dyDescent="0.25">
      <c r="A1377" s="56"/>
      <c r="B1377" s="83" t="s">
        <v>85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84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84" t="s">
        <v>80</v>
      </c>
      <c r="J1377" s="285"/>
      <c r="K1377" s="84">
        <f>K1375-K1376</f>
        <v>14709.677419354839</v>
      </c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/>
      <c r="V1377" s="103"/>
      <c r="W1377" s="177" t="str">
        <f t="shared" si="249"/>
        <v/>
      </c>
      <c r="X1377" s="103"/>
      <c r="Y1377" s="177" t="str">
        <f t="shared" si="250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/>
      <c r="V1378" s="103"/>
      <c r="W1378" s="177" t="str">
        <f t="shared" si="249"/>
        <v/>
      </c>
      <c r="X1378" s="103"/>
      <c r="Y1378" s="177" t="str">
        <f t="shared" si="250"/>
        <v/>
      </c>
      <c r="Z1378" s="106"/>
    </row>
    <row r="1379" spans="1:26" s="55" customFormat="1" ht="21" customHeight="1" x14ac:dyDescent="0.25">
      <c r="A1379" s="56"/>
      <c r="B1379" s="286" t="s">
        <v>118</v>
      </c>
      <c r="C1379" s="286"/>
      <c r="D1379" s="286"/>
      <c r="E1379" s="286"/>
      <c r="F1379" s="286"/>
      <c r="G1379" s="286"/>
      <c r="H1379" s="286"/>
      <c r="I1379" s="286"/>
      <c r="J1379" s="286"/>
      <c r="K1379" s="286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/>
      <c r="V1379" s="103"/>
      <c r="W1379" s="177" t="str">
        <f t="shared" si="249"/>
        <v/>
      </c>
      <c r="X1379" s="103"/>
      <c r="Y1379" s="177" t="str">
        <f t="shared" si="250"/>
        <v/>
      </c>
      <c r="Z1379" s="106"/>
    </row>
    <row r="1380" spans="1:26" s="55" customFormat="1" ht="21" customHeight="1" x14ac:dyDescent="0.25">
      <c r="A1380" s="56"/>
      <c r="B1380" s="286"/>
      <c r="C1380" s="286"/>
      <c r="D1380" s="286"/>
      <c r="E1380" s="286"/>
      <c r="F1380" s="286"/>
      <c r="G1380" s="286"/>
      <c r="H1380" s="286"/>
      <c r="I1380" s="286"/>
      <c r="J1380" s="286"/>
      <c r="K1380" s="286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49"/>
        <v/>
      </c>
      <c r="X1380" s="103"/>
      <c r="Y1380" s="177" t="str">
        <f t="shared" si="250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300" t="s">
        <v>57</v>
      </c>
      <c r="B1383" s="301"/>
      <c r="C1383" s="301"/>
      <c r="D1383" s="301"/>
      <c r="E1383" s="301"/>
      <c r="F1383" s="301"/>
      <c r="G1383" s="301"/>
      <c r="H1383" s="301"/>
      <c r="I1383" s="301"/>
      <c r="J1383" s="301"/>
      <c r="K1383" s="301"/>
      <c r="L1383" s="302"/>
      <c r="M1383" s="200"/>
      <c r="N1383" s="93"/>
      <c r="O1383" s="290" t="s">
        <v>59</v>
      </c>
      <c r="P1383" s="291"/>
      <c r="Q1383" s="291"/>
      <c r="R1383" s="292"/>
      <c r="S1383" s="94"/>
      <c r="T1383" s="290" t="s">
        <v>60</v>
      </c>
      <c r="U1383" s="291"/>
      <c r="V1383" s="291"/>
      <c r="W1383" s="291"/>
      <c r="X1383" s="291"/>
      <c r="Y1383" s="292"/>
      <c r="Z1383" s="95"/>
    </row>
    <row r="1384" spans="1:26" s="55" customFormat="1" ht="21" customHeight="1" x14ac:dyDescent="0.25">
      <c r="A1384" s="56"/>
      <c r="B1384" s="57"/>
      <c r="C1384" s="293" t="s">
        <v>116</v>
      </c>
      <c r="D1384" s="293"/>
      <c r="E1384" s="293"/>
      <c r="F1384" s="293"/>
      <c r="G1384" s="58" t="str">
        <f>$J$1</f>
        <v>May</v>
      </c>
      <c r="H1384" s="294">
        <f>$K$1</f>
        <v>2019</v>
      </c>
      <c r="I1384" s="294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62</v>
      </c>
      <c r="P1385" s="101">
        <v>19</v>
      </c>
      <c r="Q1385" s="101"/>
      <c r="R1385" s="101">
        <v>0</v>
      </c>
      <c r="S1385" s="102"/>
      <c r="T1385" s="101" t="s">
        <v>62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120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0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>
        <f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7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95" t="s">
        <v>60</v>
      </c>
      <c r="G1387" s="295"/>
      <c r="H1387" s="57"/>
      <c r="I1387" s="295" t="s">
        <v>61</v>
      </c>
      <c r="J1387" s="295"/>
      <c r="K1387" s="295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>
        <f>Y1386</f>
        <v>9400</v>
      </c>
      <c r="V1387" s="103">
        <f>7000+2000+1000+2000+1000+4000</f>
        <v>17000</v>
      </c>
      <c r="W1387" s="177">
        <f t="shared" ref="W1387:W1396" si="251">IF(U1387="","",U1387+V1387)</f>
        <v>26400</v>
      </c>
      <c r="X1387" s="103">
        <v>12000</v>
      </c>
      <c r="Y1387" s="177">
        <f t="shared" ref="Y1387:Y1396" si="252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>
        <v>26</v>
      </c>
      <c r="Q1388" s="101">
        <v>4</v>
      </c>
      <c r="R1388" s="101">
        <v>0</v>
      </c>
      <c r="S1388" s="105"/>
      <c r="T1388" s="101" t="s">
        <v>64</v>
      </c>
      <c r="U1388" s="177">
        <f>Y1387</f>
        <v>14400</v>
      </c>
      <c r="V1388" s="103">
        <v>3500</v>
      </c>
      <c r="W1388" s="177">
        <f t="shared" si="251"/>
        <v>17900</v>
      </c>
      <c r="X1388" s="103">
        <v>8500</v>
      </c>
      <c r="Y1388" s="177">
        <f t="shared" si="252"/>
        <v>9400</v>
      </c>
      <c r="Z1388" s="106"/>
    </row>
    <row r="1389" spans="1:26" s="55" customFormat="1" ht="21" customHeight="1" x14ac:dyDescent="0.25">
      <c r="A1389" s="56"/>
      <c r="B1389" s="296" t="s">
        <v>59</v>
      </c>
      <c r="C1389" s="297"/>
      <c r="D1389" s="57"/>
      <c r="E1389" s="57"/>
      <c r="F1389" s="75" t="s">
        <v>81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9400</v>
      </c>
      <c r="H1389" s="74"/>
      <c r="I1389" s="76">
        <f>IF(C1393&gt;0,$K$2,C1391)</f>
        <v>22</v>
      </c>
      <c r="J1389" s="77" t="s">
        <v>78</v>
      </c>
      <c r="K1389" s="78">
        <f>K1385*I1389</f>
        <v>22000</v>
      </c>
      <c r="L1389" s="79"/>
      <c r="M1389" s="57"/>
      <c r="N1389" s="100"/>
      <c r="O1389" s="101" t="s">
        <v>65</v>
      </c>
      <c r="P1389" s="101">
        <v>22</v>
      </c>
      <c r="Q1389" s="101"/>
      <c r="R1389" s="101">
        <v>0</v>
      </c>
      <c r="S1389" s="105"/>
      <c r="T1389" s="101" t="s">
        <v>65</v>
      </c>
      <c r="U1389" s="177">
        <f>IF($J$1="May",Y1388,0)</f>
        <v>9400</v>
      </c>
      <c r="V1389" s="103">
        <v>1000</v>
      </c>
      <c r="W1389" s="177">
        <f t="shared" si="251"/>
        <v>10400</v>
      </c>
      <c r="X1389" s="103">
        <v>3400</v>
      </c>
      <c r="Y1389" s="177">
        <f t="shared" si="252"/>
        <v>7000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1000</v>
      </c>
      <c r="H1390" s="74"/>
      <c r="I1390" s="120">
        <v>35</v>
      </c>
      <c r="J1390" s="77" t="s">
        <v>79</v>
      </c>
      <c r="K1390" s="80">
        <f>K1385/8*I1390</f>
        <v>4375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/>
      <c r="V1390" s="103"/>
      <c r="W1390" s="177" t="str">
        <f t="shared" si="251"/>
        <v/>
      </c>
      <c r="X1390" s="103"/>
      <c r="Y1390" s="177" t="str">
        <f t="shared" si="252"/>
        <v/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22</v>
      </c>
      <c r="D1391" s="57"/>
      <c r="E1391" s="57"/>
      <c r="F1391" s="75" t="s">
        <v>82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10400</v>
      </c>
      <c r="H1391" s="74"/>
      <c r="I1391" s="298" t="s">
        <v>86</v>
      </c>
      <c r="J1391" s="299"/>
      <c r="K1391" s="80">
        <f>K1389+K1390</f>
        <v>26375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/>
      <c r="V1391" s="103"/>
      <c r="W1391" s="177" t="str">
        <f t="shared" si="251"/>
        <v/>
      </c>
      <c r="X1391" s="103"/>
      <c r="Y1391" s="177" t="str">
        <f t="shared" si="252"/>
        <v/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3400</v>
      </c>
      <c r="H1392" s="74"/>
      <c r="I1392" s="298" t="s">
        <v>87</v>
      </c>
      <c r="J1392" s="299"/>
      <c r="K1392" s="70">
        <f>G1392</f>
        <v>3400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/>
      <c r="V1392" s="103"/>
      <c r="W1392" s="177" t="str">
        <f t="shared" si="251"/>
        <v/>
      </c>
      <c r="X1392" s="103"/>
      <c r="Y1392" s="177" t="str">
        <f t="shared" si="252"/>
        <v/>
      </c>
      <c r="Z1392" s="106"/>
    </row>
    <row r="1393" spans="1:26" s="55" customFormat="1" ht="21" customHeight="1" x14ac:dyDescent="0.25">
      <c r="A1393" s="56"/>
      <c r="B1393" s="83" t="s">
        <v>85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84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7000</v>
      </c>
      <c r="H1393" s="57"/>
      <c r="I1393" s="284" t="s">
        <v>80</v>
      </c>
      <c r="J1393" s="285"/>
      <c r="K1393" s="84">
        <f>K1391-K1392</f>
        <v>22975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/>
      <c r="V1393" s="103"/>
      <c r="W1393" s="177" t="str">
        <f t="shared" si="251"/>
        <v/>
      </c>
      <c r="X1393" s="103"/>
      <c r="Y1393" s="177" t="str">
        <f t="shared" si="252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/>
      <c r="V1394" s="103"/>
      <c r="W1394" s="177" t="str">
        <f t="shared" si="251"/>
        <v/>
      </c>
      <c r="X1394" s="103"/>
      <c r="Y1394" s="177" t="str">
        <f t="shared" si="252"/>
        <v/>
      </c>
      <c r="Z1394" s="106"/>
    </row>
    <row r="1395" spans="1:26" s="55" customFormat="1" ht="21" customHeight="1" x14ac:dyDescent="0.25">
      <c r="A1395" s="56"/>
      <c r="B1395" s="286" t="s">
        <v>118</v>
      </c>
      <c r="C1395" s="286"/>
      <c r="D1395" s="286"/>
      <c r="E1395" s="286"/>
      <c r="F1395" s="286"/>
      <c r="G1395" s="286"/>
      <c r="H1395" s="286"/>
      <c r="I1395" s="286"/>
      <c r="J1395" s="286"/>
      <c r="K1395" s="286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/>
      <c r="V1395" s="103"/>
      <c r="W1395" s="177" t="str">
        <f t="shared" si="251"/>
        <v/>
      </c>
      <c r="X1395" s="103"/>
      <c r="Y1395" s="177" t="str">
        <f t="shared" si="252"/>
        <v/>
      </c>
      <c r="Z1395" s="106"/>
    </row>
    <row r="1396" spans="1:26" s="55" customFormat="1" ht="21" customHeight="1" x14ac:dyDescent="0.25">
      <c r="A1396" s="56"/>
      <c r="B1396" s="286"/>
      <c r="C1396" s="286"/>
      <c r="D1396" s="286"/>
      <c r="E1396" s="286"/>
      <c r="F1396" s="286"/>
      <c r="G1396" s="286"/>
      <c r="H1396" s="286"/>
      <c r="I1396" s="286"/>
      <c r="J1396" s="286"/>
      <c r="K1396" s="286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51"/>
        <v/>
      </c>
      <c r="X1396" s="103"/>
      <c r="Y1396" s="177" t="str">
        <f t="shared" si="25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300" t="s">
        <v>57</v>
      </c>
      <c r="B1399" s="301"/>
      <c r="C1399" s="301"/>
      <c r="D1399" s="301"/>
      <c r="E1399" s="301"/>
      <c r="F1399" s="301"/>
      <c r="G1399" s="301"/>
      <c r="H1399" s="301"/>
      <c r="I1399" s="301"/>
      <c r="J1399" s="301"/>
      <c r="K1399" s="301"/>
      <c r="L1399" s="302"/>
      <c r="M1399" s="200"/>
      <c r="N1399" s="93"/>
      <c r="O1399" s="290" t="s">
        <v>59</v>
      </c>
      <c r="P1399" s="291"/>
      <c r="Q1399" s="291"/>
      <c r="R1399" s="292"/>
      <c r="S1399" s="94"/>
      <c r="T1399" s="290" t="s">
        <v>60</v>
      </c>
      <c r="U1399" s="291"/>
      <c r="V1399" s="291"/>
      <c r="W1399" s="291"/>
      <c r="X1399" s="291"/>
      <c r="Y1399" s="292"/>
      <c r="Z1399" s="95"/>
    </row>
    <row r="1400" spans="1:26" s="55" customFormat="1" ht="21" customHeight="1" x14ac:dyDescent="0.25">
      <c r="A1400" s="56"/>
      <c r="B1400" s="57"/>
      <c r="C1400" s="293" t="s">
        <v>116</v>
      </c>
      <c r="D1400" s="293"/>
      <c r="E1400" s="293"/>
      <c r="F1400" s="293"/>
      <c r="G1400" s="58" t="str">
        <f>$J$1</f>
        <v>May</v>
      </c>
      <c r="H1400" s="294">
        <f>$K$1</f>
        <v>2019</v>
      </c>
      <c r="I1400" s="294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18000</v>
      </c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179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0"/>
      <c r="N1402" s="104"/>
      <c r="O1402" s="101" t="s">
        <v>88</v>
      </c>
      <c r="P1402" s="101">
        <f>28-5</f>
        <v>23</v>
      </c>
      <c r="Q1402" s="101">
        <v>5</v>
      </c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95" t="s">
        <v>60</v>
      </c>
      <c r="G1403" s="295"/>
      <c r="H1403" s="57"/>
      <c r="I1403" s="295" t="s">
        <v>61</v>
      </c>
      <c r="J1403" s="295"/>
      <c r="K1403" s="295"/>
      <c r="L1403" s="73"/>
      <c r="M1403" s="57"/>
      <c r="N1403" s="100"/>
      <c r="O1403" s="101" t="s">
        <v>63</v>
      </c>
      <c r="P1403" s="101">
        <v>24</v>
      </c>
      <c r="Q1403" s="101">
        <v>7</v>
      </c>
      <c r="R1403" s="101">
        <v>0</v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53">IF(U1403="","",U1403+V1403)</f>
        <v>0</v>
      </c>
      <c r="X1403" s="103"/>
      <c r="Y1403" s="177">
        <f t="shared" ref="Y1403:Y1412" si="25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>
        <v>27</v>
      </c>
      <c r="Q1404" s="101">
        <v>3</v>
      </c>
      <c r="R1404" s="101">
        <v>0</v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53"/>
        <v>0</v>
      </c>
      <c r="X1404" s="103"/>
      <c r="Y1404" s="177">
        <f t="shared" si="254"/>
        <v>0</v>
      </c>
      <c r="Z1404" s="106"/>
    </row>
    <row r="1405" spans="1:26" s="55" customFormat="1" ht="21" customHeight="1" x14ac:dyDescent="0.25">
      <c r="A1405" s="56"/>
      <c r="B1405" s="296" t="s">
        <v>59</v>
      </c>
      <c r="C1405" s="297"/>
      <c r="D1405" s="57"/>
      <c r="E1405" s="57"/>
      <c r="F1405" s="75" t="s">
        <v>81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>
        <f>IF(C1409&gt;0,$K$2,C1407)</f>
        <v>23</v>
      </c>
      <c r="J1405" s="77" t="s">
        <v>78</v>
      </c>
      <c r="K1405" s="78">
        <f>K1401/$K$2*I1405</f>
        <v>13354.838709677419</v>
      </c>
      <c r="L1405" s="79"/>
      <c r="M1405" s="57"/>
      <c r="N1405" s="100"/>
      <c r="O1405" s="101" t="s">
        <v>65</v>
      </c>
      <c r="P1405" s="101">
        <v>23</v>
      </c>
      <c r="Q1405" s="101">
        <v>8</v>
      </c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53"/>
        <v>0</v>
      </c>
      <c r="X1405" s="103"/>
      <c r="Y1405" s="177">
        <f t="shared" si="25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79</v>
      </c>
      <c r="K1406" s="80">
        <f>K1401/$K$2/8*I1406</f>
        <v>0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53"/>
        <v>0</v>
      </c>
      <c r="X1406" s="103"/>
      <c r="Y1406" s="177">
        <f t="shared" si="25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23</v>
      </c>
      <c r="D1407" s="57"/>
      <c r="E1407" s="57"/>
      <c r="F1407" s="75" t="s">
        <v>82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298" t="s">
        <v>86</v>
      </c>
      <c r="J1407" s="299"/>
      <c r="K1407" s="80">
        <f>K1405+K1406</f>
        <v>13354.838709677419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53"/>
        <v/>
      </c>
      <c r="X1407" s="103"/>
      <c r="Y1407" s="177" t="str">
        <f t="shared" si="25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8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98" t="s">
        <v>87</v>
      </c>
      <c r="J1408" s="299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53"/>
        <v/>
      </c>
      <c r="X1408" s="103"/>
      <c r="Y1408" s="177" t="str">
        <f t="shared" si="254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84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284" t="s">
        <v>80</v>
      </c>
      <c r="J1409" s="285"/>
      <c r="K1409" s="84">
        <f>K1407-K1408</f>
        <v>13354.838709677419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53"/>
        <v/>
      </c>
      <c r="X1409" s="103"/>
      <c r="Y1409" s="177" t="str">
        <f t="shared" si="25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53"/>
        <v/>
      </c>
      <c r="X1410" s="103"/>
      <c r="Y1410" s="177" t="str">
        <f t="shared" si="254"/>
        <v/>
      </c>
      <c r="Z1410" s="106"/>
    </row>
    <row r="1411" spans="1:26" s="55" customFormat="1" ht="21" customHeight="1" x14ac:dyDescent="0.25">
      <c r="A1411" s="56"/>
      <c r="B1411" s="286" t="s">
        <v>118</v>
      </c>
      <c r="C1411" s="286"/>
      <c r="D1411" s="286"/>
      <c r="E1411" s="286"/>
      <c r="F1411" s="286"/>
      <c r="G1411" s="286"/>
      <c r="H1411" s="286"/>
      <c r="I1411" s="286"/>
      <c r="J1411" s="286"/>
      <c r="K1411" s="286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53"/>
        <v/>
      </c>
      <c r="X1411" s="103"/>
      <c r="Y1411" s="177" t="str">
        <f t="shared" si="254"/>
        <v/>
      </c>
      <c r="Z1411" s="106"/>
    </row>
    <row r="1412" spans="1:26" s="55" customFormat="1" ht="21" customHeight="1" x14ac:dyDescent="0.25">
      <c r="A1412" s="56"/>
      <c r="B1412" s="286"/>
      <c r="C1412" s="286"/>
      <c r="D1412" s="286"/>
      <c r="E1412" s="286"/>
      <c r="F1412" s="286"/>
      <c r="G1412" s="286"/>
      <c r="H1412" s="286"/>
      <c r="I1412" s="286"/>
      <c r="J1412" s="286"/>
      <c r="K1412" s="286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53"/>
        <v/>
      </c>
      <c r="X1412" s="103"/>
      <c r="Y1412" s="177" t="str">
        <f t="shared" si="25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87" t="s">
        <v>57</v>
      </c>
      <c r="B1415" s="288"/>
      <c r="C1415" s="288"/>
      <c r="D1415" s="288"/>
      <c r="E1415" s="288"/>
      <c r="F1415" s="288"/>
      <c r="G1415" s="288"/>
      <c r="H1415" s="288"/>
      <c r="I1415" s="288"/>
      <c r="J1415" s="288"/>
      <c r="K1415" s="288"/>
      <c r="L1415" s="289"/>
      <c r="M1415" s="204"/>
      <c r="N1415" s="93"/>
      <c r="O1415" s="290" t="s">
        <v>59</v>
      </c>
      <c r="P1415" s="291"/>
      <c r="Q1415" s="291"/>
      <c r="R1415" s="292"/>
      <c r="S1415" s="94"/>
      <c r="T1415" s="290" t="s">
        <v>60</v>
      </c>
      <c r="U1415" s="291"/>
      <c r="V1415" s="291"/>
      <c r="W1415" s="291"/>
      <c r="X1415" s="291"/>
      <c r="Y1415" s="292"/>
      <c r="Z1415" s="95"/>
    </row>
    <row r="1416" spans="1:26" s="55" customFormat="1" ht="21" customHeight="1" x14ac:dyDescent="0.25">
      <c r="A1416" s="56"/>
      <c r="B1416" s="57"/>
      <c r="C1416" s="293" t="s">
        <v>116</v>
      </c>
      <c r="D1416" s="293"/>
      <c r="E1416" s="293"/>
      <c r="F1416" s="293"/>
      <c r="G1416" s="58" t="str">
        <f>$J$1</f>
        <v>May</v>
      </c>
      <c r="H1416" s="294">
        <f>$K$1</f>
        <v>2019</v>
      </c>
      <c r="I1416" s="294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/>
      <c r="L1417" s="65"/>
      <c r="M1417" s="57"/>
      <c r="N1417" s="100"/>
      <c r="O1417" s="101" t="s">
        <v>62</v>
      </c>
      <c r="P1417" s="101"/>
      <c r="Q1417" s="101"/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195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4"/>
      <c r="N1418" s="104"/>
      <c r="O1418" s="101" t="s">
        <v>88</v>
      </c>
      <c r="P1418" s="101"/>
      <c r="Q1418" s="101"/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211"/>
      <c r="D1419" s="57"/>
      <c r="E1419" s="57"/>
      <c r="F1419" s="295" t="s">
        <v>60</v>
      </c>
      <c r="G1419" s="295"/>
      <c r="H1419" s="57"/>
      <c r="I1419" s="295" t="s">
        <v>61</v>
      </c>
      <c r="J1419" s="295"/>
      <c r="K1419" s="295"/>
      <c r="L1419" s="73"/>
      <c r="M1419" s="57"/>
      <c r="N1419" s="100"/>
      <c r="O1419" s="101" t="s">
        <v>63</v>
      </c>
      <c r="P1419" s="101"/>
      <c r="Q1419" s="101"/>
      <c r="R1419" s="101">
        <v>0</v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55">IF(U1419="","",U1419+V1419)</f>
        <v>0</v>
      </c>
      <c r="X1419" s="103"/>
      <c r="Y1419" s="177">
        <f t="shared" ref="Y1419:Y1428" si="25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/>
      <c r="Q1420" s="101"/>
      <c r="R1420" s="101">
        <v>0</v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55"/>
        <v>0</v>
      </c>
      <c r="X1420" s="103"/>
      <c r="Y1420" s="177">
        <f t="shared" si="256"/>
        <v>0</v>
      </c>
      <c r="Z1420" s="106"/>
    </row>
    <row r="1421" spans="1:26" s="55" customFormat="1" ht="21" customHeight="1" x14ac:dyDescent="0.25">
      <c r="A1421" s="56"/>
      <c r="B1421" s="296" t="s">
        <v>59</v>
      </c>
      <c r="C1421" s="297"/>
      <c r="D1421" s="57"/>
      <c r="E1421" s="57"/>
      <c r="F1421" s="75" t="s">
        <v>81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24</v>
      </c>
      <c r="J1421" s="77" t="s">
        <v>78</v>
      </c>
      <c r="K1421" s="78">
        <f>K1417/$K$2*I1421</f>
        <v>0</v>
      </c>
      <c r="L1421" s="79"/>
      <c r="M1421" s="57"/>
      <c r="N1421" s="100"/>
      <c r="O1421" s="101" t="s">
        <v>65</v>
      </c>
      <c r="P1421" s="101">
        <f>31-7</f>
        <v>24</v>
      </c>
      <c r="Q1421" s="101">
        <v>7</v>
      </c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55"/>
        <v>0</v>
      </c>
      <c r="X1421" s="103"/>
      <c r="Y1421" s="177">
        <f t="shared" si="25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/>
      <c r="J1422" s="77" t="s">
        <v>79</v>
      </c>
      <c r="K1422" s="80">
        <f>K1417/$K$2/8*I1422</f>
        <v>0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55"/>
        <v>0</v>
      </c>
      <c r="X1422" s="103"/>
      <c r="Y1422" s="177">
        <f t="shared" si="25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24</v>
      </c>
      <c r="D1423" s="57"/>
      <c r="E1423" s="57"/>
      <c r="F1423" s="75" t="s">
        <v>82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298" t="s">
        <v>86</v>
      </c>
      <c r="J1423" s="299"/>
      <c r="K1423" s="80">
        <f>K1421+K1422</f>
        <v>0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55"/>
        <v/>
      </c>
      <c r="X1423" s="103"/>
      <c r="Y1423" s="177" t="str">
        <f t="shared" si="256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7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98" t="s">
        <v>87</v>
      </c>
      <c r="J1424" s="299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55"/>
        <v/>
      </c>
      <c r="X1424" s="103"/>
      <c r="Y1424" s="177" t="str">
        <f t="shared" si="256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84" t="s">
        <v>80</v>
      </c>
      <c r="J1425" s="285"/>
      <c r="K1425" s="84">
        <v>15000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55"/>
        <v/>
      </c>
      <c r="X1425" s="103"/>
      <c r="Y1425" s="177" t="str">
        <f t="shared" si="256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/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55"/>
        <v/>
      </c>
      <c r="X1426" s="103"/>
      <c r="Y1426" s="177" t="str">
        <f t="shared" si="256"/>
        <v/>
      </c>
      <c r="Z1426" s="106"/>
    </row>
    <row r="1427" spans="1:26" s="55" customFormat="1" ht="21" customHeight="1" x14ac:dyDescent="0.25">
      <c r="A1427" s="56"/>
      <c r="B1427" s="286" t="s">
        <v>118</v>
      </c>
      <c r="C1427" s="286"/>
      <c r="D1427" s="286"/>
      <c r="E1427" s="286"/>
      <c r="F1427" s="286"/>
      <c r="G1427" s="286"/>
      <c r="H1427" s="286"/>
      <c r="I1427" s="286"/>
      <c r="J1427" s="286"/>
      <c r="K1427" s="286"/>
      <c r="L1427" s="73"/>
      <c r="M1427" s="57"/>
      <c r="N1427" s="100"/>
      <c r="O1427" s="101" t="s">
        <v>74</v>
      </c>
      <c r="P1427" s="101"/>
      <c r="Q1427" s="101"/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55"/>
        <v/>
      </c>
      <c r="X1427" s="103"/>
      <c r="Y1427" s="177" t="str">
        <f t="shared" si="256"/>
        <v/>
      </c>
      <c r="Z1427" s="106"/>
    </row>
    <row r="1428" spans="1:26" s="55" customFormat="1" ht="21" customHeight="1" x14ac:dyDescent="0.25">
      <c r="A1428" s="56"/>
      <c r="B1428" s="286"/>
      <c r="C1428" s="286"/>
      <c r="D1428" s="286"/>
      <c r="E1428" s="286"/>
      <c r="F1428" s="286"/>
      <c r="G1428" s="286"/>
      <c r="H1428" s="286"/>
      <c r="I1428" s="286"/>
      <c r="J1428" s="286"/>
      <c r="K1428" s="286"/>
      <c r="L1428" s="73"/>
      <c r="M1428" s="57"/>
      <c r="N1428" s="100"/>
      <c r="O1428" s="101" t="s">
        <v>75</v>
      </c>
      <c r="P1428" s="101"/>
      <c r="Q1428" s="101"/>
      <c r="R1428" s="101" t="str">
        <f>IF(Q1428="","",R1427-Q1428)</f>
        <v/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55"/>
        <v/>
      </c>
      <c r="X1428" s="103"/>
      <c r="Y1428" s="177" t="str">
        <f t="shared" si="25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300" t="s">
        <v>57</v>
      </c>
      <c r="B1431" s="301"/>
      <c r="C1431" s="301"/>
      <c r="D1431" s="301"/>
      <c r="E1431" s="301"/>
      <c r="F1431" s="301"/>
      <c r="G1431" s="301"/>
      <c r="H1431" s="301"/>
      <c r="I1431" s="301"/>
      <c r="J1431" s="301"/>
      <c r="K1431" s="301"/>
      <c r="L1431" s="302"/>
      <c r="M1431" s="204"/>
      <c r="N1431" s="93"/>
      <c r="O1431" s="290" t="s">
        <v>59</v>
      </c>
      <c r="P1431" s="291"/>
      <c r="Q1431" s="291"/>
      <c r="R1431" s="292"/>
      <c r="S1431" s="94"/>
      <c r="T1431" s="290" t="s">
        <v>60</v>
      </c>
      <c r="U1431" s="291"/>
      <c r="V1431" s="291"/>
      <c r="W1431" s="291"/>
      <c r="X1431" s="291"/>
      <c r="Y1431" s="292"/>
      <c r="Z1431" s="95"/>
    </row>
    <row r="1432" spans="1:26" s="55" customFormat="1" ht="21" customHeight="1" x14ac:dyDescent="0.25">
      <c r="A1432" s="56"/>
      <c r="B1432" s="57"/>
      <c r="C1432" s="293" t="s">
        <v>116</v>
      </c>
      <c r="D1432" s="293"/>
      <c r="E1432" s="293"/>
      <c r="F1432" s="293"/>
      <c r="G1432" s="58" t="str">
        <f>$J$1</f>
        <v>May</v>
      </c>
      <c r="H1432" s="294">
        <f>$K$1</f>
        <v>2019</v>
      </c>
      <c r="I1432" s="294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25000</v>
      </c>
      <c r="L1433" s="65"/>
      <c r="M1433" s="57"/>
      <c r="N1433" s="100"/>
      <c r="O1433" s="101" t="s">
        <v>62</v>
      </c>
      <c r="P1433" s="101"/>
      <c r="Q1433" s="101"/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196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4"/>
      <c r="N1434" s="104"/>
      <c r="O1434" s="101" t="s">
        <v>88</v>
      </c>
      <c r="P1434" s="101"/>
      <c r="Q1434" s="101"/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95" t="s">
        <v>60</v>
      </c>
      <c r="G1435" s="295"/>
      <c r="H1435" s="57"/>
      <c r="I1435" s="295" t="s">
        <v>61</v>
      </c>
      <c r="J1435" s="295"/>
      <c r="K1435" s="295"/>
      <c r="L1435" s="73"/>
      <c r="M1435" s="57"/>
      <c r="N1435" s="100"/>
      <c r="O1435" s="101" t="s">
        <v>63</v>
      </c>
      <c r="P1435" s="101"/>
      <c r="Q1435" s="101"/>
      <c r="R1435" s="101" t="str">
        <f>IF(Q1435="","",R1434-Q1435)</f>
        <v/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57">IF(U1435="","",U1435+V1435)</f>
        <v>0</v>
      </c>
      <c r="X1435" s="103"/>
      <c r="Y1435" s="177">
        <f t="shared" ref="Y1435:Y1444" si="25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/>
      <c r="Q1436" s="101"/>
      <c r="R1436" s="101">
        <v>0</v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57"/>
        <v>0</v>
      </c>
      <c r="X1436" s="103"/>
      <c r="Y1436" s="177">
        <f t="shared" si="258"/>
        <v>0</v>
      </c>
      <c r="Z1436" s="106"/>
    </row>
    <row r="1437" spans="1:26" s="55" customFormat="1" ht="21" customHeight="1" x14ac:dyDescent="0.25">
      <c r="A1437" s="56"/>
      <c r="B1437" s="296" t="s">
        <v>59</v>
      </c>
      <c r="C1437" s="297"/>
      <c r="D1437" s="57"/>
      <c r="E1437" s="57"/>
      <c r="F1437" s="75" t="s">
        <v>81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0</v>
      </c>
      <c r="H1437" s="74"/>
      <c r="I1437" s="76">
        <f>IF(C1441&gt;0,$K$2,C1439)</f>
        <v>16</v>
      </c>
      <c r="J1437" s="77" t="s">
        <v>78</v>
      </c>
      <c r="K1437" s="78">
        <f>K1433/$K$2*I1437</f>
        <v>12903.225806451614</v>
      </c>
      <c r="L1437" s="79"/>
      <c r="M1437" s="57"/>
      <c r="N1437" s="100"/>
      <c r="O1437" s="101" t="s">
        <v>65</v>
      </c>
      <c r="P1437" s="101">
        <f>31-15</f>
        <v>16</v>
      </c>
      <c r="Q1437" s="101">
        <v>15</v>
      </c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57"/>
        <v>0</v>
      </c>
      <c r="X1437" s="103"/>
      <c r="Y1437" s="177">
        <f t="shared" si="258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2.94</v>
      </c>
      <c r="J1438" s="77" t="s">
        <v>79</v>
      </c>
      <c r="K1438" s="80">
        <f>K1433/$K$2/8*I1438</f>
        <v>296.37096774193549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57"/>
        <v>0</v>
      </c>
      <c r="X1438" s="103"/>
      <c r="Y1438" s="177">
        <f t="shared" si="258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16</v>
      </c>
      <c r="D1439" s="57"/>
      <c r="E1439" s="57"/>
      <c r="F1439" s="75" t="s">
        <v>82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0</v>
      </c>
      <c r="H1439" s="74"/>
      <c r="I1439" s="298" t="s">
        <v>86</v>
      </c>
      <c r="J1439" s="299"/>
      <c r="K1439" s="80">
        <f>K1437+K1438</f>
        <v>13199.596774193549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57"/>
        <v/>
      </c>
      <c r="X1439" s="103"/>
      <c r="Y1439" s="177" t="str">
        <f t="shared" si="258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15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98" t="s">
        <v>87</v>
      </c>
      <c r="J1440" s="299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57"/>
        <v/>
      </c>
      <c r="X1440" s="103"/>
      <c r="Y1440" s="177" t="str">
        <f t="shared" si="258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284" t="s">
        <v>80</v>
      </c>
      <c r="J1441" s="285"/>
      <c r="K1441" s="84">
        <f>K1439-K1440</f>
        <v>13199.596774193549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57"/>
        <v/>
      </c>
      <c r="X1441" s="103"/>
      <c r="Y1441" s="177" t="str">
        <f t="shared" si="258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/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57"/>
        <v/>
      </c>
      <c r="X1442" s="103"/>
      <c r="Y1442" s="177" t="str">
        <f t="shared" si="258"/>
        <v/>
      </c>
      <c r="Z1442" s="106"/>
    </row>
    <row r="1443" spans="1:26" s="55" customFormat="1" ht="21" customHeight="1" x14ac:dyDescent="0.25">
      <c r="A1443" s="56"/>
      <c r="B1443" s="286" t="s">
        <v>118</v>
      </c>
      <c r="C1443" s="286"/>
      <c r="D1443" s="286"/>
      <c r="E1443" s="286"/>
      <c r="F1443" s="286"/>
      <c r="G1443" s="286"/>
      <c r="H1443" s="286"/>
      <c r="I1443" s="286"/>
      <c r="J1443" s="286"/>
      <c r="K1443" s="286"/>
      <c r="L1443" s="73"/>
      <c r="M1443" s="57"/>
      <c r="N1443" s="100"/>
      <c r="O1443" s="101" t="s">
        <v>74</v>
      </c>
      <c r="P1443" s="101"/>
      <c r="Q1443" s="101"/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57"/>
        <v/>
      </c>
      <c r="X1443" s="103"/>
      <c r="Y1443" s="177" t="str">
        <f t="shared" si="258"/>
        <v/>
      </c>
      <c r="Z1443" s="106"/>
    </row>
    <row r="1444" spans="1:26" s="55" customFormat="1" ht="21" customHeight="1" x14ac:dyDescent="0.25">
      <c r="A1444" s="56"/>
      <c r="B1444" s="286"/>
      <c r="C1444" s="286"/>
      <c r="D1444" s="286"/>
      <c r="E1444" s="286"/>
      <c r="F1444" s="286"/>
      <c r="G1444" s="286"/>
      <c r="H1444" s="286"/>
      <c r="I1444" s="286"/>
      <c r="J1444" s="286"/>
      <c r="K1444" s="286"/>
      <c r="L1444" s="73"/>
      <c r="M1444" s="57"/>
      <c r="N1444" s="100"/>
      <c r="O1444" s="101" t="s">
        <v>75</v>
      </c>
      <c r="P1444" s="101"/>
      <c r="Q1444" s="101"/>
      <c r="R1444" s="101">
        <v>0</v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57"/>
        <v/>
      </c>
      <c r="X1444" s="103"/>
      <c r="Y1444" s="177" t="str">
        <f t="shared" si="25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00" t="s">
        <v>57</v>
      </c>
      <c r="B1447" s="301"/>
      <c r="C1447" s="301"/>
      <c r="D1447" s="301"/>
      <c r="E1447" s="301"/>
      <c r="F1447" s="301"/>
      <c r="G1447" s="301"/>
      <c r="H1447" s="301"/>
      <c r="I1447" s="301"/>
      <c r="J1447" s="301"/>
      <c r="K1447" s="301"/>
      <c r="L1447" s="302"/>
      <c r="M1447" s="204"/>
      <c r="N1447" s="93"/>
      <c r="O1447" s="290" t="s">
        <v>59</v>
      </c>
      <c r="P1447" s="291"/>
      <c r="Q1447" s="291"/>
      <c r="R1447" s="292"/>
      <c r="S1447" s="94"/>
      <c r="T1447" s="290" t="s">
        <v>60</v>
      </c>
      <c r="U1447" s="291"/>
      <c r="V1447" s="291"/>
      <c r="W1447" s="291"/>
      <c r="X1447" s="291"/>
      <c r="Y1447" s="292"/>
      <c r="Z1447" s="95"/>
    </row>
    <row r="1448" spans="1:26" s="55" customFormat="1" ht="21" customHeight="1" x14ac:dyDescent="0.25">
      <c r="A1448" s="56"/>
      <c r="B1448" s="57"/>
      <c r="C1448" s="293" t="s">
        <v>116</v>
      </c>
      <c r="D1448" s="293"/>
      <c r="E1448" s="293"/>
      <c r="F1448" s="293"/>
      <c r="G1448" s="58" t="str">
        <f>$J$1</f>
        <v>May</v>
      </c>
      <c r="H1448" s="294">
        <f>$K$1</f>
        <v>2019</v>
      </c>
      <c r="I1448" s="294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62</v>
      </c>
      <c r="P1449" s="101"/>
      <c r="Q1449" s="101"/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4"/>
      <c r="N1450" s="104"/>
      <c r="O1450" s="101" t="s">
        <v>88</v>
      </c>
      <c r="P1450" s="101"/>
      <c r="Q1450" s="101"/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95" t="s">
        <v>60</v>
      </c>
      <c r="G1451" s="295"/>
      <c r="H1451" s="57"/>
      <c r="I1451" s="295" t="s">
        <v>61</v>
      </c>
      <c r="J1451" s="295"/>
      <c r="K1451" s="295"/>
      <c r="L1451" s="73"/>
      <c r="M1451" s="57"/>
      <c r="N1451" s="100"/>
      <c r="O1451" s="101" t="s">
        <v>63</v>
      </c>
      <c r="P1451" s="101"/>
      <c r="Q1451" s="101"/>
      <c r="R1451" s="101">
        <v>0</v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59">IF(U1451="","",U1451+V1451)</f>
        <v>0</v>
      </c>
      <c r="X1451" s="103"/>
      <c r="Y1451" s="177">
        <f t="shared" ref="Y1451:Y1460" si="26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>
        <v>0</v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59"/>
        <v>0</v>
      </c>
      <c r="X1452" s="103"/>
      <c r="Y1452" s="177">
        <f t="shared" si="260"/>
        <v>0</v>
      </c>
      <c r="Z1452" s="106"/>
    </row>
    <row r="1453" spans="1:26" s="55" customFormat="1" ht="21" customHeight="1" x14ac:dyDescent="0.25">
      <c r="A1453" s="56"/>
      <c r="B1453" s="296" t="s">
        <v>59</v>
      </c>
      <c r="C1453" s="297"/>
      <c r="D1453" s="57"/>
      <c r="E1453" s="57"/>
      <c r="F1453" s="75" t="s">
        <v>81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0</v>
      </c>
      <c r="J1453" s="77" t="s">
        <v>78</v>
      </c>
      <c r="K1453" s="78">
        <f>K1449/$K$2*I1453</f>
        <v>0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59"/>
        <v>0</v>
      </c>
      <c r="X1453" s="103"/>
      <c r="Y1453" s="177">
        <f t="shared" si="26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79</v>
      </c>
      <c r="K1454" s="80">
        <f>K1449/$K$2/8*I1454</f>
        <v>0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59"/>
        <v>0</v>
      </c>
      <c r="X1454" s="103"/>
      <c r="Y1454" s="177">
        <f t="shared" si="26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82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298" t="s">
        <v>86</v>
      </c>
      <c r="J1455" s="299"/>
      <c r="K1455" s="80">
        <f>K1453+K1454</f>
        <v>0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59"/>
        <v/>
      </c>
      <c r="X1455" s="103"/>
      <c r="Y1455" s="177" t="str">
        <f t="shared" si="26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98" t="s">
        <v>87</v>
      </c>
      <c r="J1456" s="299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59"/>
        <v/>
      </c>
      <c r="X1456" s="103"/>
      <c r="Y1456" s="177" t="str">
        <f t="shared" si="260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284" t="s">
        <v>80</v>
      </c>
      <c r="J1457" s="285"/>
      <c r="K1457" s="84">
        <f>K1455-K1456</f>
        <v>0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59"/>
        <v/>
      </c>
      <c r="X1457" s="103"/>
      <c r="Y1457" s="177" t="str">
        <f t="shared" si="26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/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59"/>
        <v/>
      </c>
      <c r="X1458" s="103"/>
      <c r="Y1458" s="177" t="str">
        <f t="shared" si="260"/>
        <v/>
      </c>
      <c r="Z1458" s="106"/>
    </row>
    <row r="1459" spans="1:26" s="55" customFormat="1" ht="21" customHeight="1" x14ac:dyDescent="0.25">
      <c r="A1459" s="56"/>
      <c r="B1459" s="286" t="s">
        <v>118</v>
      </c>
      <c r="C1459" s="286"/>
      <c r="D1459" s="286"/>
      <c r="E1459" s="286"/>
      <c r="F1459" s="286"/>
      <c r="G1459" s="286"/>
      <c r="H1459" s="286"/>
      <c r="I1459" s="286"/>
      <c r="J1459" s="286"/>
      <c r="K1459" s="286"/>
      <c r="L1459" s="73"/>
      <c r="M1459" s="57"/>
      <c r="N1459" s="100"/>
      <c r="O1459" s="101" t="s">
        <v>74</v>
      </c>
      <c r="P1459" s="101"/>
      <c r="Q1459" s="101"/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59"/>
        <v/>
      </c>
      <c r="X1459" s="103"/>
      <c r="Y1459" s="177" t="str">
        <f t="shared" si="260"/>
        <v/>
      </c>
      <c r="Z1459" s="106"/>
    </row>
    <row r="1460" spans="1:26" s="55" customFormat="1" ht="21" customHeight="1" x14ac:dyDescent="0.25">
      <c r="A1460" s="56"/>
      <c r="B1460" s="286"/>
      <c r="C1460" s="286"/>
      <c r="D1460" s="286"/>
      <c r="E1460" s="286"/>
      <c r="F1460" s="286"/>
      <c r="G1460" s="286"/>
      <c r="H1460" s="286"/>
      <c r="I1460" s="286"/>
      <c r="J1460" s="286"/>
      <c r="K1460" s="286"/>
      <c r="L1460" s="73"/>
      <c r="M1460" s="57"/>
      <c r="N1460" s="100"/>
      <c r="O1460" s="101" t="s">
        <v>75</v>
      </c>
      <c r="P1460" s="101"/>
      <c r="Q1460" s="101"/>
      <c r="R1460" s="101">
        <v>0</v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59"/>
        <v/>
      </c>
      <c r="X1460" s="103"/>
      <c r="Y1460" s="177" t="str">
        <f t="shared" si="26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87" t="s">
        <v>57</v>
      </c>
      <c r="B1463" s="288"/>
      <c r="C1463" s="288"/>
      <c r="D1463" s="288"/>
      <c r="E1463" s="288"/>
      <c r="F1463" s="288"/>
      <c r="G1463" s="288"/>
      <c r="H1463" s="288"/>
      <c r="I1463" s="288"/>
      <c r="J1463" s="288"/>
      <c r="K1463" s="288"/>
      <c r="L1463" s="289"/>
      <c r="M1463" s="204"/>
      <c r="N1463" s="93"/>
      <c r="O1463" s="290" t="s">
        <v>59</v>
      </c>
      <c r="P1463" s="291"/>
      <c r="Q1463" s="291"/>
      <c r="R1463" s="292"/>
      <c r="S1463" s="94"/>
      <c r="T1463" s="290" t="s">
        <v>60</v>
      </c>
      <c r="U1463" s="291"/>
      <c r="V1463" s="291"/>
      <c r="W1463" s="291"/>
      <c r="X1463" s="291"/>
      <c r="Y1463" s="292"/>
      <c r="Z1463" s="95"/>
    </row>
    <row r="1464" spans="1:26" s="55" customFormat="1" ht="21" customHeight="1" x14ac:dyDescent="0.25">
      <c r="A1464" s="56"/>
      <c r="B1464" s="57"/>
      <c r="C1464" s="293" t="s">
        <v>116</v>
      </c>
      <c r="D1464" s="293"/>
      <c r="E1464" s="293"/>
      <c r="F1464" s="293"/>
      <c r="G1464" s="58" t="str">
        <f>$J$1</f>
        <v>May</v>
      </c>
      <c r="H1464" s="294">
        <f>$K$1</f>
        <v>2019</v>
      </c>
      <c r="I1464" s="294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>
        <v>30</v>
      </c>
      <c r="Q1465" s="101">
        <v>1</v>
      </c>
      <c r="R1465" s="101">
        <v>0</v>
      </c>
      <c r="S1465" s="102"/>
      <c r="T1465" s="101" t="s">
        <v>62</v>
      </c>
      <c r="U1465" s="103"/>
      <c r="V1465" s="103">
        <v>20000</v>
      </c>
      <c r="W1465" s="103">
        <f>V1465+U1465</f>
        <v>20000</v>
      </c>
      <c r="X1465" s="103">
        <v>5000</v>
      </c>
      <c r="Y1465" s="103">
        <f>W1465-X1465</f>
        <v>15000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4"/>
      <c r="N1466" s="104"/>
      <c r="O1466" s="101" t="s">
        <v>88</v>
      </c>
      <c r="P1466" s="101">
        <v>28</v>
      </c>
      <c r="Q1466" s="101">
        <v>0</v>
      </c>
      <c r="R1466" s="101">
        <v>0</v>
      </c>
      <c r="S1466" s="105"/>
      <c r="T1466" s="101" t="s">
        <v>88</v>
      </c>
      <c r="U1466" s="177">
        <f>Y1465</f>
        <v>15000</v>
      </c>
      <c r="V1466" s="103"/>
      <c r="W1466" s="177">
        <f>IF(U1466="","",U1466+V1466)</f>
        <v>15000</v>
      </c>
      <c r="X1466" s="103">
        <v>5000</v>
      </c>
      <c r="Y1466" s="177">
        <f>IF(W1466="","",W1466-X1466)</f>
        <v>10000</v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95" t="s">
        <v>60</v>
      </c>
      <c r="G1467" s="295"/>
      <c r="H1467" s="57"/>
      <c r="I1467" s="295" t="s">
        <v>61</v>
      </c>
      <c r="J1467" s="295"/>
      <c r="K1467" s="295"/>
      <c r="L1467" s="73"/>
      <c r="M1467" s="57"/>
      <c r="N1467" s="100"/>
      <c r="O1467" s="101" t="s">
        <v>63</v>
      </c>
      <c r="P1467" s="101">
        <v>31</v>
      </c>
      <c r="Q1467" s="101">
        <v>0</v>
      </c>
      <c r="R1467" s="101">
        <f>IF(Q1467="","",R1466-Q1467)</f>
        <v>0</v>
      </c>
      <c r="S1467" s="105"/>
      <c r="T1467" s="101" t="s">
        <v>63</v>
      </c>
      <c r="U1467" s="177">
        <f>Y1466</f>
        <v>10000</v>
      </c>
      <c r="V1467" s="103"/>
      <c r="W1467" s="177">
        <f t="shared" ref="W1467:W1476" si="261">IF(U1467="","",U1467+V1467)</f>
        <v>10000</v>
      </c>
      <c r="X1467" s="103">
        <v>5000</v>
      </c>
      <c r="Y1467" s="177">
        <f t="shared" ref="Y1467:Y1476" si="262">IF(W1467="","",W1467-X1467)</f>
        <v>5000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>
        <v>16</v>
      </c>
      <c r="Q1468" s="101">
        <v>14</v>
      </c>
      <c r="R1468" s="101">
        <v>0</v>
      </c>
      <c r="S1468" s="105"/>
      <c r="T1468" s="101" t="s">
        <v>64</v>
      </c>
      <c r="U1468" s="177">
        <f>Y1467</f>
        <v>5000</v>
      </c>
      <c r="V1468" s="103"/>
      <c r="W1468" s="177">
        <f t="shared" si="261"/>
        <v>5000</v>
      </c>
      <c r="X1468" s="103">
        <v>5000</v>
      </c>
      <c r="Y1468" s="177">
        <f t="shared" si="262"/>
        <v>0</v>
      </c>
      <c r="Z1468" s="106"/>
    </row>
    <row r="1469" spans="1:26" s="55" customFormat="1" ht="21" customHeight="1" x14ac:dyDescent="0.25">
      <c r="A1469" s="56"/>
      <c r="B1469" s="296" t="s">
        <v>59</v>
      </c>
      <c r="C1469" s="297"/>
      <c r="D1469" s="57"/>
      <c r="E1469" s="57"/>
      <c r="F1469" s="75" t="s">
        <v>81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0</v>
      </c>
      <c r="H1469" s="74"/>
      <c r="I1469" s="76"/>
      <c r="J1469" s="77" t="s">
        <v>78</v>
      </c>
      <c r="K1469" s="78">
        <f>K1465/$K$2*I1469</f>
        <v>0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>
        <f>IF($J$1="May",Y1468,0)</f>
        <v>0</v>
      </c>
      <c r="V1469" s="103"/>
      <c r="W1469" s="177">
        <f t="shared" si="261"/>
        <v>0</v>
      </c>
      <c r="X1469" s="103"/>
      <c r="Y1469" s="177">
        <f t="shared" si="262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/>
      <c r="J1470" s="77" t="s">
        <v>79</v>
      </c>
      <c r="K1470" s="80">
        <f>K1465/$K$2/8*I1470</f>
        <v>0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/>
      <c r="V1470" s="103"/>
      <c r="W1470" s="177" t="str">
        <f t="shared" si="261"/>
        <v/>
      </c>
      <c r="X1470" s="103"/>
      <c r="Y1470" s="177" t="str">
        <f t="shared" si="262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0</v>
      </c>
      <c r="D1471" s="57"/>
      <c r="E1471" s="57"/>
      <c r="F1471" s="75" t="s">
        <v>82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0</v>
      </c>
      <c r="H1471" s="74"/>
      <c r="I1471" s="298" t="s">
        <v>86</v>
      </c>
      <c r="J1471" s="299"/>
      <c r="K1471" s="80">
        <f>K1469+K1470</f>
        <v>0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261"/>
        <v/>
      </c>
      <c r="X1471" s="103"/>
      <c r="Y1471" s="177" t="str">
        <f t="shared" si="262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0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98" t="s">
        <v>87</v>
      </c>
      <c r="J1472" s="299"/>
      <c r="K1472" s="70">
        <f>G1472</f>
        <v>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261"/>
        <v/>
      </c>
      <c r="X1472" s="103"/>
      <c r="Y1472" s="177" t="str">
        <f t="shared" si="262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0</v>
      </c>
      <c r="H1473" s="57"/>
      <c r="I1473" s="284" t="s">
        <v>80</v>
      </c>
      <c r="J1473" s="285"/>
      <c r="K1473" s="84">
        <f>K1471-K1472</f>
        <v>0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261"/>
        <v/>
      </c>
      <c r="X1473" s="103"/>
      <c r="Y1473" s="177" t="str">
        <f t="shared" si="262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/>
      <c r="Q1474" s="101"/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261"/>
        <v/>
      </c>
      <c r="X1474" s="103"/>
      <c r="Y1474" s="177" t="str">
        <f t="shared" si="262"/>
        <v/>
      </c>
      <c r="Z1474" s="106"/>
    </row>
    <row r="1475" spans="1:26" s="55" customFormat="1" ht="21" customHeight="1" x14ac:dyDescent="0.25">
      <c r="A1475" s="56"/>
      <c r="B1475" s="286" t="s">
        <v>118</v>
      </c>
      <c r="C1475" s="286"/>
      <c r="D1475" s="286"/>
      <c r="E1475" s="286"/>
      <c r="F1475" s="286"/>
      <c r="G1475" s="286"/>
      <c r="H1475" s="286"/>
      <c r="I1475" s="286"/>
      <c r="J1475" s="286"/>
      <c r="K1475" s="286"/>
      <c r="L1475" s="73"/>
      <c r="M1475" s="57"/>
      <c r="N1475" s="100"/>
      <c r="O1475" s="101" t="s">
        <v>74</v>
      </c>
      <c r="P1475" s="101"/>
      <c r="Q1475" s="101"/>
      <c r="R1475" s="101" t="str">
        <f>IF(Q1475="","",R1474-Q1475)</f>
        <v/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261"/>
        <v/>
      </c>
      <c r="X1475" s="103"/>
      <c r="Y1475" s="177" t="str">
        <f t="shared" si="262"/>
        <v/>
      </c>
      <c r="Z1475" s="106"/>
    </row>
    <row r="1476" spans="1:26" s="55" customFormat="1" ht="21" customHeight="1" x14ac:dyDescent="0.25">
      <c r="A1476" s="56"/>
      <c r="B1476" s="286"/>
      <c r="C1476" s="286"/>
      <c r="D1476" s="286"/>
      <c r="E1476" s="286"/>
      <c r="F1476" s="286"/>
      <c r="G1476" s="286"/>
      <c r="H1476" s="286"/>
      <c r="I1476" s="286"/>
      <c r="J1476" s="286"/>
      <c r="K1476" s="286"/>
      <c r="L1476" s="73"/>
      <c r="M1476" s="57"/>
      <c r="N1476" s="100"/>
      <c r="O1476" s="101" t="s">
        <v>75</v>
      </c>
      <c r="P1476" s="101"/>
      <c r="Q1476" s="101"/>
      <c r="R1476" s="101">
        <v>0</v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261"/>
        <v/>
      </c>
      <c r="X1476" s="103"/>
      <c r="Y1476" s="177" t="str">
        <f t="shared" si="26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35" t="s">
        <v>160</v>
      </c>
      <c r="D5" s="335"/>
      <c r="E5" s="335"/>
      <c r="F5" s="335"/>
    </row>
    <row r="6" spans="3:6" x14ac:dyDescent="0.25">
      <c r="C6" s="213" t="s">
        <v>161</v>
      </c>
      <c r="D6" s="214" t="s">
        <v>170</v>
      </c>
      <c r="E6" s="214" t="s">
        <v>171</v>
      </c>
      <c r="F6" s="213" t="s">
        <v>172</v>
      </c>
    </row>
    <row r="7" spans="3:6" x14ac:dyDescent="0.25">
      <c r="C7" s="215" t="s">
        <v>162</v>
      </c>
      <c r="D7" s="210">
        <f>'[1]Salary Sheets'!$Q$4+'[1]Salary Sheets'!$Q$5</f>
        <v>100000</v>
      </c>
      <c r="E7" s="210">
        <f>'Salary Sheets'!Q4+'Salary Sheets'!Q5</f>
        <v>100000</v>
      </c>
      <c r="F7" s="212"/>
    </row>
    <row r="8" spans="3:6" x14ac:dyDescent="0.25">
      <c r="C8" s="215" t="s">
        <v>51</v>
      </c>
      <c r="D8" s="210">
        <f>'[1]Salary Sheets'!$Q$11</f>
        <v>30000</v>
      </c>
      <c r="E8" s="210">
        <f>'Salary Sheets'!Q11</f>
        <v>30000</v>
      </c>
      <c r="F8" s="212"/>
    </row>
    <row r="9" spans="3:6" x14ac:dyDescent="0.25">
      <c r="C9" s="215" t="s">
        <v>49</v>
      </c>
      <c r="D9" s="210">
        <f>'[1]Salary Sheets'!$Q$20</f>
        <v>114066.99999999999</v>
      </c>
      <c r="E9" s="210">
        <f>'Salary Sheets'!Q18</f>
        <v>84181.451612903227</v>
      </c>
      <c r="F9" s="212"/>
    </row>
    <row r="10" spans="3:6" x14ac:dyDescent="0.25">
      <c r="C10" s="215" t="s">
        <v>163</v>
      </c>
      <c r="D10" s="210">
        <f>'[1]Salary Sheets'!$Q$29</f>
        <v>163929.64583333334</v>
      </c>
      <c r="E10" s="210">
        <f>'Salary Sheets'!Q27</f>
        <v>133486.29032258064</v>
      </c>
      <c r="F10" s="212"/>
    </row>
    <row r="11" spans="3:6" x14ac:dyDescent="0.25">
      <c r="C11" s="215" t="s">
        <v>164</v>
      </c>
      <c r="D11" s="210">
        <f>'[1]Salary Sheets'!$Q$39</f>
        <v>208551.83333333334</v>
      </c>
      <c r="E11" s="210">
        <f>'Salary Sheets'!Q36</f>
        <v>142197.5806451613</v>
      </c>
      <c r="F11" s="212"/>
    </row>
    <row r="12" spans="3:6" x14ac:dyDescent="0.25">
      <c r="C12" s="215" t="s">
        <v>50</v>
      </c>
      <c r="D12" s="210">
        <f>'[1]Salary Sheets'!$Q$55</f>
        <v>241110.16666666669</v>
      </c>
      <c r="E12" s="210">
        <f>'Salary Sheets'!Q54</f>
        <v>321949.90322580643</v>
      </c>
      <c r="F12" s="212"/>
    </row>
    <row r="13" spans="3:6" x14ac:dyDescent="0.25">
      <c r="C13" s="215" t="s">
        <v>165</v>
      </c>
      <c r="D13" s="210">
        <f>'[1]Salary Sheets'!$Q$63</f>
        <v>86643.333333333328</v>
      </c>
      <c r="E13" s="210">
        <f>'Salary Sheets'!Q63</f>
        <v>113572.05645161291</v>
      </c>
      <c r="F13" s="212"/>
    </row>
    <row r="14" spans="3:6" x14ac:dyDescent="0.25">
      <c r="C14" s="215" t="s">
        <v>166</v>
      </c>
      <c r="D14" s="210">
        <f>'[1]Salary Sheets'!$Q$70</f>
        <v>90014.916666666672</v>
      </c>
      <c r="E14" s="210" t="e">
        <f>'Salary Sheets'!#REF!</f>
        <v>#REF!</v>
      </c>
      <c r="F14" s="212"/>
    </row>
    <row r="15" spans="3:6" x14ac:dyDescent="0.25">
      <c r="C15" s="215" t="s">
        <v>167</v>
      </c>
      <c r="D15" s="210">
        <f>'[1]Salary Sheets'!$Q$79</f>
        <v>98866.583333333343</v>
      </c>
      <c r="E15" s="210">
        <f>'Salary Sheets'!Q71</f>
        <v>107599.51612903224</v>
      </c>
      <c r="F15" s="212"/>
    </row>
    <row r="16" spans="3:6" x14ac:dyDescent="0.25">
      <c r="C16" s="215" t="s">
        <v>168</v>
      </c>
      <c r="D16" s="210">
        <f>'[1]Salary Sheets'!$Q$90</f>
        <v>168335.54166666669</v>
      </c>
      <c r="E16" s="210">
        <f>'Salary Sheets'!Q87</f>
        <v>258790.56451612906</v>
      </c>
      <c r="F16" s="212"/>
    </row>
    <row r="17" spans="3:6" x14ac:dyDescent="0.25">
      <c r="C17" s="215" t="s">
        <v>169</v>
      </c>
      <c r="D17" s="210">
        <f>'[1]Salary Sheets'!$Q$107</f>
        <v>193967.41071428571</v>
      </c>
      <c r="E17" s="210">
        <f>'Salary Sheets'!Q105</f>
        <v>217650.67540322582</v>
      </c>
      <c r="F17" s="212"/>
    </row>
    <row r="18" spans="3:6" ht="15.6" x14ac:dyDescent="0.3">
      <c r="C18" s="217" t="s">
        <v>173</v>
      </c>
      <c r="D18" s="14">
        <f>SUM(D7:D17)</f>
        <v>1495486.4315476192</v>
      </c>
      <c r="E18" s="14" t="e">
        <f>SUM(E7:E17)</f>
        <v>#REF!</v>
      </c>
      <c r="F18" s="216" t="e">
        <f>E18-D18</f>
        <v>#REF!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2019-05-31T10:07:32Z</cp:lastPrinted>
  <dcterms:created xsi:type="dcterms:W3CDTF">2007-01-04T05:01:09Z</dcterms:created>
  <dcterms:modified xsi:type="dcterms:W3CDTF">2019-06-03T12:14:39Z</dcterms:modified>
</cp:coreProperties>
</file>