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Sheets'!$A$3:$Z$107</definedName>
    <definedName name="_xlnm.Print_Area" localSheetId="1">'Salary Record'!$A$1237:$L$1299</definedName>
    <definedName name="_xlnm.Print_Area" localSheetId="0">'Salary Sheets'!$A$1:$Q$121</definedName>
    <definedName name="_xlnm.Print_Area" localSheetId="2">'Shahbaz Salaries'!$A$2:$G$12</definedName>
    <definedName name="_xlnm.Print_Titles" localSheetId="0">'Salary Sheets'!$3:$3</definedName>
  </definedNames>
  <calcPr calcId="162913"/>
  <fileRecoveryPr autoRecover="0"/>
</workbook>
</file>

<file path=xl/calcChain.xml><?xml version="1.0" encoding="utf-8"?>
<calcChain xmlns="http://schemas.openxmlformats.org/spreadsheetml/2006/main">
  <c r="K614" i="8" l="1"/>
  <c r="I609" i="8"/>
  <c r="R614" i="8"/>
  <c r="R613" i="8"/>
  <c r="V632" i="8" l="1"/>
  <c r="J121" i="1" l="1"/>
  <c r="R1035" i="8" l="1"/>
  <c r="F8" i="10" l="1"/>
  <c r="E8" i="10"/>
  <c r="G8" i="10" s="1"/>
  <c r="F7" i="10"/>
  <c r="E7" i="10"/>
  <c r="G7" i="10" s="1"/>
  <c r="E6" i="10"/>
  <c r="G6" i="10" s="1"/>
  <c r="G9" i="10" s="1"/>
  <c r="V490" i="8" l="1"/>
  <c r="V380" i="8"/>
  <c r="V458" i="8"/>
  <c r="V365" i="8"/>
  <c r="K376" i="8" l="1"/>
  <c r="R1034" i="8" l="1"/>
  <c r="X488" i="8" l="1"/>
  <c r="V613" i="8" l="1"/>
  <c r="V631" i="8" l="1"/>
  <c r="V224" i="8" l="1"/>
  <c r="V489" i="8" l="1"/>
  <c r="I121" i="1" l="1"/>
  <c r="K1338" i="8" l="1"/>
  <c r="K580" i="8" l="1"/>
  <c r="R924" i="8"/>
  <c r="R925" i="8" s="1"/>
  <c r="V457" i="8" l="1"/>
  <c r="V394" i="8"/>
  <c r="V286" i="8"/>
  <c r="V364" i="8"/>
  <c r="U536" i="8" l="1"/>
  <c r="V363" i="8" l="1"/>
  <c r="H121" i="1" l="1"/>
  <c r="V440" i="8" l="1"/>
  <c r="V488" i="8" l="1"/>
  <c r="R891" i="8" l="1"/>
  <c r="R892" i="8" s="1"/>
  <c r="R893" i="8" s="1"/>
  <c r="R1277" i="8" l="1"/>
  <c r="R1278" i="8" s="1"/>
  <c r="R1279" i="8" s="1"/>
  <c r="R1280" i="8" s="1"/>
  <c r="G121" i="1" l="1"/>
  <c r="X127" i="8" l="1"/>
  <c r="P269" i="8" l="1"/>
  <c r="R938" i="8" l="1"/>
  <c r="R939" i="8" s="1"/>
  <c r="R940" i="8" s="1"/>
  <c r="R941" i="8" s="1"/>
  <c r="V439" i="8" l="1"/>
  <c r="V222" i="8"/>
  <c r="V471" i="8" l="1"/>
  <c r="V392" i="8"/>
  <c r="V487" i="8"/>
  <c r="V362" i="8"/>
  <c r="V284" i="8"/>
  <c r="V1467" i="8" l="1"/>
  <c r="X776" i="8"/>
  <c r="W173" i="8" l="1"/>
  <c r="V906" i="8" l="1"/>
  <c r="R678" i="8" l="1"/>
  <c r="R679" i="8" s="1"/>
  <c r="R680" i="8" s="1"/>
  <c r="R681" i="8" s="1"/>
  <c r="K454" i="8" l="1"/>
  <c r="F121" i="1" l="1"/>
  <c r="V283" i="8" l="1"/>
  <c r="B59" i="1" l="1"/>
  <c r="R1465" i="8" l="1"/>
  <c r="R1466" i="8" s="1"/>
  <c r="R1467" i="8" s="1"/>
  <c r="R1468" i="8" s="1"/>
  <c r="V220" i="8" l="1"/>
  <c r="B82" i="1" l="1"/>
  <c r="E121" i="1" l="1"/>
  <c r="L59" i="11" l="1"/>
  <c r="I49" i="11"/>
  <c r="I52" i="11" s="1"/>
  <c r="I57" i="11" s="1"/>
  <c r="I41" i="11"/>
  <c r="O41" i="11" s="1"/>
  <c r="P41" i="11" s="1"/>
  <c r="I40" i="11"/>
  <c r="O40" i="11" s="1"/>
  <c r="P40" i="11" s="1"/>
  <c r="P39" i="11"/>
  <c r="R39" i="11" s="1"/>
  <c r="Q38" i="11"/>
  <c r="I38" i="11"/>
  <c r="O38" i="11" s="1"/>
  <c r="P38" i="11" s="1"/>
  <c r="R38" i="11" s="1"/>
  <c r="S50" i="11" s="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P19" i="11"/>
  <c r="Q40" i="11" s="1"/>
  <c r="P18" i="11"/>
  <c r="R25" i="11" s="1"/>
  <c r="P17" i="11"/>
  <c r="T19" i="11" s="1"/>
  <c r="V22" i="11" s="1"/>
  <c r="P16" i="11"/>
  <c r="P9" i="11"/>
  <c r="P8" i="11"/>
  <c r="P7" i="11"/>
  <c r="P6" i="11"/>
  <c r="Q6" i="11" s="1"/>
  <c r="Q8" i="11" s="1"/>
  <c r="P5" i="11"/>
  <c r="P4" i="11"/>
  <c r="P3" i="11"/>
  <c r="T23" i="11" l="1"/>
  <c r="P10" i="11"/>
  <c r="S10" i="11"/>
  <c r="Q41" i="11"/>
  <c r="R40" i="11"/>
  <c r="P23" i="11"/>
  <c r="Q37" i="11"/>
  <c r="R41" i="11"/>
  <c r="O44" i="11"/>
  <c r="P37" i="11"/>
  <c r="R37" i="11" l="1"/>
  <c r="R44" i="11" s="1"/>
  <c r="P44" i="11"/>
  <c r="G1244" i="8"/>
  <c r="K590" i="8" l="1"/>
  <c r="C121" i="1" l="1"/>
  <c r="K1413" i="8" l="1"/>
  <c r="K1302" i="8"/>
  <c r="I44" i="8" l="1"/>
  <c r="I155" i="8"/>
  <c r="R18" i="1" l="1"/>
  <c r="R11" i="1"/>
  <c r="R68" i="1"/>
  <c r="R54" i="1"/>
  <c r="K1227" i="8"/>
  <c r="V821" i="8" l="1"/>
  <c r="R821" i="8" l="1"/>
  <c r="R822" i="8" s="1"/>
  <c r="E20" i="10" l="1"/>
  <c r="F21" i="10"/>
  <c r="F22" i="10"/>
  <c r="E22" i="10"/>
  <c r="G22" i="10" s="1"/>
  <c r="E21" i="10"/>
  <c r="F20" i="10"/>
  <c r="G21" i="10" l="1"/>
  <c r="G20" i="10"/>
  <c r="G23" i="10" s="1"/>
  <c r="R264" i="8"/>
  <c r="R265" i="8" s="1"/>
  <c r="R266" i="8" s="1"/>
  <c r="B50" i="1"/>
  <c r="R1398" i="8" l="1"/>
  <c r="R1399" i="8" s="1"/>
  <c r="V1191" i="8" l="1"/>
  <c r="V279" i="8"/>
  <c r="V673" i="8"/>
  <c r="K278" i="8" l="1"/>
  <c r="V481" i="8" l="1"/>
  <c r="R868" i="8" l="1"/>
  <c r="R869" i="8" s="1"/>
  <c r="R870" i="8" s="1"/>
  <c r="R871" i="8" s="1"/>
  <c r="R872" i="8" s="1"/>
  <c r="R873" i="8" s="1"/>
  <c r="R874" i="8" s="1"/>
  <c r="R875" i="8" s="1"/>
  <c r="R325" i="8"/>
  <c r="R200" i="8" l="1"/>
  <c r="R1123" i="8"/>
  <c r="R1026" i="8"/>
  <c r="R1349" i="8"/>
  <c r="R1350" i="8" s="1"/>
  <c r="R481" i="8"/>
  <c r="R482" i="8" s="1"/>
  <c r="R483" i="8" s="1"/>
  <c r="R484" i="8" s="1"/>
  <c r="R433" i="8"/>
  <c r="R434" i="8" s="1"/>
  <c r="R435" i="8" s="1"/>
  <c r="R436" i="8" s="1"/>
  <c r="R437" i="8" s="1"/>
  <c r="R438" i="8" s="1"/>
  <c r="R340" i="8"/>
  <c r="R371" i="8"/>
  <c r="R372" i="8" s="1"/>
  <c r="R373" i="8" s="1"/>
  <c r="R386" i="8"/>
  <c r="R387" i="8" s="1"/>
  <c r="R388" i="8" s="1"/>
  <c r="R232" i="8"/>
  <c r="C28" i="10" l="1"/>
  <c r="P263" i="8"/>
  <c r="F30" i="10" l="1"/>
  <c r="E30" i="10"/>
  <c r="F29" i="10"/>
  <c r="E29" i="10"/>
  <c r="G29" i="10" s="1"/>
  <c r="F28" i="10"/>
  <c r="E28" i="10"/>
  <c r="G28" i="10" l="1"/>
  <c r="G30" i="10"/>
  <c r="G31" i="10" s="1"/>
  <c r="G33" i="10" s="1"/>
  <c r="W1461" i="8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U1466" i="8" s="1"/>
  <c r="W1466" i="8" s="1"/>
  <c r="Y1466" i="8" s="1"/>
  <c r="U1467" i="8" s="1"/>
  <c r="W1467" i="8" s="1"/>
  <c r="Y1467" i="8" s="1"/>
  <c r="U1468" i="8" s="1"/>
  <c r="W1468" i="8" s="1"/>
  <c r="Y1468" i="8" s="1"/>
  <c r="U1469" i="8" s="1"/>
  <c r="W1429" i="8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U1434" i="8" s="1"/>
  <c r="W1434" i="8" s="1"/>
  <c r="Y1434" i="8" s="1"/>
  <c r="U1435" i="8" s="1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W1365" i="8"/>
  <c r="Y1365" i="8" s="1"/>
  <c r="U1366" i="8" s="1"/>
  <c r="W1366" i="8" s="1"/>
  <c r="Y1366" i="8" s="1"/>
  <c r="U1367" i="8" s="1"/>
  <c r="W1367" i="8" s="1"/>
  <c r="Y1367" i="8" s="1"/>
  <c r="U1368" i="8" s="1"/>
  <c r="W1368" i="8" s="1"/>
  <c r="Y1368" i="8" s="1"/>
  <c r="U1369" i="8" s="1"/>
  <c r="W1369" i="8" s="1"/>
  <c r="Y1369" i="8" s="1"/>
  <c r="U1370" i="8" s="1"/>
  <c r="W1370" i="8" s="1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W1349" i="8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W1302" i="8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U1307" i="8" s="1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U1313" i="8" s="1"/>
  <c r="W1313" i="8" s="1"/>
  <c r="Y1313" i="8" s="1"/>
  <c r="W1271" i="8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U1275" i="8" s="1"/>
  <c r="W1275" i="8" s="1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U1280" i="8" s="1"/>
  <c r="W1280" i="8" s="1"/>
  <c r="Y1280" i="8" s="1"/>
  <c r="U1281" i="8" s="1"/>
  <c r="W1281" i="8" s="1"/>
  <c r="Y1281" i="8" s="1"/>
  <c r="U1282" i="8" s="1"/>
  <c r="W1282" i="8" s="1"/>
  <c r="Y1282" i="8" s="1"/>
  <c r="W1239" i="8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43" i="8" s="1"/>
  <c r="W1243" i="8" s="1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W433" i="8"/>
  <c r="Y433" i="8" s="1"/>
  <c r="U434" i="8" s="1"/>
  <c r="W434" i="8" s="1"/>
  <c r="Y434" i="8" s="1"/>
  <c r="U435" i="8" s="1"/>
  <c r="W435" i="8" s="1"/>
  <c r="Y435" i="8" s="1"/>
  <c r="U436" i="8" s="1"/>
  <c r="W436" i="8" s="1"/>
  <c r="Y436" i="8" s="1"/>
  <c r="U437" i="8" s="1"/>
  <c r="W437" i="8" s="1"/>
  <c r="Y437" i="8" s="1"/>
  <c r="U438" i="8" s="1"/>
  <c r="W438" i="8" s="1"/>
  <c r="Y438" i="8" s="1"/>
  <c r="U439" i="8" s="1"/>
  <c r="W439" i="8" s="1"/>
  <c r="Y439" i="8" s="1"/>
  <c r="U440" i="8" s="1"/>
  <c r="W440" i="8" s="1"/>
  <c r="Y440" i="8" s="1"/>
  <c r="U441" i="8" s="1"/>
  <c r="W441" i="8" s="1"/>
  <c r="Y441" i="8" s="1"/>
  <c r="U442" i="8" s="1"/>
  <c r="W442" i="8" s="1"/>
  <c r="Y442" i="8" s="1"/>
  <c r="U443" i="8" s="1"/>
  <c r="W443" i="8" s="1"/>
  <c r="Y443" i="8" s="1"/>
  <c r="U444" i="8" s="1"/>
  <c r="W444" i="8" s="1"/>
  <c r="Y444" i="8" s="1"/>
  <c r="W1222" i="8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U1227" i="8" s="1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W1206" i="8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W1190" i="8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U1199" i="8" s="1"/>
  <c r="W1199" i="8" s="1"/>
  <c r="Y1199" i="8" s="1"/>
  <c r="U1200" i="8" s="1"/>
  <c r="W1200" i="8" s="1"/>
  <c r="Y1200" i="8" s="1"/>
  <c r="U1201" i="8" s="1"/>
  <c r="W1201" i="8" s="1"/>
  <c r="Y1201" i="8" s="1"/>
  <c r="W672" i="8"/>
  <c r="Y672" i="8" s="1"/>
  <c r="U673" i="8" s="1"/>
  <c r="W673" i="8" s="1"/>
  <c r="Y673" i="8" s="1"/>
  <c r="U674" i="8" s="1"/>
  <c r="W674" i="8" s="1"/>
  <c r="Y674" i="8" s="1"/>
  <c r="U675" i="8" s="1"/>
  <c r="W675" i="8" s="1"/>
  <c r="Y675" i="8" s="1"/>
  <c r="U676" i="8" s="1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W449" i="8"/>
  <c r="Y449" i="8" s="1"/>
  <c r="U450" i="8" s="1"/>
  <c r="W450" i="8" s="1"/>
  <c r="Y450" i="8" s="1"/>
  <c r="U451" i="8" s="1"/>
  <c r="W451" i="8" s="1"/>
  <c r="Y451" i="8" s="1"/>
  <c r="U452" i="8" s="1"/>
  <c r="W452" i="8" s="1"/>
  <c r="Y452" i="8" s="1"/>
  <c r="U453" i="8" s="1"/>
  <c r="W453" i="8" s="1"/>
  <c r="Y453" i="8" s="1"/>
  <c r="U454" i="8" s="1"/>
  <c r="W454" i="8" s="1"/>
  <c r="Y454" i="8" s="1"/>
  <c r="U455" i="8" s="1"/>
  <c r="W455" i="8" s="1"/>
  <c r="Y455" i="8" s="1"/>
  <c r="U456" i="8" s="1"/>
  <c r="W456" i="8" s="1"/>
  <c r="Y456" i="8" s="1"/>
  <c r="U457" i="8" s="1"/>
  <c r="W457" i="8" s="1"/>
  <c r="Y457" i="8" s="1"/>
  <c r="U458" i="8" s="1"/>
  <c r="W458" i="8" s="1"/>
  <c r="Y458" i="8" s="1"/>
  <c r="U459" i="8" s="1"/>
  <c r="W459" i="8" s="1"/>
  <c r="Y459" i="8" s="1"/>
  <c r="U460" i="8" s="1"/>
  <c r="W460" i="8" s="1"/>
  <c r="Y460" i="8" s="1"/>
  <c r="W371" i="8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75" i="8" s="1"/>
  <c r="Y375" i="8" s="1"/>
  <c r="U376" i="8" s="1"/>
  <c r="W376" i="8" s="1"/>
  <c r="Y376" i="8" s="1"/>
  <c r="U377" i="8" s="1"/>
  <c r="W377" i="8" s="1"/>
  <c r="Y377" i="8" s="1"/>
  <c r="U378" i="8" s="1"/>
  <c r="W378" i="8" s="1"/>
  <c r="Y378" i="8" s="1"/>
  <c r="U379" i="8" s="1"/>
  <c r="W379" i="8" s="1"/>
  <c r="Y379" i="8" s="1"/>
  <c r="U380" i="8" s="1"/>
  <c r="W380" i="8" s="1"/>
  <c r="Y380" i="8" s="1"/>
  <c r="U381" i="8" s="1"/>
  <c r="W381" i="8" s="1"/>
  <c r="Y381" i="8" s="1"/>
  <c r="U382" i="8" s="1"/>
  <c r="W382" i="8" s="1"/>
  <c r="Y382" i="8" s="1"/>
  <c r="W884" i="8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W590" i="8"/>
  <c r="Y590" i="8" s="1"/>
  <c r="U591" i="8" s="1"/>
  <c r="W591" i="8" s="1"/>
  <c r="Y591" i="8" s="1"/>
  <c r="U592" i="8" s="1"/>
  <c r="W592" i="8" s="1"/>
  <c r="Y592" i="8" s="1"/>
  <c r="U593" i="8" s="1"/>
  <c r="W593" i="8" s="1"/>
  <c r="Y593" i="8" s="1"/>
  <c r="U594" i="8" s="1"/>
  <c r="W594" i="8" s="1"/>
  <c r="Y594" i="8" s="1"/>
  <c r="U595" i="8" s="1"/>
  <c r="W595" i="8" s="1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W1123" i="8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W1287" i="8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W868" i="8"/>
  <c r="Y868" i="8" s="1"/>
  <c r="U869" i="8" s="1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325" i="8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U329" i="8" s="1"/>
  <c r="W329" i="8" s="1"/>
  <c r="Y329" i="8" s="1"/>
  <c r="U330" i="8" s="1"/>
  <c r="W330" i="8" s="1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U336" i="8" s="1"/>
  <c r="W336" i="8" s="1"/>
  <c r="Y336" i="8" s="1"/>
  <c r="W1058" i="8"/>
  <c r="Y1058" i="8" s="1"/>
  <c r="U1059" i="8" s="1"/>
  <c r="W1059" i="8" s="1"/>
  <c r="Y1059" i="8" s="1"/>
  <c r="U1060" i="8" s="1"/>
  <c r="W1060" i="8" s="1"/>
  <c r="Y1060" i="8" s="1"/>
  <c r="U1061" i="8" s="1"/>
  <c r="W1061" i="8" s="1"/>
  <c r="Y1061" i="8" s="1"/>
  <c r="U1062" i="8" s="1"/>
  <c r="W1062" i="8" s="1"/>
  <c r="Y1062" i="8" s="1"/>
  <c r="U1063" i="8" s="1"/>
  <c r="W1063" i="8" s="1"/>
  <c r="Y1063" i="8" s="1"/>
  <c r="U1064" i="8" s="1"/>
  <c r="W1064" i="8" s="1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W1042" i="8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U1046" i="8" s="1"/>
  <c r="W1046" i="8" s="1"/>
  <c r="Y1046" i="8" s="1"/>
  <c r="U1047" i="8" s="1"/>
  <c r="W1047" i="8" s="1"/>
  <c r="Y1047" i="8" s="1"/>
  <c r="U1048" i="8" s="1"/>
  <c r="W1048" i="8" s="1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W1026" i="8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W1010" i="8"/>
  <c r="Y1010" i="8" s="1"/>
  <c r="U1011" i="8" s="1"/>
  <c r="W1011" i="8" s="1"/>
  <c r="Y1011" i="8" s="1"/>
  <c r="U1012" i="8" s="1"/>
  <c r="W1012" i="8" s="1"/>
  <c r="Y1012" i="8" s="1"/>
  <c r="U1013" i="8" s="1"/>
  <c r="W1013" i="8" s="1"/>
  <c r="Y1013" i="8" s="1"/>
  <c r="U1014" i="8" s="1"/>
  <c r="W1014" i="8" s="1"/>
  <c r="Y1014" i="8" s="1"/>
  <c r="U1015" i="8" s="1"/>
  <c r="W1015" i="8" s="1"/>
  <c r="Y1015" i="8" s="1"/>
  <c r="U1016" i="8" s="1"/>
  <c r="W1016" i="8" s="1"/>
  <c r="Y1016" i="8" s="1"/>
  <c r="U1017" i="8" s="1"/>
  <c r="W1017" i="8" s="1"/>
  <c r="Y1017" i="8" s="1"/>
  <c r="U1018" i="8" s="1"/>
  <c r="W1018" i="8" s="1"/>
  <c r="Y1018" i="8" s="1"/>
  <c r="U1019" i="8" s="1"/>
  <c r="W1019" i="8" s="1"/>
  <c r="Y1019" i="8" s="1"/>
  <c r="U1020" i="8" s="1"/>
  <c r="W1020" i="8" s="1"/>
  <c r="Y1020" i="8" s="1"/>
  <c r="U1021" i="8" s="1"/>
  <c r="W1021" i="8" s="1"/>
  <c r="Y1021" i="8" s="1"/>
  <c r="W979" i="8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Y990" i="8" s="1"/>
  <c r="W1413" i="8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U1418" i="8" s="1"/>
  <c r="W1418" i="8" s="1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W836" i="8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20" i="8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901" i="8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W803" i="8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W771" i="8"/>
  <c r="Y771" i="8" s="1"/>
  <c r="U772" i="8" s="1"/>
  <c r="W772" i="8" s="1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W755" i="8"/>
  <c r="Y755" i="8" s="1"/>
  <c r="U756" i="8" s="1"/>
  <c r="W756" i="8" s="1"/>
  <c r="Y756" i="8" s="1"/>
  <c r="U757" i="8" s="1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W263" i="8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U269" i="8" s="1"/>
  <c r="W269" i="8" s="1"/>
  <c r="Y269" i="8" s="1"/>
  <c r="U270" i="8" s="1"/>
  <c r="W270" i="8" s="1"/>
  <c r="Y270" i="8" s="1"/>
  <c r="U271" i="8" s="1"/>
  <c r="W271" i="8" s="1"/>
  <c r="Y271" i="8" s="1"/>
  <c r="U272" i="8" s="1"/>
  <c r="W272" i="8" s="1"/>
  <c r="Y272" i="8" s="1"/>
  <c r="U273" i="8" s="1"/>
  <c r="W273" i="8" s="1"/>
  <c r="Y273" i="8" s="1"/>
  <c r="U274" i="8" s="1"/>
  <c r="W274" i="8" s="1"/>
  <c r="Y274" i="8" s="1"/>
  <c r="W720" i="8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695" i="8" s="1"/>
  <c r="Y695" i="8" s="1"/>
  <c r="U696" i="8" s="1"/>
  <c r="W696" i="8" s="1"/>
  <c r="Y696" i="8" s="1"/>
  <c r="U697" i="8" s="1"/>
  <c r="W697" i="8" s="1"/>
  <c r="Y697" i="8" s="1"/>
  <c r="U698" i="8" s="1"/>
  <c r="W698" i="8" s="1"/>
  <c r="Y698" i="8" s="1"/>
  <c r="U699" i="8" s="1"/>
  <c r="W699" i="8" s="1"/>
  <c r="Y699" i="8" s="1"/>
  <c r="W656" i="8"/>
  <c r="Y656" i="8" s="1"/>
  <c r="U657" i="8" s="1"/>
  <c r="W657" i="8" s="1"/>
  <c r="Y657" i="8" s="1"/>
  <c r="U658" i="8" s="1"/>
  <c r="W658" i="8" s="1"/>
  <c r="Y658" i="8" s="1"/>
  <c r="U659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W640" i="8"/>
  <c r="Y640" i="8" s="1"/>
  <c r="U641" i="8" s="1"/>
  <c r="W641" i="8" s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W916" i="8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U921" i="8" s="1"/>
  <c r="W921" i="8" s="1"/>
  <c r="Y921" i="8" s="1"/>
  <c r="U922" i="8" s="1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W623" i="8"/>
  <c r="Y623" i="8" s="1"/>
  <c r="U624" i="8" s="1"/>
  <c r="W624" i="8" s="1"/>
  <c r="Y624" i="8" s="1"/>
  <c r="U625" i="8" s="1"/>
  <c r="W625" i="8" s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W513" i="8"/>
  <c r="Y513" i="8" s="1"/>
  <c r="U514" i="8" s="1"/>
  <c r="W514" i="8" s="1"/>
  <c r="Y514" i="8" s="1"/>
  <c r="U515" i="8" s="1"/>
  <c r="W515" i="8" s="1"/>
  <c r="Y515" i="8" s="1"/>
  <c r="U516" i="8" s="1"/>
  <c r="W516" i="8" s="1"/>
  <c r="Y516" i="8" s="1"/>
  <c r="U517" i="8" s="1"/>
  <c r="W517" i="8" s="1"/>
  <c r="Y517" i="8" s="1"/>
  <c r="U518" i="8" s="1"/>
  <c r="W518" i="8" s="1"/>
  <c r="Y518" i="8" s="1"/>
  <c r="U519" i="8" s="1"/>
  <c r="W519" i="8" s="1"/>
  <c r="Y519" i="8" s="1"/>
  <c r="U520" i="8" s="1"/>
  <c r="W520" i="8" s="1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W1469" i="8" l="1"/>
  <c r="Y1469" i="8" s="1"/>
  <c r="U1470" i="8" s="1"/>
  <c r="W1470" i="8" s="1"/>
  <c r="Y1470" i="8" s="1"/>
  <c r="U1471" i="8" s="1"/>
  <c r="W1471" i="8" s="1"/>
  <c r="Y1471" i="8" s="1"/>
  <c r="U1472" i="8" s="1"/>
  <c r="W1472" i="8" s="1"/>
  <c r="Y1472" i="8" s="1"/>
  <c r="D121" i="1"/>
  <c r="E38" i="10" l="1"/>
  <c r="F40" i="10"/>
  <c r="E40" i="10"/>
  <c r="G40" i="10" s="1"/>
  <c r="F39" i="10"/>
  <c r="E39" i="10"/>
  <c r="F38" i="10"/>
  <c r="G38" i="10" l="1"/>
  <c r="G41" i="10" s="1"/>
  <c r="G43" i="10" s="1"/>
  <c r="I42" i="10"/>
  <c r="G39" i="10"/>
  <c r="F47" i="10" l="1"/>
  <c r="G53" i="10" l="1"/>
  <c r="F51" i="10"/>
  <c r="E51" i="10"/>
  <c r="F50" i="10"/>
  <c r="E50" i="10"/>
  <c r="F49" i="10"/>
  <c r="E49" i="10"/>
  <c r="F48" i="10"/>
  <c r="E48" i="10"/>
  <c r="E47" i="10"/>
  <c r="G47" i="10" s="1"/>
  <c r="G48" i="10" l="1"/>
  <c r="G50" i="10"/>
  <c r="G51" i="10"/>
  <c r="G52" i="10" s="1"/>
  <c r="G54" i="10" s="1"/>
  <c r="I53" i="10"/>
  <c r="G49" i="10"/>
  <c r="H101" i="1" l="1"/>
  <c r="E101" i="1"/>
  <c r="B101" i="1"/>
  <c r="B74" i="1" l="1"/>
  <c r="E74" i="1"/>
  <c r="H74" i="1"/>
  <c r="E88" i="10" l="1"/>
  <c r="G88" i="10" s="1"/>
  <c r="E84" i="10"/>
  <c r="G84" i="10" s="1"/>
  <c r="E81" i="10"/>
  <c r="G81" i="10" s="1"/>
  <c r="F75" i="10"/>
  <c r="E75" i="10"/>
  <c r="F74" i="10"/>
  <c r="E74" i="10"/>
  <c r="F73" i="10"/>
  <c r="E73" i="10"/>
  <c r="F72" i="10"/>
  <c r="E72" i="10"/>
  <c r="E71" i="10"/>
  <c r="G71" i="10" s="1"/>
  <c r="G64" i="10"/>
  <c r="F62" i="10"/>
  <c r="E62" i="10"/>
  <c r="F61" i="10"/>
  <c r="E61" i="10"/>
  <c r="F60" i="10"/>
  <c r="E60" i="10"/>
  <c r="F59" i="10"/>
  <c r="G59" i="10" s="1"/>
  <c r="E59" i="10"/>
  <c r="F58" i="10"/>
  <c r="E58" i="10"/>
  <c r="G58" i="10" l="1"/>
  <c r="G60" i="10"/>
  <c r="G62" i="10"/>
  <c r="K78" i="10"/>
  <c r="K79" i="10" s="1"/>
  <c r="G74" i="10"/>
  <c r="G61" i="10"/>
  <c r="G63" i="10" s="1"/>
  <c r="G65" i="10" s="1"/>
  <c r="G73" i="10"/>
  <c r="G75" i="10"/>
  <c r="G93" i="10"/>
  <c r="I64" i="10"/>
  <c r="G72" i="10"/>
  <c r="G76" i="10" l="1"/>
  <c r="G78" i="10" s="1"/>
  <c r="R209" i="8"/>
  <c r="R210" i="8" s="1"/>
  <c r="R211" i="8" s="1"/>
  <c r="K661" i="8" l="1"/>
  <c r="B92" i="1" l="1"/>
  <c r="W425" i="8" l="1"/>
  <c r="K121" i="8" l="1"/>
  <c r="R828" i="8" l="1"/>
  <c r="R829" i="8" s="1"/>
  <c r="R830" i="8" s="1"/>
  <c r="R831" i="8" s="1"/>
  <c r="W151" i="8" l="1"/>
  <c r="Y151" i="8" s="1"/>
  <c r="U152" i="8" s="1"/>
  <c r="R439" i="8" l="1"/>
  <c r="R440" i="8" s="1"/>
  <c r="R441" i="8" s="1"/>
  <c r="R442" i="8" s="1"/>
  <c r="W548" i="8" l="1"/>
  <c r="W423" i="8" l="1"/>
  <c r="K268" i="8" l="1"/>
  <c r="R692" i="8" l="1"/>
  <c r="W204" i="8" l="1"/>
  <c r="R403" i="8"/>
  <c r="K640" i="8" l="1"/>
  <c r="K1190" i="8" l="1"/>
  <c r="K325" i="8" l="1"/>
  <c r="M87" i="1" l="1"/>
  <c r="B24" i="1" l="1"/>
  <c r="K1128" i="8" l="1"/>
  <c r="W545" i="8" l="1"/>
  <c r="W467" i="8"/>
  <c r="W575" i="8" l="1"/>
  <c r="U934" i="8"/>
  <c r="R641" i="8" l="1"/>
  <c r="R642" i="8" s="1"/>
  <c r="W544" i="8" l="1"/>
  <c r="R1206" i="8" l="1"/>
  <c r="R1207" i="8" s="1"/>
  <c r="R1208" i="8" s="1"/>
  <c r="R1209" i="8" s="1"/>
  <c r="R1210" i="8" s="1"/>
  <c r="R1211" i="8" s="1"/>
  <c r="R216" i="8" l="1"/>
  <c r="R217" i="8" s="1"/>
  <c r="R218" i="8" s="1"/>
  <c r="R219" i="8" s="1"/>
  <c r="R248" i="8" l="1"/>
  <c r="R233" i="8"/>
  <c r="R234" i="8" s="1"/>
  <c r="B58" i="1" l="1"/>
  <c r="R720" i="8"/>
  <c r="R278" i="8"/>
  <c r="R605" i="8" l="1"/>
  <c r="R201" i="8"/>
  <c r="R202" i="8" s="1"/>
  <c r="R203" i="8" s="1"/>
  <c r="R204" i="8" s="1"/>
  <c r="R205" i="8" s="1"/>
  <c r="R206" i="8" s="1"/>
  <c r="R356" i="8" l="1"/>
  <c r="R357" i="8" s="1"/>
  <c r="R358" i="8" s="1"/>
  <c r="R1190" i="8"/>
  <c r="R1058" i="8"/>
  <c r="R1059" i="8" s="1"/>
  <c r="R1060" i="8" s="1"/>
  <c r="R498" i="8" l="1"/>
  <c r="R513" i="8" l="1"/>
  <c r="B100" i="1" l="1"/>
  <c r="G1468" i="8" l="1"/>
  <c r="K1468" i="8" s="1"/>
  <c r="C1468" i="8"/>
  <c r="G76" i="1" s="1"/>
  <c r="C1467" i="8"/>
  <c r="K1466" i="8"/>
  <c r="J76" i="1" s="1"/>
  <c r="G1466" i="8"/>
  <c r="M76" i="1" s="1"/>
  <c r="R1463" i="8"/>
  <c r="H1460" i="8"/>
  <c r="G1460" i="8"/>
  <c r="U1456" i="8"/>
  <c r="W1456" i="8" s="1"/>
  <c r="Y1456" i="8" s="1"/>
  <c r="R1454" i="8"/>
  <c r="C1453" i="8" s="1"/>
  <c r="G1452" i="8"/>
  <c r="K1452" i="8" s="1"/>
  <c r="C1452" i="8"/>
  <c r="G98" i="1" s="1"/>
  <c r="C1451" i="8"/>
  <c r="F98" i="1" s="1"/>
  <c r="K1450" i="8"/>
  <c r="J98" i="1" s="1"/>
  <c r="G1450" i="8"/>
  <c r="M98" i="1" s="1"/>
  <c r="W1445" i="8"/>
  <c r="Y1445" i="8" s="1"/>
  <c r="U1446" i="8" s="1"/>
  <c r="W1446" i="8" s="1"/>
  <c r="Y1446" i="8" s="1"/>
  <c r="U1447" i="8" s="1"/>
  <c r="W1447" i="8" s="1"/>
  <c r="Y1447" i="8" s="1"/>
  <c r="U1448" i="8" s="1"/>
  <c r="W1448" i="8" s="1"/>
  <c r="Y1448" i="8" s="1"/>
  <c r="U1449" i="8" s="1"/>
  <c r="W1449" i="8" s="1"/>
  <c r="Y1449" i="8" s="1"/>
  <c r="U1450" i="8" s="1"/>
  <c r="W1450" i="8" s="1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H1444" i="8"/>
  <c r="G1444" i="8"/>
  <c r="R1438" i="8"/>
  <c r="C1437" i="8" s="1"/>
  <c r="G1436" i="8"/>
  <c r="K1436" i="8" s="1"/>
  <c r="C1436" i="8"/>
  <c r="G91" i="1" s="1"/>
  <c r="C1435" i="8"/>
  <c r="K1434" i="8"/>
  <c r="J91" i="1" s="1"/>
  <c r="G1434" i="8"/>
  <c r="M91" i="1" s="1"/>
  <c r="H1428" i="8"/>
  <c r="G1428" i="8"/>
  <c r="R1374" i="8"/>
  <c r="C1373" i="8" s="1"/>
  <c r="G1372" i="8"/>
  <c r="K1372" i="8" s="1"/>
  <c r="C1372" i="8"/>
  <c r="G28" i="1" s="1"/>
  <c r="C1371" i="8"/>
  <c r="F28" i="1" s="1"/>
  <c r="K1370" i="8"/>
  <c r="J28" i="1" s="1"/>
  <c r="G1370" i="8"/>
  <c r="M28" i="1" s="1"/>
  <c r="H1364" i="8"/>
  <c r="G1364" i="8"/>
  <c r="R1360" i="8"/>
  <c r="C1357" i="8" s="1"/>
  <c r="G1356" i="8"/>
  <c r="C1356" i="8"/>
  <c r="G27" i="1" s="1"/>
  <c r="C1355" i="8"/>
  <c r="F27" i="1" s="1"/>
  <c r="K1354" i="8"/>
  <c r="J27" i="1" s="1"/>
  <c r="G1354" i="8"/>
  <c r="M27" i="1" s="1"/>
  <c r="H1348" i="8"/>
  <c r="G1348" i="8"/>
  <c r="U1344" i="8"/>
  <c r="W1344" i="8" s="1"/>
  <c r="Y1344" i="8" s="1"/>
  <c r="R1344" i="8"/>
  <c r="R1343" i="8"/>
  <c r="R1342" i="8"/>
  <c r="G1340" i="8"/>
  <c r="C1340" i="8"/>
  <c r="G26" i="1" s="1"/>
  <c r="C1339" i="8"/>
  <c r="F26" i="1" s="1"/>
  <c r="J26" i="1"/>
  <c r="G1338" i="8"/>
  <c r="M26" i="1" s="1"/>
  <c r="R1335" i="8"/>
  <c r="W1333" i="8"/>
  <c r="Y1333" i="8" s="1"/>
  <c r="H1332" i="8"/>
  <c r="G1332" i="8"/>
  <c r="U1328" i="8"/>
  <c r="W1328" i="8" s="1"/>
  <c r="Y1328" i="8" s="1"/>
  <c r="R1328" i="8"/>
  <c r="R1327" i="8"/>
  <c r="R1326" i="8"/>
  <c r="G1324" i="8"/>
  <c r="C1324" i="8"/>
  <c r="G29" i="1" s="1"/>
  <c r="C1323" i="8"/>
  <c r="F29" i="1" s="1"/>
  <c r="K1322" i="8"/>
  <c r="J29" i="1" s="1"/>
  <c r="G1322" i="8"/>
  <c r="M29" i="1" s="1"/>
  <c r="W1317" i="8"/>
  <c r="Y1317" i="8" s="1"/>
  <c r="U1318" i="8" s="1"/>
  <c r="W1318" i="8" s="1"/>
  <c r="Y1318" i="8" s="1"/>
  <c r="U1319" i="8" s="1"/>
  <c r="H1316" i="8"/>
  <c r="G1316" i="8"/>
  <c r="R1313" i="8"/>
  <c r="R1310" i="8"/>
  <c r="G1309" i="8"/>
  <c r="C1309" i="8"/>
  <c r="G24" i="1" s="1"/>
  <c r="C1308" i="8"/>
  <c r="K1307" i="8"/>
  <c r="J24" i="1" s="1"/>
  <c r="G1307" i="8"/>
  <c r="M24" i="1" s="1"/>
  <c r="H1301" i="8"/>
  <c r="G1301" i="8"/>
  <c r="C1279" i="8"/>
  <c r="G1278" i="8"/>
  <c r="C1278" i="8"/>
  <c r="G73" i="1" s="1"/>
  <c r="C1277" i="8"/>
  <c r="F73" i="1" s="1"/>
  <c r="K1276" i="8"/>
  <c r="J73" i="1" s="1"/>
  <c r="G1276" i="8"/>
  <c r="M73" i="1" s="1"/>
  <c r="H1270" i="8"/>
  <c r="G1270" i="8"/>
  <c r="U1266" i="8"/>
  <c r="W1266" i="8" s="1"/>
  <c r="Y1266" i="8" s="1"/>
  <c r="R1266" i="8"/>
  <c r="U1263" i="8"/>
  <c r="W1263" i="8" s="1"/>
  <c r="Y1263" i="8" s="1"/>
  <c r="U1264" i="8" s="1"/>
  <c r="W1264" i="8" s="1"/>
  <c r="Y1264" i="8" s="1"/>
  <c r="U1265" i="8" s="1"/>
  <c r="G1262" i="8"/>
  <c r="C1262" i="8"/>
  <c r="G80" i="1" s="1"/>
  <c r="C1261" i="8"/>
  <c r="F80" i="1" s="1"/>
  <c r="K1260" i="8"/>
  <c r="J80" i="1" s="1"/>
  <c r="G1260" i="8"/>
  <c r="M80" i="1" s="1"/>
  <c r="R1258" i="8"/>
  <c r="R1257" i="8"/>
  <c r="W1255" i="8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U1259" i="8" s="1"/>
  <c r="W1259" i="8" s="1"/>
  <c r="Y1259" i="8" s="1"/>
  <c r="H1254" i="8"/>
  <c r="G1254" i="8"/>
  <c r="R1249" i="8"/>
  <c r="R1250" i="8" s="1"/>
  <c r="R1247" i="8"/>
  <c r="G1246" i="8"/>
  <c r="C1246" i="8"/>
  <c r="G75" i="1" s="1"/>
  <c r="C1245" i="8"/>
  <c r="F75" i="1" s="1"/>
  <c r="K1244" i="8"/>
  <c r="J75" i="1" s="1"/>
  <c r="M75" i="1"/>
  <c r="H1238" i="8"/>
  <c r="G1238" i="8"/>
  <c r="G440" i="8"/>
  <c r="K440" i="8" s="1"/>
  <c r="C440" i="8"/>
  <c r="G40" i="1" s="1"/>
  <c r="C439" i="8"/>
  <c r="F40" i="1" s="1"/>
  <c r="K438" i="8"/>
  <c r="J40" i="1" s="1"/>
  <c r="G438" i="8"/>
  <c r="M40" i="1" s="1"/>
  <c r="C441" i="8"/>
  <c r="H432" i="8"/>
  <c r="G432" i="8"/>
  <c r="C1230" i="8"/>
  <c r="G1229" i="8"/>
  <c r="C1229" i="8"/>
  <c r="G88" i="1" s="1"/>
  <c r="C1228" i="8"/>
  <c r="F88" i="1" s="1"/>
  <c r="J88" i="1"/>
  <c r="G1227" i="8"/>
  <c r="M88" i="1" s="1"/>
  <c r="R1225" i="8"/>
  <c r="H1221" i="8"/>
  <c r="G1221" i="8"/>
  <c r="R1216" i="8"/>
  <c r="G1213" i="8"/>
  <c r="O101" i="1" s="1"/>
  <c r="C1213" i="8"/>
  <c r="G101" i="1" s="1"/>
  <c r="C1212" i="8"/>
  <c r="F101" i="1" s="1"/>
  <c r="K1211" i="8"/>
  <c r="J101" i="1" s="1"/>
  <c r="G1211" i="8"/>
  <c r="M101" i="1" s="1"/>
  <c r="H1205" i="8"/>
  <c r="G1205" i="8"/>
  <c r="G1197" i="8"/>
  <c r="K1197" i="8" s="1"/>
  <c r="C1197" i="8"/>
  <c r="G103" i="1" s="1"/>
  <c r="C1196" i="8"/>
  <c r="F103" i="1" s="1"/>
  <c r="K1195" i="8"/>
  <c r="J103" i="1" s="1"/>
  <c r="G1195" i="8"/>
  <c r="M103" i="1" s="1"/>
  <c r="R1191" i="8"/>
  <c r="R1192" i="8" s="1"/>
  <c r="R1193" i="8" s="1"/>
  <c r="R1194" i="8" s="1"/>
  <c r="R1195" i="8" s="1"/>
  <c r="R1196" i="8" s="1"/>
  <c r="R1197" i="8" s="1"/>
  <c r="R1198" i="8" s="1"/>
  <c r="H1189" i="8"/>
  <c r="G1189" i="8"/>
  <c r="R683" i="8"/>
  <c r="G679" i="8"/>
  <c r="O58" i="1" s="1"/>
  <c r="C679" i="8"/>
  <c r="G58" i="1" s="1"/>
  <c r="C678" i="8"/>
  <c r="C680" i="8"/>
  <c r="K677" i="8"/>
  <c r="J58" i="1" s="1"/>
  <c r="G677" i="8"/>
  <c r="M58" i="1" s="1"/>
  <c r="H671" i="8"/>
  <c r="G671" i="8"/>
  <c r="R460" i="8"/>
  <c r="G456" i="8"/>
  <c r="K456" i="8" s="1"/>
  <c r="C456" i="8"/>
  <c r="G41" i="1" s="1"/>
  <c r="C455" i="8"/>
  <c r="F41" i="1" s="1"/>
  <c r="R454" i="8"/>
  <c r="C457" i="8" s="1"/>
  <c r="J41" i="1"/>
  <c r="G454" i="8"/>
  <c r="M41" i="1" s="1"/>
  <c r="H448" i="8"/>
  <c r="G448" i="8"/>
  <c r="G378" i="8"/>
  <c r="C378" i="8"/>
  <c r="G42" i="1" s="1"/>
  <c r="C377" i="8"/>
  <c r="J42" i="1"/>
  <c r="G376" i="8"/>
  <c r="M42" i="1" s="1"/>
  <c r="C379" i="8"/>
  <c r="H370" i="8"/>
  <c r="G370" i="8"/>
  <c r="G891" i="8"/>
  <c r="K891" i="8" s="1"/>
  <c r="C891" i="8"/>
  <c r="G53" i="1" s="1"/>
  <c r="C890" i="8"/>
  <c r="F53" i="1" s="1"/>
  <c r="K889" i="8"/>
  <c r="G889" i="8"/>
  <c r="M53" i="1" s="1"/>
  <c r="H883" i="8"/>
  <c r="G883" i="8"/>
  <c r="U1181" i="8"/>
  <c r="W1181" i="8" s="1"/>
  <c r="R1181" i="8"/>
  <c r="R1180" i="8"/>
  <c r="R1179" i="8"/>
  <c r="U1178" i="8"/>
  <c r="W1178" i="8" s="1"/>
  <c r="Y1178" i="8" s="1"/>
  <c r="U1179" i="8" s="1"/>
  <c r="W1179" i="8" s="1"/>
  <c r="Y1179" i="8" s="1"/>
  <c r="U1180" i="8" s="1"/>
  <c r="W1180" i="8" s="1"/>
  <c r="Y1180" i="8" s="1"/>
  <c r="R1178" i="8"/>
  <c r="R1177" i="8"/>
  <c r="G1177" i="8"/>
  <c r="K1177" i="8" s="1"/>
  <c r="C1177" i="8"/>
  <c r="R1176" i="8"/>
  <c r="C1176" i="8"/>
  <c r="R1175" i="8"/>
  <c r="K1175" i="8"/>
  <c r="G1175" i="8"/>
  <c r="R1174" i="8"/>
  <c r="K1174" i="8"/>
  <c r="R1173" i="8"/>
  <c r="R1172" i="8"/>
  <c r="R1171" i="8"/>
  <c r="W1170" i="8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H1169" i="8"/>
  <c r="G1169" i="8"/>
  <c r="U1165" i="8"/>
  <c r="W1165" i="8" s="1"/>
  <c r="Y1165" i="8" s="1"/>
  <c r="R1164" i="8"/>
  <c r="U1162" i="8"/>
  <c r="W1162" i="8" s="1"/>
  <c r="Y1162" i="8" s="1"/>
  <c r="U1163" i="8" s="1"/>
  <c r="W1163" i="8" s="1"/>
  <c r="Y1163" i="8" s="1"/>
  <c r="U1164" i="8" s="1"/>
  <c r="R1161" i="8"/>
  <c r="C1162" i="8" s="1"/>
  <c r="G1161" i="8"/>
  <c r="K1161" i="8" s="1"/>
  <c r="C1161" i="8"/>
  <c r="C1160" i="8"/>
  <c r="K1159" i="8"/>
  <c r="G1159" i="8"/>
  <c r="R1156" i="8"/>
  <c r="W1154" i="8"/>
  <c r="Y1154" i="8" s="1"/>
  <c r="U1155" i="8" s="1"/>
  <c r="W1155" i="8" s="1"/>
  <c r="Y1155" i="8" s="1"/>
  <c r="U1156" i="8" s="1"/>
  <c r="W1156" i="8" s="1"/>
  <c r="Y1156" i="8" s="1"/>
  <c r="U1157" i="8" s="1"/>
  <c r="W1157" i="8" s="1"/>
  <c r="Y1157" i="8" s="1"/>
  <c r="U1158" i="8" s="1"/>
  <c r="W1158" i="8" s="1"/>
  <c r="Y1158" i="8" s="1"/>
  <c r="U1159" i="8" s="1"/>
  <c r="W1159" i="8" s="1"/>
  <c r="Y1159" i="8" s="1"/>
  <c r="U1160" i="8" s="1"/>
  <c r="W1160" i="8" s="1"/>
  <c r="Y1160" i="8" s="1"/>
  <c r="U1161" i="8" s="1"/>
  <c r="W1161" i="8" s="1"/>
  <c r="Y1161" i="8" s="1"/>
  <c r="H1153" i="8"/>
  <c r="G1153" i="8"/>
  <c r="R600" i="8"/>
  <c r="R597" i="8"/>
  <c r="R598" i="8" s="1"/>
  <c r="G597" i="8"/>
  <c r="K597" i="8" s="1"/>
  <c r="C597" i="8"/>
  <c r="G20" i="1" s="1"/>
  <c r="C596" i="8"/>
  <c r="F20" i="1" s="1"/>
  <c r="K595" i="8"/>
  <c r="J20" i="1" s="1"/>
  <c r="G595" i="8"/>
  <c r="M20" i="1" s="1"/>
  <c r="R591" i="8"/>
  <c r="R592" i="8" s="1"/>
  <c r="H589" i="8"/>
  <c r="G589" i="8"/>
  <c r="U1149" i="8"/>
  <c r="W1149" i="8" s="1"/>
  <c r="Y1149" i="8" s="1"/>
  <c r="R1149" i="8"/>
  <c r="R1148" i="8"/>
  <c r="R1147" i="8"/>
  <c r="U1146" i="8"/>
  <c r="W1146" i="8" s="1"/>
  <c r="Y1146" i="8" s="1"/>
  <c r="U1147" i="8" s="1"/>
  <c r="W1147" i="8" s="1"/>
  <c r="Y1147" i="8" s="1"/>
  <c r="U1148" i="8" s="1"/>
  <c r="R1146" i="8"/>
  <c r="R1145" i="8"/>
  <c r="G1145" i="8"/>
  <c r="K1145" i="8" s="1"/>
  <c r="C1145" i="8"/>
  <c r="R1144" i="8"/>
  <c r="C1144" i="8"/>
  <c r="R1143" i="8"/>
  <c r="K1143" i="8"/>
  <c r="G1143" i="8"/>
  <c r="R1142" i="8"/>
  <c r="K1142" i="8"/>
  <c r="R1141" i="8"/>
  <c r="W1138" i="8"/>
  <c r="Y1138" i="8" s="1"/>
  <c r="U1139" i="8" s="1"/>
  <c r="W1139" i="8" s="1"/>
  <c r="Y1139" i="8" s="1"/>
  <c r="U1140" i="8" s="1"/>
  <c r="W1140" i="8" s="1"/>
  <c r="Y1140" i="8" s="1"/>
  <c r="U1141" i="8" s="1"/>
  <c r="W1141" i="8" s="1"/>
  <c r="Y1141" i="8" s="1"/>
  <c r="U1142" i="8" s="1"/>
  <c r="W1142" i="8" s="1"/>
  <c r="Y1142" i="8" s="1"/>
  <c r="U1143" i="8" s="1"/>
  <c r="W1143" i="8" s="1"/>
  <c r="Y1143" i="8" s="1"/>
  <c r="U1144" i="8" s="1"/>
  <c r="W1144" i="8" s="1"/>
  <c r="Y1144" i="8" s="1"/>
  <c r="U1145" i="8" s="1"/>
  <c r="W1145" i="8" s="1"/>
  <c r="Y1145" i="8" s="1"/>
  <c r="H1137" i="8"/>
  <c r="G1137" i="8"/>
  <c r="G1130" i="8"/>
  <c r="K1130" i="8" s="1"/>
  <c r="C1130" i="8"/>
  <c r="G70" i="1" s="1"/>
  <c r="C1129" i="8"/>
  <c r="F70" i="1" s="1"/>
  <c r="G1128" i="8"/>
  <c r="M70" i="1" s="1"/>
  <c r="R1124" i="8"/>
  <c r="R1125" i="8" s="1"/>
  <c r="R1126" i="8" s="1"/>
  <c r="R1127" i="8" s="1"/>
  <c r="R1128" i="8" s="1"/>
  <c r="R1129" i="8" s="1"/>
  <c r="R1133" i="8" s="1"/>
  <c r="R1134" i="8" s="1"/>
  <c r="H1122" i="8"/>
  <c r="G1122" i="8"/>
  <c r="G1294" i="8"/>
  <c r="C1294" i="8"/>
  <c r="G72" i="1" s="1"/>
  <c r="C1293" i="8"/>
  <c r="F72" i="1" s="1"/>
  <c r="R1292" i="8"/>
  <c r="R1294" i="8" s="1"/>
  <c r="R1296" i="8" s="1"/>
  <c r="K1292" i="8"/>
  <c r="J72" i="1" s="1"/>
  <c r="G1292" i="8"/>
  <c r="M72" i="1" s="1"/>
  <c r="R1288" i="8"/>
  <c r="H1286" i="8"/>
  <c r="G1286" i="8"/>
  <c r="R1117" i="8"/>
  <c r="R1116" i="8"/>
  <c r="R1115" i="8"/>
  <c r="R1114" i="8"/>
  <c r="R1113" i="8"/>
  <c r="G1113" i="8"/>
  <c r="K1113" i="8" s="1"/>
  <c r="C1113" i="8"/>
  <c r="R1112" i="8"/>
  <c r="C1112" i="8"/>
  <c r="R1111" i="8"/>
  <c r="K1111" i="8"/>
  <c r="G1111" i="8"/>
  <c r="R1110" i="8"/>
  <c r="K1110" i="8"/>
  <c r="R1109" i="8"/>
  <c r="W1108" i="8"/>
  <c r="Y1108" i="8" s="1"/>
  <c r="W1109" i="8" s="1"/>
  <c r="Y1109" i="8" s="1"/>
  <c r="W1110" i="8" s="1"/>
  <c r="Y1110" i="8" s="1"/>
  <c r="W1111" i="8" s="1"/>
  <c r="Y1111" i="8" s="1"/>
  <c r="W1112" i="8" s="1"/>
  <c r="Y1112" i="8" s="1"/>
  <c r="W1113" i="8" s="1"/>
  <c r="Y1113" i="8" s="1"/>
  <c r="W1114" i="8" s="1"/>
  <c r="Y1114" i="8" s="1"/>
  <c r="W1115" i="8" s="1"/>
  <c r="Y1115" i="8" s="1"/>
  <c r="R1108" i="8"/>
  <c r="W1107" i="8"/>
  <c r="Y1107" i="8" s="1"/>
  <c r="R1107" i="8"/>
  <c r="W1106" i="8"/>
  <c r="Y1106" i="8" s="1"/>
  <c r="H1105" i="8"/>
  <c r="G1105" i="8"/>
  <c r="U1101" i="8"/>
  <c r="W1101" i="8" s="1"/>
  <c r="Y1101" i="8" s="1"/>
  <c r="R1101" i="8"/>
  <c r="R1100" i="8"/>
  <c r="R1099" i="8"/>
  <c r="U1098" i="8"/>
  <c r="W1098" i="8" s="1"/>
  <c r="Y1098" i="8" s="1"/>
  <c r="U1099" i="8" s="1"/>
  <c r="W1099" i="8" s="1"/>
  <c r="Y1099" i="8" s="1"/>
  <c r="U1100" i="8" s="1"/>
  <c r="R1098" i="8"/>
  <c r="R1097" i="8"/>
  <c r="G1097" i="8"/>
  <c r="K1097" i="8" s="1"/>
  <c r="C1097" i="8"/>
  <c r="R1096" i="8"/>
  <c r="C1096" i="8"/>
  <c r="R1095" i="8"/>
  <c r="K1095" i="8"/>
  <c r="G1095" i="8"/>
  <c r="R1094" i="8"/>
  <c r="K1094" i="8"/>
  <c r="R1093" i="8"/>
  <c r="R1092" i="8"/>
  <c r="R1091" i="8"/>
  <c r="W1090" i="8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H1089" i="8"/>
  <c r="G1089" i="8"/>
  <c r="R876" i="8"/>
  <c r="R877" i="8" s="1"/>
  <c r="R878" i="8" s="1"/>
  <c r="R879" i="8" s="1"/>
  <c r="G875" i="8"/>
  <c r="C875" i="8"/>
  <c r="G52" i="1" s="1"/>
  <c r="C874" i="8"/>
  <c r="K873" i="8"/>
  <c r="J52" i="1" s="1"/>
  <c r="G873" i="8"/>
  <c r="M52" i="1" s="1"/>
  <c r="H867" i="8"/>
  <c r="G867" i="8"/>
  <c r="R1082" i="8"/>
  <c r="G1081" i="8"/>
  <c r="K1081" i="8" s="1"/>
  <c r="C1081" i="8"/>
  <c r="C1080" i="8"/>
  <c r="R1079" i="8"/>
  <c r="C1082" i="8" s="1"/>
  <c r="K1079" i="8"/>
  <c r="G1079" i="8"/>
  <c r="R1076" i="8"/>
  <c r="R1075" i="8"/>
  <c r="W1074" i="8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H1073" i="8"/>
  <c r="G1073" i="8"/>
  <c r="G332" i="8"/>
  <c r="K332" i="8" s="1"/>
  <c r="C332" i="8"/>
  <c r="G38" i="1" s="1"/>
  <c r="C331" i="8"/>
  <c r="F38" i="1" s="1"/>
  <c r="K330" i="8"/>
  <c r="J38" i="1" s="1"/>
  <c r="G330" i="8"/>
  <c r="M38" i="1" s="1"/>
  <c r="R326" i="8"/>
  <c r="H324" i="8"/>
  <c r="G324" i="8"/>
  <c r="G1065" i="8"/>
  <c r="K1065" i="8" s="1"/>
  <c r="C1065" i="8"/>
  <c r="G37" i="1" s="1"/>
  <c r="R1064" i="8"/>
  <c r="C1064" i="8"/>
  <c r="K1063" i="8"/>
  <c r="J37" i="1" s="1"/>
  <c r="G1063" i="8"/>
  <c r="M37" i="1" s="1"/>
  <c r="C1066" i="8"/>
  <c r="H1057" i="8"/>
  <c r="G1057" i="8"/>
  <c r="R1051" i="8"/>
  <c r="R1052" i="8" s="1"/>
  <c r="R1053" i="8" s="1"/>
  <c r="G1049" i="8"/>
  <c r="K1049" i="8" s="1"/>
  <c r="C1049" i="8"/>
  <c r="C1048" i="8"/>
  <c r="K1047" i="8"/>
  <c r="G1047" i="8"/>
  <c r="R1046" i="8"/>
  <c r="R1045" i="8"/>
  <c r="R1044" i="8"/>
  <c r="H1041" i="8"/>
  <c r="G1041" i="8"/>
  <c r="G1033" i="8"/>
  <c r="O77" i="1" s="1"/>
  <c r="C1033" i="8"/>
  <c r="G77" i="1" s="1"/>
  <c r="C1032" i="8"/>
  <c r="K1031" i="8"/>
  <c r="J77" i="1" s="1"/>
  <c r="G1031" i="8"/>
  <c r="M77" i="1" s="1"/>
  <c r="R1030" i="8"/>
  <c r="R1031" i="8" s="1"/>
  <c r="R1027" i="8"/>
  <c r="R1028" i="8" s="1"/>
  <c r="H1025" i="8"/>
  <c r="G1025" i="8"/>
  <c r="R1018" i="8"/>
  <c r="G1017" i="8"/>
  <c r="C1017" i="8"/>
  <c r="G93" i="1" s="1"/>
  <c r="C1016" i="8"/>
  <c r="F93" i="1" s="1"/>
  <c r="R1015" i="8"/>
  <c r="K1015" i="8"/>
  <c r="J93" i="1" s="1"/>
  <c r="G1015" i="8"/>
  <c r="M93" i="1" s="1"/>
  <c r="R1014" i="8"/>
  <c r="R1013" i="8"/>
  <c r="H1009" i="8"/>
  <c r="G1009" i="8"/>
  <c r="U1005" i="8"/>
  <c r="W1005" i="8" s="1"/>
  <c r="Y1005" i="8" s="1"/>
  <c r="R1005" i="8"/>
  <c r="R1004" i="8"/>
  <c r="R1003" i="8"/>
  <c r="U1002" i="8"/>
  <c r="W1002" i="8" s="1"/>
  <c r="Y1002" i="8" s="1"/>
  <c r="U1003" i="8" s="1"/>
  <c r="W1003" i="8" s="1"/>
  <c r="Y1003" i="8" s="1"/>
  <c r="U1004" i="8" s="1"/>
  <c r="R1002" i="8"/>
  <c r="U1001" i="8"/>
  <c r="W1001" i="8" s="1"/>
  <c r="Y1001" i="8" s="1"/>
  <c r="R1001" i="8"/>
  <c r="G1001" i="8"/>
  <c r="O67" i="1" s="1"/>
  <c r="C1001" i="8"/>
  <c r="G67" i="1" s="1"/>
  <c r="R1000" i="8"/>
  <c r="C1000" i="8"/>
  <c r="F67" i="1" s="1"/>
  <c r="R999" i="8"/>
  <c r="K999" i="8"/>
  <c r="J67" i="1" s="1"/>
  <c r="G999" i="8"/>
  <c r="M67" i="1" s="1"/>
  <c r="R998" i="8"/>
  <c r="K998" i="8"/>
  <c r="W994" i="8"/>
  <c r="Y994" i="8" s="1"/>
  <c r="U995" i="8" s="1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H993" i="8"/>
  <c r="G993" i="8"/>
  <c r="R990" i="8"/>
  <c r="R989" i="8"/>
  <c r="R988" i="8"/>
  <c r="R987" i="8"/>
  <c r="G986" i="8"/>
  <c r="K986" i="8" s="1"/>
  <c r="C986" i="8"/>
  <c r="G96" i="1" s="1"/>
  <c r="C985" i="8"/>
  <c r="F96" i="1" s="1"/>
  <c r="K984" i="8"/>
  <c r="J96" i="1" s="1"/>
  <c r="G984" i="8"/>
  <c r="M96" i="1" s="1"/>
  <c r="R979" i="8"/>
  <c r="R980" i="8" s="1"/>
  <c r="R981" i="8" s="1"/>
  <c r="R982" i="8" s="1"/>
  <c r="R983" i="8" s="1"/>
  <c r="R984" i="8" s="1"/>
  <c r="R985" i="8" s="1"/>
  <c r="H978" i="8"/>
  <c r="G978" i="8"/>
  <c r="U974" i="8"/>
  <c r="W974" i="8" s="1"/>
  <c r="Y974" i="8" s="1"/>
  <c r="U973" i="8"/>
  <c r="W973" i="8" s="1"/>
  <c r="R973" i="8"/>
  <c r="R972" i="8"/>
  <c r="C971" i="8" s="1"/>
  <c r="G970" i="8"/>
  <c r="C970" i="8"/>
  <c r="C969" i="8"/>
  <c r="K968" i="8"/>
  <c r="G968" i="8"/>
  <c r="R966" i="8"/>
  <c r="R965" i="8"/>
  <c r="R964" i="8"/>
  <c r="W963" i="8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H962" i="8"/>
  <c r="G962" i="8"/>
  <c r="G1420" i="8"/>
  <c r="K1420" i="8" s="1"/>
  <c r="C1420" i="8"/>
  <c r="G25" i="1" s="1"/>
  <c r="C1419" i="8"/>
  <c r="F25" i="1" s="1"/>
  <c r="K1418" i="8"/>
  <c r="J25" i="1" s="1"/>
  <c r="G1418" i="8"/>
  <c r="M25" i="1" s="1"/>
  <c r="R1417" i="8"/>
  <c r="R1418" i="8" s="1"/>
  <c r="R1419" i="8" s="1"/>
  <c r="R1420" i="8" s="1"/>
  <c r="R1421" i="8" s="1"/>
  <c r="R1422" i="8" s="1"/>
  <c r="R1423" i="8" s="1"/>
  <c r="R1424" i="8" s="1"/>
  <c r="H1412" i="8"/>
  <c r="G1412" i="8"/>
  <c r="R863" i="8"/>
  <c r="R862" i="8"/>
  <c r="R861" i="8"/>
  <c r="R860" i="8"/>
  <c r="R859" i="8"/>
  <c r="G859" i="8"/>
  <c r="K859" i="8" s="1"/>
  <c r="C859" i="8"/>
  <c r="G92" i="1" s="1"/>
  <c r="R858" i="8"/>
  <c r="C858" i="8"/>
  <c r="F92" i="1" s="1"/>
  <c r="R857" i="8"/>
  <c r="K857" i="8"/>
  <c r="J92" i="1" s="1"/>
  <c r="G857" i="8"/>
  <c r="M92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48" i="1" s="1"/>
  <c r="C842" i="8"/>
  <c r="F48" i="1" s="1"/>
  <c r="K841" i="8"/>
  <c r="J48" i="1" s="1"/>
  <c r="G841" i="8"/>
  <c r="M48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66" i="1" s="1"/>
  <c r="C826" i="8"/>
  <c r="F66" i="1" s="1"/>
  <c r="K825" i="8"/>
  <c r="J66" i="1" s="1"/>
  <c r="G825" i="8"/>
  <c r="M66" i="1" s="1"/>
  <c r="H819" i="8"/>
  <c r="G819" i="8"/>
  <c r="G908" i="8"/>
  <c r="C908" i="8"/>
  <c r="G49" i="1" s="1"/>
  <c r="C907" i="8"/>
  <c r="F49" i="1" s="1"/>
  <c r="K906" i="8"/>
  <c r="J49" i="1" s="1"/>
  <c r="G906" i="8"/>
  <c r="M49" i="1" s="1"/>
  <c r="R901" i="8"/>
  <c r="R902" i="8" s="1"/>
  <c r="R903" i="8" s="1"/>
  <c r="R904" i="8" s="1"/>
  <c r="R905" i="8" s="1"/>
  <c r="R906" i="8" s="1"/>
  <c r="R907" i="8" s="1"/>
  <c r="R908" i="8" s="1"/>
  <c r="R909" i="8" s="1"/>
  <c r="R910" i="8" s="1"/>
  <c r="R911" i="8" s="1"/>
  <c r="R912" i="8" s="1"/>
  <c r="H900" i="8"/>
  <c r="G900" i="8"/>
  <c r="R812" i="8"/>
  <c r="R810" i="8"/>
  <c r="G810" i="8"/>
  <c r="K810" i="8" s="1"/>
  <c r="C810" i="8"/>
  <c r="G84" i="1" s="1"/>
  <c r="C809" i="8"/>
  <c r="F84" i="1" s="1"/>
  <c r="R808" i="8"/>
  <c r="K808" i="8"/>
  <c r="J84" i="1" s="1"/>
  <c r="G808" i="8"/>
  <c r="M84" i="1" s="1"/>
  <c r="R804" i="8"/>
  <c r="H802" i="8"/>
  <c r="G802" i="8"/>
  <c r="U798" i="8"/>
  <c r="W798" i="8" s="1"/>
  <c r="Y798" i="8" s="1"/>
  <c r="R798" i="8"/>
  <c r="U797" i="8"/>
  <c r="R797" i="8"/>
  <c r="R796" i="8"/>
  <c r="R795" i="8"/>
  <c r="R794" i="8"/>
  <c r="G794" i="8"/>
  <c r="K794" i="8" s="1"/>
  <c r="C794" i="8"/>
  <c r="R793" i="8"/>
  <c r="C793" i="8"/>
  <c r="R792" i="8"/>
  <c r="G792" i="8"/>
  <c r="R791" i="8"/>
  <c r="K791" i="8"/>
  <c r="K793" i="8" s="1"/>
  <c r="R790" i="8"/>
  <c r="R789" i="8"/>
  <c r="R788" i="8"/>
  <c r="W787" i="8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R787" i="8"/>
  <c r="H786" i="8"/>
  <c r="G786" i="8"/>
  <c r="G778" i="8"/>
  <c r="K778" i="8" s="1"/>
  <c r="C778" i="8"/>
  <c r="G102" i="1" s="1"/>
  <c r="C777" i="8"/>
  <c r="F102" i="1" s="1"/>
  <c r="K776" i="8"/>
  <c r="J102" i="1" s="1"/>
  <c r="G776" i="8"/>
  <c r="M102" i="1" s="1"/>
  <c r="R771" i="8"/>
  <c r="R772" i="8" s="1"/>
  <c r="R773" i="8" s="1"/>
  <c r="H770" i="8"/>
  <c r="G770" i="8"/>
  <c r="R766" i="8"/>
  <c r="R763" i="8"/>
  <c r="R764" i="8" s="1"/>
  <c r="G762" i="8"/>
  <c r="K762" i="8" s="1"/>
  <c r="C762" i="8"/>
  <c r="G85" i="1" s="1"/>
  <c r="R761" i="8"/>
  <c r="C761" i="8"/>
  <c r="F85" i="1" s="1"/>
  <c r="R760" i="8"/>
  <c r="K760" i="8"/>
  <c r="J85" i="1" s="1"/>
  <c r="G760" i="8"/>
  <c r="M85" i="1" s="1"/>
  <c r="R758" i="8"/>
  <c r="H754" i="8"/>
  <c r="G754" i="8"/>
  <c r="G270" i="8"/>
  <c r="K270" i="8" s="1"/>
  <c r="C270" i="8"/>
  <c r="G36" i="1" s="1"/>
  <c r="C269" i="8"/>
  <c r="J36" i="1"/>
  <c r="G268" i="8"/>
  <c r="M36" i="1" s="1"/>
  <c r="C271" i="8"/>
  <c r="H262" i="8"/>
  <c r="G262" i="8"/>
  <c r="U748" i="8"/>
  <c r="W748" i="8" s="1"/>
  <c r="Y748" i="8" s="1"/>
  <c r="R748" i="8"/>
  <c r="R747" i="8"/>
  <c r="R746" i="8"/>
  <c r="U745" i="8"/>
  <c r="W745" i="8" s="1"/>
  <c r="Y745" i="8" s="1"/>
  <c r="U746" i="8" s="1"/>
  <c r="W746" i="8" s="1"/>
  <c r="Y746" i="8" s="1"/>
  <c r="U747" i="8" s="1"/>
  <c r="R745" i="8"/>
  <c r="R744" i="8"/>
  <c r="G744" i="8"/>
  <c r="K744" i="8" s="1"/>
  <c r="C744" i="8"/>
  <c r="R743" i="8"/>
  <c r="C743" i="8"/>
  <c r="R742" i="8"/>
  <c r="K742" i="8"/>
  <c r="G742" i="8"/>
  <c r="R741" i="8"/>
  <c r="R740" i="8"/>
  <c r="R739" i="8"/>
  <c r="R738" i="8"/>
  <c r="W737" i="8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H736" i="8"/>
  <c r="G736" i="8"/>
  <c r="C536" i="8"/>
  <c r="G535" i="8"/>
  <c r="K535" i="8" s="1"/>
  <c r="C535" i="8"/>
  <c r="G65" i="1" s="1"/>
  <c r="C534" i="8"/>
  <c r="F65" i="1" s="1"/>
  <c r="K533" i="8"/>
  <c r="J65" i="1" s="1"/>
  <c r="G533" i="8"/>
  <c r="M65" i="1" s="1"/>
  <c r="W528" i="8"/>
  <c r="Y528" i="8" s="1"/>
  <c r="W529" i="8" s="1"/>
  <c r="Y529" i="8" s="1"/>
  <c r="W530" i="8" s="1"/>
  <c r="Y530" i="8" s="1"/>
  <c r="W531" i="8" s="1"/>
  <c r="Y531" i="8" s="1"/>
  <c r="W532" i="8" s="1"/>
  <c r="Y532" i="8" s="1"/>
  <c r="W533" i="8" s="1"/>
  <c r="Y533" i="8" s="1"/>
  <c r="W534" i="8" s="1"/>
  <c r="Y534" i="8" s="1"/>
  <c r="W535" i="8" s="1"/>
  <c r="W536" i="8" s="1"/>
  <c r="Y536" i="8" s="1"/>
  <c r="H527" i="8"/>
  <c r="G527" i="8"/>
  <c r="G727" i="8"/>
  <c r="O56" i="1" s="1"/>
  <c r="C727" i="8"/>
  <c r="G56" i="1" s="1"/>
  <c r="C726" i="8"/>
  <c r="F56" i="1" s="1"/>
  <c r="K725" i="8"/>
  <c r="J56" i="1" s="1"/>
  <c r="G725" i="8"/>
  <c r="M56" i="1" s="1"/>
  <c r="R721" i="8"/>
  <c r="H719" i="8"/>
  <c r="G719" i="8"/>
  <c r="G695" i="8"/>
  <c r="C695" i="8"/>
  <c r="G61" i="1" s="1"/>
  <c r="C694" i="8"/>
  <c r="F61" i="1" s="1"/>
  <c r="R693" i="8"/>
  <c r="R694" i="8" s="1"/>
  <c r="K693" i="8"/>
  <c r="J61" i="1" s="1"/>
  <c r="G693" i="8"/>
  <c r="M61" i="1" s="1"/>
  <c r="R689" i="8"/>
  <c r="H687" i="8"/>
  <c r="G687" i="8"/>
  <c r="R665" i="8"/>
  <c r="R666" i="8" s="1"/>
  <c r="G663" i="8"/>
  <c r="K663" i="8" s="1"/>
  <c r="C663" i="8"/>
  <c r="G60" i="1" s="1"/>
  <c r="C662" i="8"/>
  <c r="F60" i="1" s="1"/>
  <c r="J60" i="1"/>
  <c r="G661" i="8"/>
  <c r="M60" i="1" s="1"/>
  <c r="H655" i="8"/>
  <c r="G655" i="8"/>
  <c r="G647" i="8"/>
  <c r="K647" i="8" s="1"/>
  <c r="C647" i="8"/>
  <c r="G57" i="1" s="1"/>
  <c r="C646" i="8"/>
  <c r="F57" i="1" s="1"/>
  <c r="K645" i="8"/>
  <c r="J57" i="1" s="1"/>
  <c r="G645" i="8"/>
  <c r="M57" i="1" s="1"/>
  <c r="R643" i="8"/>
  <c r="R644" i="8" s="1"/>
  <c r="R645" i="8" s="1"/>
  <c r="R646" i="8" s="1"/>
  <c r="R647" i="8" s="1"/>
  <c r="R648" i="8" s="1"/>
  <c r="R649" i="8" s="1"/>
  <c r="R650" i="8" s="1"/>
  <c r="R651" i="8" s="1"/>
  <c r="H639" i="8"/>
  <c r="G639" i="8"/>
  <c r="G923" i="8"/>
  <c r="C923" i="8"/>
  <c r="G51" i="1" s="1"/>
  <c r="C922" i="8"/>
  <c r="F51" i="1" s="1"/>
  <c r="K921" i="8"/>
  <c r="J51" i="1" s="1"/>
  <c r="G921" i="8"/>
  <c r="M51" i="1" s="1"/>
  <c r="H915" i="8"/>
  <c r="G915" i="8"/>
  <c r="G630" i="8"/>
  <c r="K630" i="8" s="1"/>
  <c r="C630" i="8"/>
  <c r="G15" i="1" s="1"/>
  <c r="C629" i="8"/>
  <c r="K628" i="8"/>
  <c r="J15" i="1" s="1"/>
  <c r="G628" i="8"/>
  <c r="M15" i="1" s="1"/>
  <c r="H622" i="8"/>
  <c r="G622" i="8"/>
  <c r="G520" i="8"/>
  <c r="K520" i="8" s="1"/>
  <c r="C520" i="8"/>
  <c r="G71" i="1" s="1"/>
  <c r="C519" i="8"/>
  <c r="F71" i="1" s="1"/>
  <c r="K518" i="8"/>
  <c r="J71" i="1" s="1"/>
  <c r="G518" i="8"/>
  <c r="M71" i="1" s="1"/>
  <c r="R514" i="8"/>
  <c r="H512" i="8"/>
  <c r="G512" i="8"/>
  <c r="G363" i="8"/>
  <c r="K363" i="8" s="1"/>
  <c r="C363" i="8"/>
  <c r="G35" i="1" s="1"/>
  <c r="C362" i="8"/>
  <c r="F35" i="1" s="1"/>
  <c r="K361" i="8"/>
  <c r="J35" i="1" s="1"/>
  <c r="G361" i="8"/>
  <c r="M35" i="1" s="1"/>
  <c r="R359" i="8"/>
  <c r="R360" i="8" s="1"/>
  <c r="R361" i="8" s="1"/>
  <c r="R362" i="8" s="1"/>
  <c r="R363" i="8" s="1"/>
  <c r="R364" i="8" s="1"/>
  <c r="W356" i="8"/>
  <c r="Y356" i="8" s="1"/>
  <c r="U357" i="8" s="1"/>
  <c r="H355" i="8"/>
  <c r="G355" i="8"/>
  <c r="G711" i="8"/>
  <c r="K711" i="8" s="1"/>
  <c r="C711" i="8"/>
  <c r="G59" i="1" s="1"/>
  <c r="C710" i="8"/>
  <c r="K709" i="8"/>
  <c r="J59" i="1" s="1"/>
  <c r="G709" i="8"/>
  <c r="M59" i="1" s="1"/>
  <c r="R705" i="8"/>
  <c r="W704" i="8"/>
  <c r="Y704" i="8" s="1"/>
  <c r="U705" i="8" s="1"/>
  <c r="H703" i="8"/>
  <c r="G703" i="8"/>
  <c r="R1391" i="8"/>
  <c r="G1388" i="8"/>
  <c r="K1388" i="8" s="1"/>
  <c r="C1388" i="8"/>
  <c r="G82" i="1" s="1"/>
  <c r="C1387" i="8"/>
  <c r="F82" i="1" s="1"/>
  <c r="K1386" i="8"/>
  <c r="J82" i="1" s="1"/>
  <c r="G1386" i="8"/>
  <c r="M82" i="1" s="1"/>
  <c r="C1389" i="8"/>
  <c r="W1381" i="8"/>
  <c r="Y1381" i="8" s="1"/>
  <c r="U1382" i="8" s="1"/>
  <c r="W1382" i="8" s="1"/>
  <c r="Y1382" i="8" s="1"/>
  <c r="W1383" i="8" s="1"/>
  <c r="Y1383" i="8" s="1"/>
  <c r="W1384" i="8" s="1"/>
  <c r="Y1384" i="8" s="1"/>
  <c r="W1385" i="8" s="1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H1380" i="8"/>
  <c r="G1380" i="8"/>
  <c r="G347" i="8"/>
  <c r="K347" i="8" s="1"/>
  <c r="C347" i="8"/>
  <c r="G32" i="1" s="1"/>
  <c r="C346" i="8"/>
  <c r="F32" i="1" s="1"/>
  <c r="K345" i="8"/>
  <c r="J32" i="1" s="1"/>
  <c r="G345" i="8"/>
  <c r="M32" i="1" s="1"/>
  <c r="R341" i="8"/>
  <c r="W340" i="8"/>
  <c r="Y340" i="8" s="1"/>
  <c r="U341" i="8" s="1"/>
  <c r="H339" i="8"/>
  <c r="G339" i="8"/>
  <c r="G612" i="8"/>
  <c r="C612" i="8"/>
  <c r="G74" i="1" s="1"/>
  <c r="C611" i="8"/>
  <c r="F74" i="1" s="1"/>
  <c r="K610" i="8"/>
  <c r="J74" i="1" s="1"/>
  <c r="G610" i="8"/>
  <c r="M74" i="1" s="1"/>
  <c r="R606" i="8"/>
  <c r="W605" i="8"/>
  <c r="Y605" i="8" s="1"/>
  <c r="U606" i="8" s="1"/>
  <c r="H604" i="8"/>
  <c r="G604" i="8"/>
  <c r="R569" i="8"/>
  <c r="R570" i="8" s="1"/>
  <c r="G566" i="8"/>
  <c r="K566" i="8" s="1"/>
  <c r="C566" i="8"/>
  <c r="G21" i="1" s="1"/>
  <c r="R565" i="8"/>
  <c r="C565" i="8"/>
  <c r="F21" i="1" s="1"/>
  <c r="K564" i="8"/>
  <c r="J21" i="1" s="1"/>
  <c r="G564" i="8"/>
  <c r="M21" i="1" s="1"/>
  <c r="R560" i="8"/>
  <c r="W559" i="8"/>
  <c r="Y559" i="8" s="1"/>
  <c r="U560" i="8" s="1"/>
  <c r="W560" i="8" s="1"/>
  <c r="Y560" i="8" s="1"/>
  <c r="H558" i="8"/>
  <c r="G558" i="8"/>
  <c r="C551" i="8"/>
  <c r="G550" i="8"/>
  <c r="K550" i="8" s="1"/>
  <c r="C550" i="8"/>
  <c r="G79" i="1" s="1"/>
  <c r="C549" i="8"/>
  <c r="F79" i="1" s="1"/>
  <c r="K548" i="8"/>
  <c r="J79" i="1" s="1"/>
  <c r="G548" i="8"/>
  <c r="M79" i="1" s="1"/>
  <c r="Y545" i="8"/>
  <c r="W546" i="8" s="1"/>
  <c r="Y546" i="8" s="1"/>
  <c r="W547" i="8" s="1"/>
  <c r="Y547" i="8" s="1"/>
  <c r="Y544" i="8"/>
  <c r="W543" i="8"/>
  <c r="Y543" i="8" s="1"/>
  <c r="R543" i="8"/>
  <c r="R544" i="8" s="1"/>
  <c r="H542" i="8"/>
  <c r="G542" i="8"/>
  <c r="R509" i="8"/>
  <c r="G505" i="8"/>
  <c r="K505" i="8" s="1"/>
  <c r="C505" i="8"/>
  <c r="G64" i="1" s="1"/>
  <c r="C504" i="8"/>
  <c r="F64" i="1" s="1"/>
  <c r="K503" i="8"/>
  <c r="J64" i="1" s="1"/>
  <c r="G503" i="8"/>
  <c r="M64" i="1" s="1"/>
  <c r="R499" i="8"/>
  <c r="R500" i="8" s="1"/>
  <c r="R501" i="8" s="1"/>
  <c r="R502" i="8" s="1"/>
  <c r="R503" i="8" s="1"/>
  <c r="R504" i="8" s="1"/>
  <c r="R505" i="8" s="1"/>
  <c r="R506" i="8" s="1"/>
  <c r="R507" i="8" s="1"/>
  <c r="W498" i="8"/>
  <c r="Y498" i="8" s="1"/>
  <c r="U499" i="8" s="1"/>
  <c r="H497" i="8"/>
  <c r="G497" i="8"/>
  <c r="R1407" i="8"/>
  <c r="R1408" i="8" s="1"/>
  <c r="G1404" i="8"/>
  <c r="C1404" i="8"/>
  <c r="G81" i="1" s="1"/>
  <c r="C1403" i="8"/>
  <c r="F81" i="1" s="1"/>
  <c r="K1402" i="8"/>
  <c r="J81" i="1" s="1"/>
  <c r="G1402" i="8"/>
  <c r="M81" i="1" s="1"/>
  <c r="W1397" i="8"/>
  <c r="Y1397" i="8" s="1"/>
  <c r="H1396" i="8"/>
  <c r="G1396" i="8"/>
  <c r="G488" i="8"/>
  <c r="O45" i="1" s="1"/>
  <c r="C488" i="8"/>
  <c r="G45" i="1" s="1"/>
  <c r="C489" i="8"/>
  <c r="C487" i="8"/>
  <c r="F45" i="1" s="1"/>
  <c r="K486" i="8"/>
  <c r="J45" i="1" s="1"/>
  <c r="G486" i="8"/>
  <c r="M45" i="1" s="1"/>
  <c r="W481" i="8"/>
  <c r="Y481" i="8" s="1"/>
  <c r="U482" i="8" s="1"/>
  <c r="H480" i="8"/>
  <c r="G480" i="8"/>
  <c r="U429" i="8"/>
  <c r="W429" i="8" s="1"/>
  <c r="Y429" i="8" s="1"/>
  <c r="R429" i="8"/>
  <c r="C426" i="8" s="1"/>
  <c r="G425" i="8"/>
  <c r="K425" i="8" s="1"/>
  <c r="C425" i="8"/>
  <c r="G94" i="1" s="1"/>
  <c r="C424" i="8"/>
  <c r="F94" i="1" s="1"/>
  <c r="K423" i="8"/>
  <c r="J94" i="1" s="1"/>
  <c r="G423" i="8"/>
  <c r="M94" i="1" s="1"/>
  <c r="W418" i="8"/>
  <c r="Y418" i="8" s="1"/>
  <c r="U419" i="8" s="1"/>
  <c r="W419" i="8" s="1"/>
  <c r="Y419" i="8" s="1"/>
  <c r="W420" i="8" s="1"/>
  <c r="Y420" i="8" s="1"/>
  <c r="U421" i="8" s="1"/>
  <c r="W421" i="8" s="1"/>
  <c r="Y421" i="8" s="1"/>
  <c r="W422" i="8" s="1"/>
  <c r="Y422" i="8" s="1"/>
  <c r="H417" i="8"/>
  <c r="G417" i="8"/>
  <c r="G409" i="8"/>
  <c r="K409" i="8" s="1"/>
  <c r="C409" i="8"/>
  <c r="G95" i="1" s="1"/>
  <c r="C408" i="8"/>
  <c r="F95" i="1" s="1"/>
  <c r="K407" i="8"/>
  <c r="J95" i="1" s="1"/>
  <c r="G407" i="8"/>
  <c r="M95" i="1" s="1"/>
  <c r="R405" i="8"/>
  <c r="R406" i="8" s="1"/>
  <c r="R407" i="8" s="1"/>
  <c r="W402" i="8"/>
  <c r="Y402" i="8" s="1"/>
  <c r="W403" i="8" s="1"/>
  <c r="Y403" i="8" s="1"/>
  <c r="W404" i="8" s="1"/>
  <c r="Y404" i="8" s="1"/>
  <c r="W405" i="8" s="1"/>
  <c r="Y405" i="8" s="1"/>
  <c r="W406" i="8" s="1"/>
  <c r="Y406" i="8" s="1"/>
  <c r="H401" i="8"/>
  <c r="G401" i="8"/>
  <c r="C394" i="8"/>
  <c r="G393" i="8"/>
  <c r="K393" i="8" s="1"/>
  <c r="C393" i="8"/>
  <c r="G44" i="1" s="1"/>
  <c r="C392" i="8"/>
  <c r="K391" i="8"/>
  <c r="J44" i="1" s="1"/>
  <c r="G391" i="8"/>
  <c r="M44" i="1" s="1"/>
  <c r="W386" i="8"/>
  <c r="Y386" i="8" s="1"/>
  <c r="U387" i="8" s="1"/>
  <c r="H385" i="8"/>
  <c r="G385" i="8"/>
  <c r="U321" i="8"/>
  <c r="W321" i="8" s="1"/>
  <c r="Y321" i="8" s="1"/>
  <c r="R321" i="8"/>
  <c r="R320" i="8"/>
  <c r="R319" i="8"/>
  <c r="U318" i="8"/>
  <c r="W318" i="8" s="1"/>
  <c r="Y318" i="8" s="1"/>
  <c r="U319" i="8" s="1"/>
  <c r="W319" i="8" s="1"/>
  <c r="Y319" i="8" s="1"/>
  <c r="U320" i="8" s="1"/>
  <c r="R318" i="8"/>
  <c r="R317" i="8"/>
  <c r="G317" i="8"/>
  <c r="K317" i="8" s="1"/>
  <c r="C317" i="8"/>
  <c r="R316" i="8"/>
  <c r="C316" i="8"/>
  <c r="R315" i="8"/>
  <c r="K315" i="8"/>
  <c r="G315" i="8"/>
  <c r="R314" i="8"/>
  <c r="K314" i="8"/>
  <c r="R313" i="8"/>
  <c r="R312" i="8"/>
  <c r="R311" i="8"/>
  <c r="W310" i="8"/>
  <c r="Y310" i="8" s="1"/>
  <c r="U311" i="8" s="1"/>
  <c r="W311" i="8" s="1"/>
  <c r="Y311" i="8" s="1"/>
  <c r="U312" i="8" s="1"/>
  <c r="W312" i="8" s="1"/>
  <c r="Y312" i="8" s="1"/>
  <c r="U313" i="8" s="1"/>
  <c r="W313" i="8" s="1"/>
  <c r="Y313" i="8" s="1"/>
  <c r="U314" i="8" s="1"/>
  <c r="W314" i="8" s="1"/>
  <c r="Y314" i="8" s="1"/>
  <c r="U315" i="8" s="1"/>
  <c r="W315" i="8" s="1"/>
  <c r="Y315" i="8" s="1"/>
  <c r="U316" i="8" s="1"/>
  <c r="W316" i="8" s="1"/>
  <c r="Y316" i="8" s="1"/>
  <c r="U317" i="8" s="1"/>
  <c r="W317" i="8" s="1"/>
  <c r="Y317" i="8" s="1"/>
  <c r="H309" i="8"/>
  <c r="G309" i="8"/>
  <c r="U305" i="8"/>
  <c r="W305" i="8" s="1"/>
  <c r="Y305" i="8" s="1"/>
  <c r="R301" i="8"/>
  <c r="C302" i="8" s="1"/>
  <c r="G301" i="8"/>
  <c r="C301" i="8"/>
  <c r="G89" i="1" s="1"/>
  <c r="C300" i="8"/>
  <c r="K299" i="8"/>
  <c r="J89" i="1" s="1"/>
  <c r="G299" i="8"/>
  <c r="M89" i="1" s="1"/>
  <c r="R298" i="8"/>
  <c r="W294" i="8"/>
  <c r="Y294" i="8" s="1"/>
  <c r="U295" i="8" s="1"/>
  <c r="W295" i="8" s="1"/>
  <c r="Y295" i="8" s="1"/>
  <c r="U296" i="8" s="1"/>
  <c r="W296" i="8" s="1"/>
  <c r="Y296" i="8" s="1"/>
  <c r="U297" i="8" s="1"/>
  <c r="W297" i="8" s="1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H293" i="8"/>
  <c r="G293" i="8"/>
  <c r="G285" i="8"/>
  <c r="K285" i="8" s="1"/>
  <c r="C285" i="8"/>
  <c r="G39" i="1" s="1"/>
  <c r="C284" i="8"/>
  <c r="K283" i="8"/>
  <c r="J39" i="1" s="1"/>
  <c r="G283" i="8"/>
  <c r="M39" i="1" s="1"/>
  <c r="R279" i="8"/>
  <c r="R280" i="8" s="1"/>
  <c r="R281" i="8" s="1"/>
  <c r="R282" i="8" s="1"/>
  <c r="R283" i="8" s="1"/>
  <c r="R284" i="8" s="1"/>
  <c r="R285" i="8" s="1"/>
  <c r="R286" i="8" s="1"/>
  <c r="R287" i="8" s="1"/>
  <c r="W278" i="8"/>
  <c r="Y278" i="8" s="1"/>
  <c r="U279" i="8" s="1"/>
  <c r="H277" i="8"/>
  <c r="G277" i="8"/>
  <c r="C473" i="8"/>
  <c r="G472" i="8"/>
  <c r="K472" i="8" s="1"/>
  <c r="C472" i="8"/>
  <c r="G43" i="1" s="1"/>
  <c r="C471" i="8"/>
  <c r="K470" i="8"/>
  <c r="J43" i="1" s="1"/>
  <c r="G470" i="8"/>
  <c r="M43" i="1" s="1"/>
  <c r="W465" i="8"/>
  <c r="Y465" i="8" s="1"/>
  <c r="H464" i="8"/>
  <c r="G464" i="8"/>
  <c r="G255" i="8"/>
  <c r="K255" i="8" s="1"/>
  <c r="C255" i="8"/>
  <c r="C254" i="8"/>
  <c r="F83" i="1" s="1"/>
  <c r="K253" i="8"/>
  <c r="J83" i="1" s="1"/>
  <c r="G253" i="8"/>
  <c r="M83" i="1" s="1"/>
  <c r="R249" i="8"/>
  <c r="R250" i="8" s="1"/>
  <c r="R251" i="8" s="1"/>
  <c r="R252" i="8" s="1"/>
  <c r="R253" i="8" s="1"/>
  <c r="R254" i="8" s="1"/>
  <c r="R255" i="8" s="1"/>
  <c r="R256" i="8" s="1"/>
  <c r="R257" i="8" s="1"/>
  <c r="W248" i="8"/>
  <c r="Y248" i="8" s="1"/>
  <c r="H247" i="8"/>
  <c r="G247" i="8"/>
  <c r="C240" i="8"/>
  <c r="G239" i="8"/>
  <c r="K239" i="8" s="1"/>
  <c r="C239" i="8"/>
  <c r="G34" i="1" s="1"/>
  <c r="C238" i="8"/>
  <c r="K237" i="8"/>
  <c r="J34" i="1" s="1"/>
  <c r="G237" i="8"/>
  <c r="M34" i="1" s="1"/>
  <c r="W232" i="8"/>
  <c r="Y232" i="8" s="1"/>
  <c r="H231" i="8"/>
  <c r="G231" i="8"/>
  <c r="R227" i="8"/>
  <c r="G223" i="8"/>
  <c r="K223" i="8" s="1"/>
  <c r="C223" i="8"/>
  <c r="G33" i="1" s="1"/>
  <c r="C222" i="8"/>
  <c r="K221" i="8"/>
  <c r="J33" i="1" s="1"/>
  <c r="G221" i="8"/>
  <c r="M33" i="1" s="1"/>
  <c r="R220" i="8"/>
  <c r="R221" i="8" s="1"/>
  <c r="R222" i="8" s="1"/>
  <c r="R223" i="8" s="1"/>
  <c r="R224" i="8" s="1"/>
  <c r="R225" i="8" s="1"/>
  <c r="W216" i="8"/>
  <c r="Y216" i="8" s="1"/>
  <c r="H215" i="8"/>
  <c r="G215" i="8"/>
  <c r="U958" i="8"/>
  <c r="W958" i="8" s="1"/>
  <c r="Y958" i="8" s="1"/>
  <c r="R958" i="8"/>
  <c r="U955" i="8"/>
  <c r="W955" i="8" s="1"/>
  <c r="Y955" i="8" s="1"/>
  <c r="U956" i="8" s="1"/>
  <c r="W956" i="8" s="1"/>
  <c r="Y956" i="8" s="1"/>
  <c r="U957" i="8" s="1"/>
  <c r="R955" i="8"/>
  <c r="R954" i="8"/>
  <c r="G954" i="8"/>
  <c r="K954" i="8" s="1"/>
  <c r="C954" i="8"/>
  <c r="C953" i="8"/>
  <c r="R952" i="8"/>
  <c r="G952" i="8"/>
  <c r="R951" i="8"/>
  <c r="K951" i="8"/>
  <c r="K953" i="8" s="1"/>
  <c r="R950" i="8"/>
  <c r="U948" i="8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R948" i="8"/>
  <c r="W947" i="8"/>
  <c r="Y947" i="8" s="1"/>
  <c r="H946" i="8"/>
  <c r="G946" i="8"/>
  <c r="C940" i="8"/>
  <c r="G939" i="8"/>
  <c r="K939" i="8" s="1"/>
  <c r="C939" i="8"/>
  <c r="G50" i="1" s="1"/>
  <c r="C938" i="8"/>
  <c r="K937" i="8"/>
  <c r="J50" i="1" s="1"/>
  <c r="G937" i="8"/>
  <c r="M50" i="1" s="1"/>
  <c r="W932" i="8"/>
  <c r="Y932" i="8" s="1"/>
  <c r="H931" i="8"/>
  <c r="G931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H120" i="8"/>
  <c r="G120" i="8"/>
  <c r="G143" i="8"/>
  <c r="C143" i="8"/>
  <c r="G13" i="1" s="1"/>
  <c r="C142" i="8"/>
  <c r="F13" i="1" s="1"/>
  <c r="K141" i="8"/>
  <c r="J13" i="1" s="1"/>
  <c r="G141" i="8"/>
  <c r="M13" i="1" s="1"/>
  <c r="W136" i="8"/>
  <c r="Y136" i="8" s="1"/>
  <c r="U137" i="8" s="1"/>
  <c r="R136" i="8"/>
  <c r="R137" i="8" s="1"/>
  <c r="R138" i="8" s="1"/>
  <c r="R139" i="8" s="1"/>
  <c r="R140" i="8" s="1"/>
  <c r="R141" i="8" s="1"/>
  <c r="R142" i="8" s="1"/>
  <c r="H135" i="8"/>
  <c r="G135" i="8"/>
  <c r="C208" i="8"/>
  <c r="G207" i="8"/>
  <c r="C207" i="8"/>
  <c r="G90" i="1" s="1"/>
  <c r="C206" i="8"/>
  <c r="F90" i="1" s="1"/>
  <c r="K205" i="8"/>
  <c r="J90" i="1" s="1"/>
  <c r="G205" i="8"/>
  <c r="M90" i="1" s="1"/>
  <c r="W200" i="8"/>
  <c r="Y200" i="8" s="1"/>
  <c r="H199" i="8"/>
  <c r="G199" i="8"/>
  <c r="U195" i="8"/>
  <c r="W195" i="8" s="1"/>
  <c r="Y195" i="8" s="1"/>
  <c r="R193" i="8"/>
  <c r="U192" i="8"/>
  <c r="W192" i="8" s="1"/>
  <c r="Y192" i="8" s="1"/>
  <c r="U193" i="8" s="1"/>
  <c r="W193" i="8" s="1"/>
  <c r="Y193" i="8" s="1"/>
  <c r="U194" i="8" s="1"/>
  <c r="R192" i="8"/>
  <c r="R191" i="8"/>
  <c r="G191" i="8"/>
  <c r="K191" i="8" s="1"/>
  <c r="C191" i="8"/>
  <c r="R190" i="8"/>
  <c r="C190" i="8"/>
  <c r="R189" i="8"/>
  <c r="G189" i="8"/>
  <c r="U188" i="8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R188" i="8"/>
  <c r="W186" i="8"/>
  <c r="Y186" i="8" s="1"/>
  <c r="U187" i="8" s="1"/>
  <c r="W187" i="8" s="1"/>
  <c r="Y187" i="8" s="1"/>
  <c r="R186" i="8"/>
  <c r="W185" i="8"/>
  <c r="Y185" i="8" s="1"/>
  <c r="W184" i="8"/>
  <c r="Y184" i="8" s="1"/>
  <c r="H183" i="8"/>
  <c r="G183" i="8"/>
  <c r="R586" i="8"/>
  <c r="C583" i="8" s="1"/>
  <c r="G582" i="8"/>
  <c r="K582" i="8" s="1"/>
  <c r="C582" i="8"/>
  <c r="G87" i="1" s="1"/>
  <c r="W581" i="8"/>
  <c r="Y581" i="8" s="1"/>
  <c r="U582" i="8" s="1"/>
  <c r="W582" i="8" s="1"/>
  <c r="Y582" i="8" s="1"/>
  <c r="C581" i="8"/>
  <c r="F87" i="1" s="1"/>
  <c r="J87" i="1"/>
  <c r="G580" i="8"/>
  <c r="W579" i="8"/>
  <c r="Y579" i="8" s="1"/>
  <c r="U580" i="8" s="1"/>
  <c r="W580" i="8" s="1"/>
  <c r="Y580" i="8" s="1"/>
  <c r="U581" i="8" s="1"/>
  <c r="R577" i="8"/>
  <c r="Y575" i="8"/>
  <c r="U576" i="8" s="1"/>
  <c r="W576" i="8" s="1"/>
  <c r="H574" i="8"/>
  <c r="G574" i="8"/>
  <c r="G174" i="8"/>
  <c r="K174" i="8" s="1"/>
  <c r="C174" i="8"/>
  <c r="G100" i="1" s="1"/>
  <c r="C173" i="8"/>
  <c r="F100" i="1" s="1"/>
  <c r="K172" i="8"/>
  <c r="J100" i="1" s="1"/>
  <c r="G172" i="8"/>
  <c r="M100" i="1" s="1"/>
  <c r="C175" i="8"/>
  <c r="R168" i="8"/>
  <c r="H166" i="8"/>
  <c r="G166" i="8"/>
  <c r="R158" i="8"/>
  <c r="G158" i="8"/>
  <c r="C158" i="8"/>
  <c r="G8" i="1" s="1"/>
  <c r="R157" i="8"/>
  <c r="C157" i="8"/>
  <c r="F8" i="1" s="1"/>
  <c r="R156" i="8"/>
  <c r="C159" i="8" s="1"/>
  <c r="K156" i="8"/>
  <c r="J8" i="1" s="1"/>
  <c r="G156" i="8"/>
  <c r="M8" i="1" s="1"/>
  <c r="R155" i="8"/>
  <c r="K155" i="8"/>
  <c r="W152" i="8"/>
  <c r="Y152" i="8" s="1"/>
  <c r="U153" i="8" s="1"/>
  <c r="W153" i="8" s="1"/>
  <c r="Y153" i="8" s="1"/>
  <c r="H150" i="8"/>
  <c r="G150" i="8"/>
  <c r="R115" i="8"/>
  <c r="U114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W104" i="8"/>
  <c r="Y104" i="8" s="1"/>
  <c r="H103" i="8"/>
  <c r="G103" i="8"/>
  <c r="R99" i="8"/>
  <c r="U98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C47" i="8"/>
  <c r="G14" i="1" s="1"/>
  <c r="C46" i="8"/>
  <c r="F14" i="1" s="1"/>
  <c r="K45" i="8"/>
  <c r="J14" i="1" s="1"/>
  <c r="G45" i="8"/>
  <c r="K44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0" i="8"/>
  <c r="R41" i="8" s="1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R24" i="8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40" i="1"/>
  <c r="E40" i="1"/>
  <c r="B40" i="1"/>
  <c r="H77" i="1"/>
  <c r="E77" i="1"/>
  <c r="B77" i="1"/>
  <c r="H94" i="1"/>
  <c r="E94" i="1"/>
  <c r="B94" i="1"/>
  <c r="H59" i="1"/>
  <c r="E59" i="1"/>
  <c r="H102" i="1"/>
  <c r="E102" i="1"/>
  <c r="J70" i="1"/>
  <c r="H70" i="1"/>
  <c r="E70" i="1"/>
  <c r="B70" i="1"/>
  <c r="H71" i="1"/>
  <c r="E71" i="1"/>
  <c r="I67" i="1"/>
  <c r="H67" i="1"/>
  <c r="E67" i="1"/>
  <c r="B67" i="1"/>
  <c r="H88" i="1"/>
  <c r="E88" i="1"/>
  <c r="B88" i="1"/>
  <c r="H66" i="1"/>
  <c r="E66" i="1"/>
  <c r="B66" i="1"/>
  <c r="H37" i="1"/>
  <c r="E37" i="1"/>
  <c r="H58" i="1"/>
  <c r="E58" i="1"/>
  <c r="H35" i="1"/>
  <c r="E35" i="1"/>
  <c r="H64" i="1"/>
  <c r="E64" i="1"/>
  <c r="H61" i="1"/>
  <c r="E61" i="1"/>
  <c r="B61" i="1"/>
  <c r="H89" i="1"/>
  <c r="E89" i="1"/>
  <c r="B89" i="1"/>
  <c r="H93" i="1"/>
  <c r="E93" i="1"/>
  <c r="B93" i="1"/>
  <c r="H57" i="1"/>
  <c r="E57" i="1"/>
  <c r="H56" i="1"/>
  <c r="E56" i="1"/>
  <c r="H48" i="1"/>
  <c r="E48" i="1"/>
  <c r="H36" i="1"/>
  <c r="E36" i="1"/>
  <c r="B36" i="1"/>
  <c r="H65" i="1"/>
  <c r="E65" i="1"/>
  <c r="B65" i="1"/>
  <c r="H51" i="1"/>
  <c r="E51" i="1"/>
  <c r="B51" i="1"/>
  <c r="H85" i="1"/>
  <c r="E85" i="1"/>
  <c r="B85" i="1"/>
  <c r="H60" i="1"/>
  <c r="E60" i="1"/>
  <c r="B60" i="1"/>
  <c r="H81" i="1"/>
  <c r="E81" i="1"/>
  <c r="B81" i="1"/>
  <c r="H53" i="1"/>
  <c r="E53" i="1"/>
  <c r="B53" i="1"/>
  <c r="H52" i="1"/>
  <c r="E52" i="1"/>
  <c r="B52" i="1"/>
  <c r="H49" i="1"/>
  <c r="E49" i="1"/>
  <c r="H96" i="1"/>
  <c r="E96" i="1"/>
  <c r="H92" i="1"/>
  <c r="E92" i="1"/>
  <c r="H45" i="1"/>
  <c r="E45" i="1"/>
  <c r="B45" i="1"/>
  <c r="H82" i="1"/>
  <c r="E82" i="1"/>
  <c r="H44" i="1"/>
  <c r="E44" i="1"/>
  <c r="B44" i="1"/>
  <c r="H42" i="1"/>
  <c r="E42" i="1"/>
  <c r="B42" i="1"/>
  <c r="H79" i="1"/>
  <c r="E79" i="1"/>
  <c r="H39" i="1"/>
  <c r="E39" i="1"/>
  <c r="H15" i="1"/>
  <c r="E15" i="1"/>
  <c r="B15" i="1"/>
  <c r="H43" i="1"/>
  <c r="E43" i="1"/>
  <c r="B43" i="1"/>
  <c r="H103" i="1"/>
  <c r="E103" i="1"/>
  <c r="B103" i="1"/>
  <c r="H83" i="1"/>
  <c r="E83" i="1"/>
  <c r="H38" i="1"/>
  <c r="E38" i="1"/>
  <c r="H34" i="1"/>
  <c r="E34" i="1"/>
  <c r="H33" i="1"/>
  <c r="E33" i="1"/>
  <c r="B33" i="1"/>
  <c r="H50" i="1"/>
  <c r="E50" i="1"/>
  <c r="H32" i="1"/>
  <c r="E32" i="1"/>
  <c r="H27" i="1"/>
  <c r="E27" i="1"/>
  <c r="B27" i="1"/>
  <c r="H26" i="1"/>
  <c r="E26" i="1"/>
  <c r="B26" i="1"/>
  <c r="H29" i="1"/>
  <c r="E29" i="1"/>
  <c r="B29" i="1"/>
  <c r="H73" i="1"/>
  <c r="E73" i="1"/>
  <c r="B73" i="1"/>
  <c r="H76" i="1"/>
  <c r="E76" i="1"/>
  <c r="B76" i="1"/>
  <c r="H98" i="1"/>
  <c r="E98" i="1"/>
  <c r="B98" i="1"/>
  <c r="H91" i="1"/>
  <c r="E91" i="1"/>
  <c r="B91" i="1"/>
  <c r="H28" i="1"/>
  <c r="E28" i="1"/>
  <c r="B28" i="1"/>
  <c r="H84" i="1"/>
  <c r="E84" i="1"/>
  <c r="B84" i="1"/>
  <c r="H80" i="1"/>
  <c r="E80" i="1"/>
  <c r="B80" i="1"/>
  <c r="H24" i="1"/>
  <c r="E24" i="1"/>
  <c r="H75" i="1"/>
  <c r="E75" i="1"/>
  <c r="B75" i="1"/>
  <c r="H20" i="1"/>
  <c r="E20" i="1"/>
  <c r="B20" i="1"/>
  <c r="H21" i="1"/>
  <c r="E21" i="1"/>
  <c r="B21" i="1"/>
  <c r="H25" i="1"/>
  <c r="E25" i="1"/>
  <c r="B25" i="1"/>
  <c r="H72" i="1"/>
  <c r="E72" i="1"/>
  <c r="B72" i="1"/>
  <c r="H17" i="1"/>
  <c r="E17" i="1"/>
  <c r="B17" i="1"/>
  <c r="E16" i="1"/>
  <c r="B16" i="1"/>
  <c r="H95" i="1"/>
  <c r="E95" i="1"/>
  <c r="B95" i="1"/>
  <c r="Y41" i="1"/>
  <c r="H41" i="1"/>
  <c r="E41" i="1"/>
  <c r="B41" i="1"/>
  <c r="H90" i="1"/>
  <c r="E90" i="1"/>
  <c r="B90" i="1"/>
  <c r="H87" i="1"/>
  <c r="E87" i="1"/>
  <c r="B87" i="1"/>
  <c r="H100" i="1"/>
  <c r="E100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353" i="8" l="1"/>
  <c r="I1369" i="8"/>
  <c r="I28" i="1" s="1"/>
  <c r="C1325" i="8"/>
  <c r="I1321" i="8" s="1"/>
  <c r="K1321" i="8" s="1"/>
  <c r="K1323" i="8" s="1"/>
  <c r="U537" i="8"/>
  <c r="W537" i="8" s="1"/>
  <c r="Y537" i="8" s="1"/>
  <c r="K1353" i="8"/>
  <c r="K1355" i="8" s="1"/>
  <c r="R145" i="8"/>
  <c r="R146" i="8" s="1"/>
  <c r="R147" i="8" s="1"/>
  <c r="R143" i="8"/>
  <c r="I579" i="8"/>
  <c r="K579" i="8" s="1"/>
  <c r="C955" i="8"/>
  <c r="C1214" i="8"/>
  <c r="I1210" i="8" s="1"/>
  <c r="I101" i="1" s="1"/>
  <c r="R695" i="8"/>
  <c r="R696" i="8" s="1"/>
  <c r="C129" i="8"/>
  <c r="I125" i="8" s="1"/>
  <c r="K125" i="8" s="1"/>
  <c r="K127" i="8" s="1"/>
  <c r="K129" i="8" s="1"/>
  <c r="C1114" i="8"/>
  <c r="I1275" i="8"/>
  <c r="I1385" i="8"/>
  <c r="K1385" i="8" s="1"/>
  <c r="K1387" i="8" s="1"/>
  <c r="K1389" i="8" s="1"/>
  <c r="C64" i="8"/>
  <c r="I453" i="8"/>
  <c r="K453" i="8" s="1"/>
  <c r="K455" i="8" s="1"/>
  <c r="C16" i="8"/>
  <c r="I12" i="8" s="1"/>
  <c r="K12" i="8" s="1"/>
  <c r="K14" i="8" s="1"/>
  <c r="K16" i="8" s="1"/>
  <c r="C112" i="8"/>
  <c r="I108" i="8" s="1"/>
  <c r="K108" i="8" s="1"/>
  <c r="K110" i="8" s="1"/>
  <c r="K112" i="8" s="1"/>
  <c r="Q10" i="1" s="1"/>
  <c r="I267" i="8"/>
  <c r="K267" i="8" s="1"/>
  <c r="C795" i="8"/>
  <c r="C192" i="8"/>
  <c r="I188" i="8" s="1"/>
  <c r="K188" i="8" s="1"/>
  <c r="K190" i="8" s="1"/>
  <c r="K192" i="8" s="1"/>
  <c r="I236" i="8"/>
  <c r="C32" i="8"/>
  <c r="I28" i="8" s="1"/>
  <c r="K28" i="8" s="1"/>
  <c r="K30" i="8" s="1"/>
  <c r="K32" i="8" s="1"/>
  <c r="U122" i="8"/>
  <c r="W122" i="8" s="1"/>
  <c r="Y122" i="8" s="1"/>
  <c r="R607" i="8"/>
  <c r="R608" i="8" s="1"/>
  <c r="R609" i="8" s="1"/>
  <c r="R690" i="8"/>
  <c r="R691" i="8" s="1"/>
  <c r="C1146" i="8"/>
  <c r="U233" i="8"/>
  <c r="W233" i="8" s="1"/>
  <c r="Y233" i="8" s="1"/>
  <c r="U234" i="8" s="1"/>
  <c r="W234" i="8" s="1"/>
  <c r="Y234" i="8" s="1"/>
  <c r="U235" i="8" s="1"/>
  <c r="C318" i="8"/>
  <c r="C1405" i="8"/>
  <c r="I1401" i="8" s="1"/>
  <c r="I81" i="1" s="1"/>
  <c r="C1178" i="8"/>
  <c r="R342" i="8"/>
  <c r="R343" i="8" s="1"/>
  <c r="R344" i="8" s="1"/>
  <c r="R345" i="8" s="1"/>
  <c r="R346" i="8" s="1"/>
  <c r="R347" i="8" s="1"/>
  <c r="R348" i="8" s="1"/>
  <c r="R349" i="8" s="1"/>
  <c r="R350" i="8" s="1"/>
  <c r="R351" i="8" s="1"/>
  <c r="R515" i="8"/>
  <c r="R516" i="8" s="1"/>
  <c r="R517" i="8" s="1"/>
  <c r="R518" i="8" s="1"/>
  <c r="R519" i="8" s="1"/>
  <c r="R520" i="8" s="1"/>
  <c r="R521" i="8" s="1"/>
  <c r="R522" i="8" s="1"/>
  <c r="C521" i="8" s="1"/>
  <c r="I517" i="8" s="1"/>
  <c r="I71" i="1" s="1"/>
  <c r="R722" i="8"/>
  <c r="R723" i="8" s="1"/>
  <c r="R724" i="8" s="1"/>
  <c r="R725" i="8" s="1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U1398" i="8"/>
  <c r="W1398" i="8" s="1"/>
  <c r="Y1398" i="8" s="1"/>
  <c r="U1399" i="8" s="1"/>
  <c r="W1399" i="8" s="1"/>
  <c r="Y1399" i="8" s="1"/>
  <c r="U1400" i="8" s="1"/>
  <c r="C1002" i="8"/>
  <c r="R327" i="8"/>
  <c r="R328" i="8" s="1"/>
  <c r="R329" i="8" s="1"/>
  <c r="R330" i="8" s="1"/>
  <c r="C1098" i="8"/>
  <c r="I485" i="8"/>
  <c r="K485" i="8" s="1"/>
  <c r="K487" i="8" s="1"/>
  <c r="I1062" i="8"/>
  <c r="K1062" i="8" s="1"/>
  <c r="K1064" i="8" s="1"/>
  <c r="Q37" i="1" s="1"/>
  <c r="I171" i="8"/>
  <c r="I100" i="1" s="1"/>
  <c r="I824" i="8"/>
  <c r="K824" i="8" s="1"/>
  <c r="K826" i="8" s="1"/>
  <c r="K828" i="8" s="1"/>
  <c r="R707" i="8"/>
  <c r="R708" i="8" s="1"/>
  <c r="C712" i="8" s="1"/>
  <c r="I708" i="8" s="1"/>
  <c r="R706" i="8"/>
  <c r="C224" i="8"/>
  <c r="I220" i="8" s="1"/>
  <c r="K220" i="8" s="1"/>
  <c r="K222" i="8" s="1"/>
  <c r="F44" i="1"/>
  <c r="I390" i="8"/>
  <c r="K390" i="8" s="1"/>
  <c r="K392" i="8" s="1"/>
  <c r="F15" i="1"/>
  <c r="F34" i="1"/>
  <c r="F77" i="1"/>
  <c r="U249" i="8"/>
  <c r="W249" i="8" s="1"/>
  <c r="Y249" i="8" s="1"/>
  <c r="K236" i="8"/>
  <c r="K238" i="8" s="1"/>
  <c r="K34" i="1" s="1"/>
  <c r="I1433" i="8"/>
  <c r="K1433" i="8" s="1"/>
  <c r="K1435" i="8" s="1"/>
  <c r="F50" i="1"/>
  <c r="I936" i="8"/>
  <c r="F58" i="1"/>
  <c r="I676" i="8"/>
  <c r="K676" i="8" s="1"/>
  <c r="K678" i="8" s="1"/>
  <c r="F42" i="1"/>
  <c r="C811" i="8"/>
  <c r="I807" i="8" s="1"/>
  <c r="K807" i="8" s="1"/>
  <c r="K809" i="8" s="1"/>
  <c r="K84" i="1" s="1"/>
  <c r="U201" i="8"/>
  <c r="W201" i="8" s="1"/>
  <c r="Y201" i="8" s="1"/>
  <c r="W202" i="8" s="1"/>
  <c r="Y202" i="8" s="1"/>
  <c r="W203" i="8" s="1"/>
  <c r="Y203" i="8" s="1"/>
  <c r="Y204" i="8" s="1"/>
  <c r="U205" i="8" s="1"/>
  <c r="W205" i="8" s="1"/>
  <c r="Y205" i="8" s="1"/>
  <c r="U466" i="8"/>
  <c r="W466" i="8" s="1"/>
  <c r="Y466" i="8" s="1"/>
  <c r="Y467" i="8" s="1"/>
  <c r="U468" i="8" s="1"/>
  <c r="W468" i="8" s="1"/>
  <c r="Y468" i="8" s="1"/>
  <c r="O90" i="1"/>
  <c r="K207" i="8"/>
  <c r="C48" i="8"/>
  <c r="U561" i="8"/>
  <c r="W561" i="8" s="1"/>
  <c r="Y561" i="8" s="1"/>
  <c r="K62" i="8"/>
  <c r="K64" i="8" s="1"/>
  <c r="Q16" i="1" s="1"/>
  <c r="K1112" i="8"/>
  <c r="C1263" i="8"/>
  <c r="K157" i="8"/>
  <c r="K8" i="1" s="1"/>
  <c r="U154" i="8"/>
  <c r="W154" i="8" s="1"/>
  <c r="Y154" i="8" s="1"/>
  <c r="U155" i="8" s="1"/>
  <c r="W155" i="8" s="1"/>
  <c r="Y155" i="8" s="1"/>
  <c r="Y423" i="8"/>
  <c r="W424" i="8" s="1"/>
  <c r="Y424" i="8" s="1"/>
  <c r="U423" i="8"/>
  <c r="W705" i="8"/>
  <c r="Y705" i="8" s="1"/>
  <c r="U706" i="8" s="1"/>
  <c r="W357" i="8"/>
  <c r="Y357" i="8" s="1"/>
  <c r="U358" i="8" s="1"/>
  <c r="N14" i="1"/>
  <c r="U583" i="8"/>
  <c r="W583" i="8" s="1"/>
  <c r="Y583" i="8" s="1"/>
  <c r="U584" i="8" s="1"/>
  <c r="W584" i="8" s="1"/>
  <c r="Y584" i="8" s="1"/>
  <c r="W137" i="8"/>
  <c r="Y137" i="8" s="1"/>
  <c r="U138" i="8" s="1"/>
  <c r="W251" i="8"/>
  <c r="Y251" i="8" s="1"/>
  <c r="W341" i="8"/>
  <c r="Y341" i="8" s="1"/>
  <c r="U342" i="8" s="1"/>
  <c r="R667" i="8"/>
  <c r="C664" i="8" s="1"/>
  <c r="I660" i="8" s="1"/>
  <c r="U217" i="8"/>
  <c r="W217" i="8" s="1"/>
  <c r="Y217" i="8" s="1"/>
  <c r="U933" i="8"/>
  <c r="W933" i="8" s="1"/>
  <c r="Y933" i="8" s="1"/>
  <c r="W934" i="8" s="1"/>
  <c r="Y934" i="8" s="1"/>
  <c r="W935" i="8" s="1"/>
  <c r="Y935" i="8" s="1"/>
  <c r="R408" i="8"/>
  <c r="R409" i="8" s="1"/>
  <c r="R410" i="8" s="1"/>
  <c r="R411" i="8" s="1"/>
  <c r="R412" i="8" s="1"/>
  <c r="R413" i="8" s="1"/>
  <c r="C410" i="8" s="1"/>
  <c r="W606" i="8"/>
  <c r="Y606" i="8" s="1"/>
  <c r="U607" i="8" s="1"/>
  <c r="W279" i="8"/>
  <c r="Y279" i="8" s="1"/>
  <c r="U280" i="8" s="1"/>
  <c r="W387" i="8"/>
  <c r="Y387" i="8" s="1"/>
  <c r="W482" i="8"/>
  <c r="Y482" i="8" s="1"/>
  <c r="U483" i="8" s="1"/>
  <c r="W499" i="8"/>
  <c r="Y499" i="8" s="1"/>
  <c r="U500" i="8" s="1"/>
  <c r="C876" i="8"/>
  <c r="I872" i="8" s="1"/>
  <c r="K872" i="8" s="1"/>
  <c r="K874" i="8" s="1"/>
  <c r="C763" i="8"/>
  <c r="K759" i="8" s="1"/>
  <c r="K761" i="8" s="1"/>
  <c r="U301" i="8"/>
  <c r="W301" i="8" s="1"/>
  <c r="Y301" i="8" s="1"/>
  <c r="U302" i="8" s="1"/>
  <c r="W302" i="8" s="1"/>
  <c r="Y302" i="8" s="1"/>
  <c r="K612" i="8"/>
  <c r="O74" i="1"/>
  <c r="C1018" i="8"/>
  <c r="C631" i="8"/>
  <c r="I627" i="8" s="1"/>
  <c r="I437" i="8"/>
  <c r="K437" i="8" s="1"/>
  <c r="K439" i="8" s="1"/>
  <c r="K40" i="1" s="1"/>
  <c r="F89" i="1"/>
  <c r="I298" i="8"/>
  <c r="K298" i="8" s="1"/>
  <c r="K300" i="8" s="1"/>
  <c r="K1259" i="8"/>
  <c r="K1261" i="8" s="1"/>
  <c r="K158" i="8"/>
  <c r="U855" i="8"/>
  <c r="W855" i="8" s="1"/>
  <c r="Y855" i="8" s="1"/>
  <c r="F43" i="1"/>
  <c r="I469" i="8"/>
  <c r="K469" i="8" s="1"/>
  <c r="K471" i="8" s="1"/>
  <c r="K43" i="1" s="1"/>
  <c r="W1334" i="8"/>
  <c r="Y1334" i="8" s="1"/>
  <c r="C1131" i="8"/>
  <c r="I1127" i="8" s="1"/>
  <c r="F59" i="1"/>
  <c r="O85" i="1"/>
  <c r="G920" i="8"/>
  <c r="L51" i="1" s="1"/>
  <c r="F39" i="1"/>
  <c r="C286" i="8"/>
  <c r="I282" i="8" s="1"/>
  <c r="Y548" i="8"/>
  <c r="W549" i="8" s="1"/>
  <c r="Y549" i="8" s="1"/>
  <c r="W550" i="8" s="1"/>
  <c r="Y550" i="8" s="1"/>
  <c r="W551" i="8" s="1"/>
  <c r="Y551" i="8" s="1"/>
  <c r="W552" i="8" s="1"/>
  <c r="Y552" i="8" s="1"/>
  <c r="U553" i="8" s="1"/>
  <c r="W553" i="8" s="1"/>
  <c r="U548" i="8"/>
  <c r="C892" i="8"/>
  <c r="I888" i="8" s="1"/>
  <c r="K888" i="8" s="1"/>
  <c r="K890" i="8" s="1"/>
  <c r="K53" i="1" s="1"/>
  <c r="C648" i="8"/>
  <c r="I644" i="8" s="1"/>
  <c r="I532" i="8"/>
  <c r="K532" i="8" s="1"/>
  <c r="K534" i="8" s="1"/>
  <c r="K65" i="1" s="1"/>
  <c r="W407" i="8"/>
  <c r="Y407" i="8" s="1"/>
  <c r="U1260" i="8"/>
  <c r="W1260" i="8" s="1"/>
  <c r="Y1260" i="8" s="1"/>
  <c r="U1261" i="8" s="1"/>
  <c r="W1261" i="8" s="1"/>
  <c r="Y1261" i="8" s="1"/>
  <c r="U1262" i="8" s="1"/>
  <c r="W1262" i="8" s="1"/>
  <c r="Y1262" i="8" s="1"/>
  <c r="C745" i="8"/>
  <c r="C598" i="8"/>
  <c r="I594" i="8" s="1"/>
  <c r="K594" i="8" s="1"/>
  <c r="K596" i="8" s="1"/>
  <c r="K20" i="1" s="1"/>
  <c r="C364" i="8"/>
  <c r="I360" i="8" s="1"/>
  <c r="G983" i="8"/>
  <c r="L96" i="1" s="1"/>
  <c r="F91" i="1"/>
  <c r="C860" i="8"/>
  <c r="K856" i="8" s="1"/>
  <c r="K858" i="8" s="1"/>
  <c r="F36" i="1"/>
  <c r="C506" i="8"/>
  <c r="I502" i="8" s="1"/>
  <c r="K502" i="8" s="1"/>
  <c r="K504" i="8" s="1"/>
  <c r="K46" i="8"/>
  <c r="K14" i="1" s="1"/>
  <c r="K547" i="8"/>
  <c r="K549" i="8" s="1"/>
  <c r="C1341" i="8"/>
  <c r="I1337" i="8" s="1"/>
  <c r="K1337" i="8" s="1"/>
  <c r="C779" i="8"/>
  <c r="I775" i="8" s="1"/>
  <c r="C1421" i="8"/>
  <c r="I1417" i="8" s="1"/>
  <c r="K1417" i="8" s="1"/>
  <c r="K1419" i="8" s="1"/>
  <c r="K1000" i="8"/>
  <c r="K67" i="1" s="1"/>
  <c r="O96" i="1"/>
  <c r="G967" i="8"/>
  <c r="G987" i="8"/>
  <c r="P96" i="1" s="1"/>
  <c r="O20" i="1"/>
  <c r="O84" i="1"/>
  <c r="O53" i="1"/>
  <c r="K1001" i="8"/>
  <c r="C1247" i="8"/>
  <c r="I1243" i="8" s="1"/>
  <c r="K1243" i="8" s="1"/>
  <c r="K1245" i="8" s="1"/>
  <c r="C1310" i="8"/>
  <c r="I1306" i="8" s="1"/>
  <c r="I24" i="1" s="1"/>
  <c r="C1198" i="8"/>
  <c r="I1194" i="8" s="1"/>
  <c r="W1319" i="8"/>
  <c r="Y1319" i="8" s="1"/>
  <c r="C256" i="8"/>
  <c r="I252" i="8" s="1"/>
  <c r="F52" i="1"/>
  <c r="C844" i="8"/>
  <c r="I840" i="8" s="1"/>
  <c r="K840" i="8" s="1"/>
  <c r="K842" i="8" s="1"/>
  <c r="K48" i="1" s="1"/>
  <c r="Y576" i="8"/>
  <c r="O91" i="1"/>
  <c r="O98" i="1"/>
  <c r="G331" i="8"/>
  <c r="N38" i="1" s="1"/>
  <c r="C567" i="8"/>
  <c r="I563" i="8" s="1"/>
  <c r="K563" i="8" s="1"/>
  <c r="K565" i="8" s="1"/>
  <c r="C1295" i="8"/>
  <c r="I1291" i="8" s="1"/>
  <c r="C1050" i="8"/>
  <c r="I1046" i="8" s="1"/>
  <c r="F33" i="1"/>
  <c r="F76" i="1"/>
  <c r="F24" i="1"/>
  <c r="K316" i="8"/>
  <c r="K318" i="8" s="1"/>
  <c r="K1144" i="8"/>
  <c r="K1146" i="8" s="1"/>
  <c r="O38" i="1"/>
  <c r="K422" i="8"/>
  <c r="K424" i="8" s="1"/>
  <c r="C924" i="8"/>
  <c r="I920" i="8" s="1"/>
  <c r="I967" i="8"/>
  <c r="K1078" i="8"/>
  <c r="K1080" i="8" s="1"/>
  <c r="K1158" i="8"/>
  <c r="K1160" i="8" s="1"/>
  <c r="O70" i="1"/>
  <c r="O37" i="1"/>
  <c r="O65" i="1"/>
  <c r="O66" i="1"/>
  <c r="O8" i="1"/>
  <c r="K1017" i="8"/>
  <c r="O93" i="1"/>
  <c r="K1294" i="8"/>
  <c r="O72" i="1"/>
  <c r="K1213" i="8"/>
  <c r="O29" i="1"/>
  <c r="K1324" i="8"/>
  <c r="K1356" i="8"/>
  <c r="O27" i="1"/>
  <c r="K1309" i="8"/>
  <c r="O24" i="1"/>
  <c r="O34" i="1"/>
  <c r="K1278" i="8"/>
  <c r="O73" i="1"/>
  <c r="O25" i="1"/>
  <c r="K908" i="8"/>
  <c r="O49" i="1"/>
  <c r="K1262" i="8"/>
  <c r="O80" i="1"/>
  <c r="K695" i="8"/>
  <c r="O61" i="1"/>
  <c r="K1246" i="8"/>
  <c r="O75" i="1"/>
  <c r="O95" i="1"/>
  <c r="O28" i="1"/>
  <c r="O33" i="1"/>
  <c r="O92" i="1"/>
  <c r="O36" i="1"/>
  <c r="O94" i="1"/>
  <c r="K1229" i="8"/>
  <c r="O88" i="1"/>
  <c r="I1449" i="8"/>
  <c r="F37" i="1"/>
  <c r="O82" i="1"/>
  <c r="O17" i="1"/>
  <c r="C909" i="8"/>
  <c r="I905" i="8" s="1"/>
  <c r="I49" i="1" s="1"/>
  <c r="C987" i="8"/>
  <c r="O57" i="1"/>
  <c r="O48" i="1"/>
  <c r="C1469" i="8"/>
  <c r="I1465" i="8" s="1"/>
  <c r="O39" i="1"/>
  <c r="O43" i="1"/>
  <c r="C1034" i="8"/>
  <c r="I1030" i="8" s="1"/>
  <c r="K1096" i="8"/>
  <c r="K1098" i="8" s="1"/>
  <c r="K1176" i="8"/>
  <c r="K1178" i="8" s="1"/>
  <c r="O13" i="1"/>
  <c r="K143" i="8"/>
  <c r="K378" i="8"/>
  <c r="O42" i="1"/>
  <c r="K1340" i="8"/>
  <c r="O26" i="1"/>
  <c r="G1176" i="8"/>
  <c r="Y1181" i="8"/>
  <c r="O64" i="1"/>
  <c r="K970" i="8"/>
  <c r="G333" i="8"/>
  <c r="P38" i="1" s="1"/>
  <c r="G1178" i="8"/>
  <c r="O102" i="1"/>
  <c r="O89" i="1"/>
  <c r="K301" i="8"/>
  <c r="K875" i="8"/>
  <c r="O52" i="1"/>
  <c r="G1417" i="8"/>
  <c r="L25" i="1" s="1"/>
  <c r="O71" i="1"/>
  <c r="O59" i="1"/>
  <c r="G1174" i="8"/>
  <c r="O21" i="1"/>
  <c r="O76" i="1"/>
  <c r="O15" i="1"/>
  <c r="O79" i="1"/>
  <c r="O60" i="1"/>
  <c r="G1226" i="8"/>
  <c r="L88" i="1" s="1"/>
  <c r="K741" i="8"/>
  <c r="K743" i="8" s="1"/>
  <c r="O87" i="1"/>
  <c r="O35" i="1"/>
  <c r="O50" i="1"/>
  <c r="K1033" i="8"/>
  <c r="O83" i="1"/>
  <c r="O32" i="1"/>
  <c r="O41" i="1"/>
  <c r="J53" i="1"/>
  <c r="K679" i="8"/>
  <c r="K727" i="8"/>
  <c r="O44" i="1"/>
  <c r="O40" i="1"/>
  <c r="O103" i="1"/>
  <c r="G1110" i="8"/>
  <c r="W1116" i="8"/>
  <c r="Y1116" i="8" s="1"/>
  <c r="K955" i="8"/>
  <c r="K795" i="8"/>
  <c r="W226" i="8"/>
  <c r="W34" i="8"/>
  <c r="W82" i="8"/>
  <c r="W194" i="8"/>
  <c r="G188" i="8"/>
  <c r="W957" i="8"/>
  <c r="G951" i="8"/>
  <c r="G314" i="8"/>
  <c r="W320" i="8"/>
  <c r="W18" i="8"/>
  <c r="W50" i="8"/>
  <c r="G791" i="8"/>
  <c r="W797" i="8"/>
  <c r="W862" i="8"/>
  <c r="O100" i="1"/>
  <c r="W585" i="8"/>
  <c r="W942" i="8"/>
  <c r="G936" i="8"/>
  <c r="L50" i="1" s="1"/>
  <c r="G83" i="1"/>
  <c r="K1404" i="8"/>
  <c r="O81" i="1"/>
  <c r="G517" i="8"/>
  <c r="L71" i="1" s="1"/>
  <c r="G1142" i="8"/>
  <c r="W1148" i="8"/>
  <c r="G1385" i="8"/>
  <c r="L82" i="1" s="1"/>
  <c r="W1391" i="8"/>
  <c r="G660" i="8"/>
  <c r="L60" i="1" s="1"/>
  <c r="K488" i="8"/>
  <c r="Y1078" i="8"/>
  <c r="G1291" i="8"/>
  <c r="L72" i="1" s="1"/>
  <c r="W98" i="8"/>
  <c r="W114" i="8"/>
  <c r="K923" i="8"/>
  <c r="O51" i="1"/>
  <c r="G924" i="8"/>
  <c r="P51" i="1" s="1"/>
  <c r="G922" i="8"/>
  <c r="N51" i="1" s="1"/>
  <c r="G741" i="8"/>
  <c r="W747" i="8"/>
  <c r="G759" i="8"/>
  <c r="L85" i="1" s="1"/>
  <c r="W538" i="8"/>
  <c r="G532" i="8"/>
  <c r="L65" i="1" s="1"/>
  <c r="G329" i="8"/>
  <c r="L38" i="1" s="1"/>
  <c r="G985" i="8"/>
  <c r="N96" i="1" s="1"/>
  <c r="G1369" i="8"/>
  <c r="L28" i="1" s="1"/>
  <c r="W1004" i="8"/>
  <c r="G998" i="8"/>
  <c r="L67" i="1" s="1"/>
  <c r="G1046" i="8"/>
  <c r="W1100" i="8"/>
  <c r="G1094" i="8"/>
  <c r="G1158" i="8"/>
  <c r="W1164" i="8"/>
  <c r="Y973" i="8"/>
  <c r="G971" i="8" s="1"/>
  <c r="G969" i="8"/>
  <c r="G888" i="8"/>
  <c r="L53" i="1" s="1"/>
  <c r="G1210" i="8"/>
  <c r="L101" i="1" s="1"/>
  <c r="G594" i="8"/>
  <c r="L20" i="1" s="1"/>
  <c r="W1265" i="8"/>
  <c r="G1127" i="8"/>
  <c r="L70" i="1" s="1"/>
  <c r="W1327" i="8"/>
  <c r="W1343" i="8"/>
  <c r="G1337" i="8"/>
  <c r="L26" i="1" s="1"/>
  <c r="W1455" i="8"/>
  <c r="G1449" i="8"/>
  <c r="L98" i="1" s="1"/>
  <c r="C144" i="8" l="1"/>
  <c r="I140" i="8" s="1"/>
  <c r="K375" i="8"/>
  <c r="K377" i="8" s="1"/>
  <c r="R697" i="8"/>
  <c r="R698" i="8" s="1"/>
  <c r="K489" i="8"/>
  <c r="Q45" i="1" s="1"/>
  <c r="K25" i="1"/>
  <c r="K1421" i="8"/>
  <c r="K1247" i="8"/>
  <c r="Q75" i="1" s="1"/>
  <c r="K45" i="1"/>
  <c r="R331" i="8"/>
  <c r="R332" i="8" s="1"/>
  <c r="R333" i="8" s="1"/>
  <c r="R334" i="8" s="1"/>
  <c r="R335" i="8" s="1"/>
  <c r="R336" i="8" s="1"/>
  <c r="R726" i="8"/>
  <c r="U123" i="8"/>
  <c r="W123" i="8" s="1"/>
  <c r="Y123" i="8" s="1"/>
  <c r="U124" i="8" s="1"/>
  <c r="W124" i="8" s="1"/>
  <c r="Y124" i="8" s="1"/>
  <c r="U125" i="8" s="1"/>
  <c r="W125" i="8" s="1"/>
  <c r="Y125" i="8" s="1"/>
  <c r="R610" i="8"/>
  <c r="U388" i="8"/>
  <c r="W388" i="8" s="1"/>
  <c r="Y388" i="8" s="1"/>
  <c r="U389" i="8" s="1"/>
  <c r="W389" i="8" s="1"/>
  <c r="Y389" i="8" s="1"/>
  <c r="C348" i="8"/>
  <c r="I344" i="8" s="1"/>
  <c r="K344" i="8" s="1"/>
  <c r="K346" i="8" s="1"/>
  <c r="K348" i="8" s="1"/>
  <c r="Q32" i="1" s="1"/>
  <c r="K66" i="1"/>
  <c r="U250" i="8"/>
  <c r="W250" i="8" s="1"/>
  <c r="Y250" i="8" s="1"/>
  <c r="K1226" i="8"/>
  <c r="K1228" i="8" s="1"/>
  <c r="I77" i="1"/>
  <c r="K1127" i="8"/>
  <c r="K1129" i="8" s="1"/>
  <c r="K70" i="1" s="1"/>
  <c r="K644" i="8"/>
  <c r="K646" i="8" s="1"/>
  <c r="K648" i="8" s="1"/>
  <c r="Q57" i="1" s="1"/>
  <c r="K627" i="8"/>
  <c r="K629" i="8" s="1"/>
  <c r="K631" i="8" s="1"/>
  <c r="I406" i="8"/>
  <c r="I95" i="1" s="1"/>
  <c r="K240" i="8"/>
  <c r="U562" i="8"/>
  <c r="W1400" i="8"/>
  <c r="Y1400" i="8" s="1"/>
  <c r="U1401" i="8" s="1"/>
  <c r="I16" i="1"/>
  <c r="K159" i="8"/>
  <c r="Q8" i="1" s="1"/>
  <c r="W500" i="8"/>
  <c r="Y500" i="8" s="1"/>
  <c r="U501" i="8" s="1"/>
  <c r="W607" i="8"/>
  <c r="Y607" i="8" s="1"/>
  <c r="U608" i="8" s="1"/>
  <c r="W483" i="8"/>
  <c r="Y483" i="8" s="1"/>
  <c r="U484" i="8" s="1"/>
  <c r="U936" i="8"/>
  <c r="W936" i="8" s="1"/>
  <c r="Y936" i="8" s="1"/>
  <c r="W937" i="8" s="1"/>
  <c r="Y937" i="8" s="1"/>
  <c r="W938" i="8" s="1"/>
  <c r="Y938" i="8" s="1"/>
  <c r="W939" i="8" s="1"/>
  <c r="Y939" i="8" s="1"/>
  <c r="W940" i="8" s="1"/>
  <c r="Y940" i="8" s="1"/>
  <c r="W941" i="8" s="1"/>
  <c r="Y941" i="8" s="1"/>
  <c r="U218" i="8"/>
  <c r="W218" i="8" s="1"/>
  <c r="Y218" i="8" s="1"/>
  <c r="U219" i="8" s="1"/>
  <c r="W358" i="8"/>
  <c r="Y358" i="8" s="1"/>
  <c r="U359" i="8" s="1"/>
  <c r="W280" i="8"/>
  <c r="Y280" i="8" s="1"/>
  <c r="U281" i="8" s="1"/>
  <c r="U206" i="8"/>
  <c r="W206" i="8" s="1"/>
  <c r="Y206" i="8" s="1"/>
  <c r="W138" i="8"/>
  <c r="Y138" i="8" s="1"/>
  <c r="U139" i="8" s="1"/>
  <c r="W706" i="8"/>
  <c r="Y706" i="8" s="1"/>
  <c r="U707" i="8" s="1"/>
  <c r="U156" i="8"/>
  <c r="W156" i="8" s="1"/>
  <c r="Y156" i="8" s="1"/>
  <c r="W342" i="8"/>
  <c r="Y342" i="8" s="1"/>
  <c r="U343" i="8" s="1"/>
  <c r="Y425" i="8"/>
  <c r="U426" i="8" s="1"/>
  <c r="W426" i="8" s="1"/>
  <c r="Y426" i="8" s="1"/>
  <c r="U425" i="8"/>
  <c r="U252" i="8"/>
  <c r="W252" i="8" s="1"/>
  <c r="Y252" i="8" s="1"/>
  <c r="W235" i="8"/>
  <c r="Y235" i="8" s="1"/>
  <c r="U236" i="8" s="1"/>
  <c r="K16" i="1"/>
  <c r="K811" i="8"/>
  <c r="Q84" i="1" s="1"/>
  <c r="U303" i="8"/>
  <c r="W303" i="8" s="1"/>
  <c r="Y303" i="8" s="1"/>
  <c r="U304" i="8" s="1"/>
  <c r="I103" i="1"/>
  <c r="K1014" i="8"/>
  <c r="K1016" i="8" s="1"/>
  <c r="K41" i="1"/>
  <c r="K457" i="8"/>
  <c r="Q41" i="1" s="1"/>
  <c r="S41" i="1" s="1"/>
  <c r="K360" i="8"/>
  <c r="K362" i="8" s="1"/>
  <c r="K660" i="8"/>
  <c r="K662" i="8" s="1"/>
  <c r="I60" i="1"/>
  <c r="I37" i="1"/>
  <c r="K983" i="8"/>
  <c r="K985" i="8" s="1"/>
  <c r="K85" i="1"/>
  <c r="K763" i="8"/>
  <c r="Q85" i="1" s="1"/>
  <c r="U856" i="8"/>
  <c r="W856" i="8" s="1"/>
  <c r="Y856" i="8" s="1"/>
  <c r="W1335" i="8"/>
  <c r="Y1335" i="8" s="1"/>
  <c r="W408" i="8"/>
  <c r="Y408" i="8" s="1"/>
  <c r="I59" i="1"/>
  <c r="K775" i="8"/>
  <c r="K777" i="8" s="1"/>
  <c r="K282" i="8"/>
  <c r="K284" i="8" s="1"/>
  <c r="K286" i="8" s="1"/>
  <c r="Q39" i="1" s="1"/>
  <c r="G811" i="8"/>
  <c r="P84" i="1" s="1"/>
  <c r="G1259" i="8"/>
  <c r="L80" i="1" s="1"/>
  <c r="K1401" i="8"/>
  <c r="K1403" i="8" s="1"/>
  <c r="K81" i="1" s="1"/>
  <c r="K1291" i="8"/>
  <c r="K1293" i="8" s="1"/>
  <c r="K1295" i="8" s="1"/>
  <c r="K17" i="1"/>
  <c r="Q17" i="1"/>
  <c r="I36" i="1"/>
  <c r="I27" i="1"/>
  <c r="U469" i="8"/>
  <c r="I79" i="1"/>
  <c r="K48" i="8"/>
  <c r="Q14" i="1" s="1"/>
  <c r="I58" i="1"/>
  <c r="K1339" i="8"/>
  <c r="K26" i="1" s="1"/>
  <c r="I26" i="1"/>
  <c r="I41" i="1"/>
  <c r="I17" i="1"/>
  <c r="K171" i="8"/>
  <c r="K173" i="8" s="1"/>
  <c r="K175" i="8" s="1"/>
  <c r="U1320" i="8"/>
  <c r="W1320" i="8" s="1"/>
  <c r="K876" i="8"/>
  <c r="Q52" i="1" s="1"/>
  <c r="K1369" i="8"/>
  <c r="K1371" i="8" s="1"/>
  <c r="K1002" i="8"/>
  <c r="Q67" i="1" s="1"/>
  <c r="I75" i="1"/>
  <c r="I48" i="1"/>
  <c r="U577" i="8"/>
  <c r="W577" i="8" s="1"/>
  <c r="Y577" i="8" s="1"/>
  <c r="U578" i="8" s="1"/>
  <c r="W578" i="8" s="1"/>
  <c r="Y578" i="8" s="1"/>
  <c r="U579" i="8" s="1"/>
  <c r="G579" i="8" s="1"/>
  <c r="L87" i="1" s="1"/>
  <c r="K581" i="8"/>
  <c r="I88" i="1"/>
  <c r="I94" i="1"/>
  <c r="K680" i="8"/>
  <c r="K302" i="8"/>
  <c r="Q89" i="1" s="1"/>
  <c r="S89" i="1" s="1"/>
  <c r="I29" i="1"/>
  <c r="K1210" i="8"/>
  <c r="K1212" i="8" s="1"/>
  <c r="K101" i="1" s="1"/>
  <c r="K1046" i="8"/>
  <c r="K1048" i="8" s="1"/>
  <c r="K1050" i="8" s="1"/>
  <c r="I33" i="1"/>
  <c r="K1465" i="8"/>
  <c r="K1467" i="8" s="1"/>
  <c r="K1469" i="8" s="1"/>
  <c r="I34" i="1"/>
  <c r="I40" i="1"/>
  <c r="I44" i="1"/>
  <c r="I82" i="1"/>
  <c r="K967" i="8"/>
  <c r="K969" i="8" s="1"/>
  <c r="K29" i="1"/>
  <c r="K1325" i="8"/>
  <c r="Q29" i="1" s="1"/>
  <c r="I45" i="1"/>
  <c r="I91" i="1"/>
  <c r="I89" i="1"/>
  <c r="Q5" i="1"/>
  <c r="K269" i="8"/>
  <c r="K36" i="1" s="1"/>
  <c r="I92" i="1"/>
  <c r="I25" i="1"/>
  <c r="K920" i="8"/>
  <c r="K922" i="8" s="1"/>
  <c r="K51" i="1" s="1"/>
  <c r="I51" i="1"/>
  <c r="I65" i="1"/>
  <c r="I39" i="1"/>
  <c r="I20" i="1"/>
  <c r="I21" i="1"/>
  <c r="I53" i="1"/>
  <c r="K905" i="8"/>
  <c r="K907" i="8" s="1"/>
  <c r="K909" i="8" s="1"/>
  <c r="K1306" i="8"/>
  <c r="K1308" i="8" s="1"/>
  <c r="K24" i="1" s="1"/>
  <c r="I84" i="1"/>
  <c r="K517" i="8"/>
  <c r="K519" i="8" s="1"/>
  <c r="I66" i="1"/>
  <c r="I73" i="1"/>
  <c r="K1275" i="8"/>
  <c r="K1277" i="8" s="1"/>
  <c r="I70" i="1"/>
  <c r="K1030" i="8"/>
  <c r="K1032" i="8" s="1"/>
  <c r="K77" i="1" s="1"/>
  <c r="I43" i="1"/>
  <c r="K224" i="8"/>
  <c r="K80" i="1"/>
  <c r="K1263" i="8"/>
  <c r="Q80" i="1" s="1"/>
  <c r="W1117" i="8"/>
  <c r="I85" i="1"/>
  <c r="I52" i="1"/>
  <c r="I98" i="1"/>
  <c r="K1449" i="8"/>
  <c r="K1451" i="8" s="1"/>
  <c r="I42" i="1"/>
  <c r="I80" i="1"/>
  <c r="K844" i="8"/>
  <c r="Q48" i="1" s="1"/>
  <c r="I76" i="1"/>
  <c r="K91" i="1"/>
  <c r="Q91" i="1"/>
  <c r="G1228" i="8"/>
  <c r="N88" i="1" s="1"/>
  <c r="G1230" i="8"/>
  <c r="P88" i="1" s="1"/>
  <c r="K892" i="8"/>
  <c r="Q53" i="1" s="1"/>
  <c r="K536" i="8"/>
  <c r="Q65" i="1" s="1"/>
  <c r="K745" i="8"/>
  <c r="G1421" i="8"/>
  <c r="P25" i="1" s="1"/>
  <c r="G1419" i="8"/>
  <c r="N25" i="1" s="1"/>
  <c r="K89" i="1"/>
  <c r="K58" i="1"/>
  <c r="I64" i="1"/>
  <c r="K33" i="1"/>
  <c r="I13" i="1"/>
  <c r="K140" i="8"/>
  <c r="K142" i="8" s="1"/>
  <c r="K598" i="8"/>
  <c r="Q20" i="1" s="1"/>
  <c r="Q82" i="1"/>
  <c r="K82" i="1"/>
  <c r="K473" i="8"/>
  <c r="I87" i="1"/>
  <c r="K37" i="1"/>
  <c r="K441" i="8"/>
  <c r="K1082" i="8"/>
  <c r="K860" i="8"/>
  <c r="K92" i="1"/>
  <c r="K506" i="8"/>
  <c r="K64" i="1"/>
  <c r="K394" i="8"/>
  <c r="Q44" i="1" s="1"/>
  <c r="K44" i="1"/>
  <c r="K1162" i="8"/>
  <c r="K52" i="1"/>
  <c r="K75" i="1"/>
  <c r="K567" i="8"/>
  <c r="Q21" i="1" s="1"/>
  <c r="K21" i="1"/>
  <c r="K1357" i="8"/>
  <c r="Q27" i="1" s="1"/>
  <c r="S27" i="1" s="1"/>
  <c r="K27" i="1"/>
  <c r="K551" i="8"/>
  <c r="Q79" i="1" s="1"/>
  <c r="K79" i="1"/>
  <c r="Y1455" i="8"/>
  <c r="G1453" i="8" s="1"/>
  <c r="P98" i="1" s="1"/>
  <c r="G1451" i="8"/>
  <c r="N98" i="1" s="1"/>
  <c r="Y1343" i="8"/>
  <c r="Y1265" i="8"/>
  <c r="G1263" i="8" s="1"/>
  <c r="P80" i="1" s="1"/>
  <c r="G1261" i="8"/>
  <c r="N80" i="1" s="1"/>
  <c r="Y1164" i="8"/>
  <c r="G1162" i="8" s="1"/>
  <c r="G1160" i="8"/>
  <c r="Y538" i="8"/>
  <c r="G743" i="8"/>
  <c r="Y747" i="8"/>
  <c r="G745" i="8" s="1"/>
  <c r="Y114" i="8"/>
  <c r="G1293" i="8"/>
  <c r="N72" i="1" s="1"/>
  <c r="G1295" i="8"/>
  <c r="P72" i="1" s="1"/>
  <c r="Y942" i="8"/>
  <c r="G793" i="8"/>
  <c r="Y797" i="8"/>
  <c r="G795" i="8" s="1"/>
  <c r="Y50" i="8"/>
  <c r="G316" i="8"/>
  <c r="Y320" i="8"/>
  <c r="G318" i="8" s="1"/>
  <c r="Y34" i="8"/>
  <c r="Y1327" i="8"/>
  <c r="G892" i="8"/>
  <c r="P53" i="1" s="1"/>
  <c r="G890" i="8"/>
  <c r="N53" i="1" s="1"/>
  <c r="G1050" i="8"/>
  <c r="G1048" i="8"/>
  <c r="G1373" i="8"/>
  <c r="P28" i="1" s="1"/>
  <c r="G1371" i="8"/>
  <c r="N28" i="1" s="1"/>
  <c r="G664" i="8"/>
  <c r="P60" i="1" s="1"/>
  <c r="G662" i="8"/>
  <c r="N60" i="1" s="1"/>
  <c r="Y1391" i="8"/>
  <c r="G1144" i="8"/>
  <c r="Y1148" i="8"/>
  <c r="G1146" i="8" s="1"/>
  <c r="G596" i="8"/>
  <c r="N20" i="1" s="1"/>
  <c r="G598" i="8"/>
  <c r="P20" i="1" s="1"/>
  <c r="G1214" i="8"/>
  <c r="P101" i="1" s="1"/>
  <c r="G1212" i="8"/>
  <c r="N101" i="1" s="1"/>
  <c r="G763" i="8"/>
  <c r="P85" i="1" s="1"/>
  <c r="G761" i="8"/>
  <c r="N85" i="1" s="1"/>
  <c r="K426" i="8"/>
  <c r="Q94" i="1" s="1"/>
  <c r="K94" i="1"/>
  <c r="K936" i="8"/>
  <c r="K938" i="8" s="1"/>
  <c r="I50" i="1"/>
  <c r="Y98" i="8"/>
  <c r="U1079" i="8"/>
  <c r="K252" i="8"/>
  <c r="K254" i="8" s="1"/>
  <c r="I83" i="1"/>
  <c r="Y585" i="8"/>
  <c r="Y553" i="8"/>
  <c r="G269" i="8"/>
  <c r="N36" i="1" s="1"/>
  <c r="Y1100" i="8"/>
  <c r="G1098" i="8" s="1"/>
  <c r="G1096" i="8"/>
  <c r="Y1004" i="8"/>
  <c r="G1002" i="8" s="1"/>
  <c r="P67" i="1" s="1"/>
  <c r="G1000" i="8"/>
  <c r="N67" i="1" s="1"/>
  <c r="K204" i="8"/>
  <c r="K206" i="8" s="1"/>
  <c r="I90" i="1"/>
  <c r="Y862" i="8"/>
  <c r="Y18" i="8"/>
  <c r="Y957" i="8"/>
  <c r="G955" i="8" s="1"/>
  <c r="G953" i="8"/>
  <c r="G190" i="8"/>
  <c r="Y194" i="8"/>
  <c r="G192" i="8" s="1"/>
  <c r="Y82" i="8"/>
  <c r="Y226" i="8"/>
  <c r="C696" i="8" l="1"/>
  <c r="I692" i="8" s="1"/>
  <c r="K692" i="8" s="1"/>
  <c r="K694" i="8" s="1"/>
  <c r="K696" i="8" s="1"/>
  <c r="K42" i="1"/>
  <c r="K379" i="8"/>
  <c r="Q42" i="1" s="1"/>
  <c r="S42" i="1" s="1"/>
  <c r="C613" i="8"/>
  <c r="R611" i="8"/>
  <c r="R612" i="8" s="1"/>
  <c r="R727" i="8"/>
  <c r="R728" i="8" s="1"/>
  <c r="R729" i="8" s="1"/>
  <c r="R730" i="8" s="1"/>
  <c r="R731" i="8" s="1"/>
  <c r="C333" i="8"/>
  <c r="I329" i="8" s="1"/>
  <c r="I38" i="1" s="1"/>
  <c r="K73" i="1"/>
  <c r="K1279" i="8"/>
  <c r="Q73" i="1" s="1"/>
  <c r="Q76" i="1"/>
  <c r="Q58" i="1"/>
  <c r="K32" i="1"/>
  <c r="I32" i="1"/>
  <c r="U390" i="8"/>
  <c r="W390" i="8" s="1"/>
  <c r="Y390" i="8" s="1"/>
  <c r="U391" i="8" s="1"/>
  <c r="W391" i="8" s="1"/>
  <c r="Y391" i="8" s="1"/>
  <c r="U392" i="8" s="1"/>
  <c r="Q40" i="1"/>
  <c r="Q25" i="1"/>
  <c r="K521" i="8"/>
  <c r="Q71" i="1" s="1"/>
  <c r="K100" i="1"/>
  <c r="K1230" i="8"/>
  <c r="Q88" i="1" s="1"/>
  <c r="S88" i="1" s="1"/>
  <c r="K88" i="1"/>
  <c r="W562" i="8"/>
  <c r="D53" i="1"/>
  <c r="K1131" i="8"/>
  <c r="Q70" i="1" s="1"/>
  <c r="Q61" i="1"/>
  <c r="K61" i="1"/>
  <c r="Q11" i="1"/>
  <c r="S11" i="1"/>
  <c r="S21" i="1"/>
  <c r="R85" i="1"/>
  <c r="R84" i="1"/>
  <c r="S20" i="1"/>
  <c r="I57" i="1"/>
  <c r="W281" i="8"/>
  <c r="Y281" i="8" s="1"/>
  <c r="Q43" i="1"/>
  <c r="Q15" i="1"/>
  <c r="K15" i="1"/>
  <c r="K406" i="8"/>
  <c r="K408" i="8" s="1"/>
  <c r="K95" i="1" s="1"/>
  <c r="I15" i="1"/>
  <c r="K144" i="8"/>
  <c r="W1401" i="8"/>
  <c r="D7" i="1"/>
  <c r="W343" i="8"/>
  <c r="Y343" i="8" s="1"/>
  <c r="U344" i="8" s="1"/>
  <c r="W139" i="8"/>
  <c r="Y139" i="8" s="1"/>
  <c r="U140" i="8" s="1"/>
  <c r="W484" i="8"/>
  <c r="Y484" i="8" s="1"/>
  <c r="U485" i="8" s="1"/>
  <c r="U207" i="8"/>
  <c r="W207" i="8" s="1"/>
  <c r="Y207" i="8" s="1"/>
  <c r="W608" i="8"/>
  <c r="Y608" i="8" s="1"/>
  <c r="U609" i="8" s="1"/>
  <c r="U157" i="8"/>
  <c r="W157" i="8" s="1"/>
  <c r="Y157" i="8" s="1"/>
  <c r="U158" i="8" s="1"/>
  <c r="W158" i="8" s="1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W359" i="8"/>
  <c r="Y359" i="8" s="1"/>
  <c r="U360" i="8" s="1"/>
  <c r="W501" i="8"/>
  <c r="Y501" i="8" s="1"/>
  <c r="U502" i="8" s="1"/>
  <c r="U253" i="8"/>
  <c r="W253" i="8" s="1"/>
  <c r="Y253" i="8" s="1"/>
  <c r="W707" i="8"/>
  <c r="Y707" i="8" s="1"/>
  <c r="U708" i="8" s="1"/>
  <c r="W219" i="8"/>
  <c r="Y219" i="8" s="1"/>
  <c r="U220" i="8" s="1"/>
  <c r="U126" i="8"/>
  <c r="W126" i="8" s="1"/>
  <c r="Y126" i="8" s="1"/>
  <c r="U127" i="8" s="1"/>
  <c r="U427" i="8"/>
  <c r="W427" i="8" s="1"/>
  <c r="Y1117" i="8"/>
  <c r="G1114" i="8" s="1"/>
  <c r="G1112" i="8"/>
  <c r="W236" i="8"/>
  <c r="Y236" i="8" s="1"/>
  <c r="U237" i="8" s="1"/>
  <c r="G271" i="8"/>
  <c r="P36" i="1" s="1"/>
  <c r="K1194" i="8"/>
  <c r="K1196" i="8" s="1"/>
  <c r="G298" i="8"/>
  <c r="L89" i="1" s="1"/>
  <c r="W304" i="8"/>
  <c r="G267" i="8"/>
  <c r="L36" i="1" s="1"/>
  <c r="K1018" i="8"/>
  <c r="Q93" i="1" s="1"/>
  <c r="S93" i="1" s="1"/>
  <c r="K93" i="1"/>
  <c r="I93" i="1"/>
  <c r="Q64" i="1"/>
  <c r="I35" i="1"/>
  <c r="K664" i="8"/>
  <c r="Q60" i="1" s="1"/>
  <c r="R60" i="1" s="1"/>
  <c r="R62" i="1" s="1"/>
  <c r="K60" i="1"/>
  <c r="K364" i="8"/>
  <c r="Q35" i="1" s="1"/>
  <c r="K35" i="1"/>
  <c r="G807" i="8"/>
  <c r="L84" i="1" s="1"/>
  <c r="Q49" i="1"/>
  <c r="I96" i="1"/>
  <c r="K96" i="1"/>
  <c r="K987" i="8"/>
  <c r="Q96" i="1" s="1"/>
  <c r="G809" i="8"/>
  <c r="N84" i="1" s="1"/>
  <c r="W409" i="8"/>
  <c r="Y409" i="8" s="1"/>
  <c r="U857" i="8"/>
  <c r="W857" i="8" s="1"/>
  <c r="Y857" i="8" s="1"/>
  <c r="W1336" i="8"/>
  <c r="Y1336" i="8" s="1"/>
  <c r="K39" i="1"/>
  <c r="K708" i="8"/>
  <c r="K710" i="8" s="1"/>
  <c r="K102" i="1"/>
  <c r="Q102" i="1"/>
  <c r="I102" i="1"/>
  <c r="Q33" i="1"/>
  <c r="G1247" i="8"/>
  <c r="P75" i="1" s="1"/>
  <c r="G1243" i="8"/>
  <c r="L75" i="1" s="1"/>
  <c r="Q34" i="1"/>
  <c r="Q92" i="1"/>
  <c r="G1245" i="8"/>
  <c r="N75" i="1" s="1"/>
  <c r="K28" i="1"/>
  <c r="K1373" i="8"/>
  <c r="Q28" i="1" s="1"/>
  <c r="I72" i="1"/>
  <c r="K72" i="1"/>
  <c r="Q72" i="1"/>
  <c r="W1079" i="8"/>
  <c r="W469" i="8"/>
  <c r="K1341" i="8"/>
  <c r="Q26" i="1" s="1"/>
  <c r="Y1320" i="8"/>
  <c r="K971" i="8"/>
  <c r="K87" i="1"/>
  <c r="K583" i="8"/>
  <c r="Q87" i="1" s="1"/>
  <c r="K1214" i="8"/>
  <c r="Q101" i="1" s="1"/>
  <c r="S101" i="1" s="1"/>
  <c r="K76" i="1"/>
  <c r="K110" i="1"/>
  <c r="L110" i="1" s="1"/>
  <c r="K924" i="8"/>
  <c r="Q51" i="1" s="1"/>
  <c r="K271" i="8"/>
  <c r="Q36" i="1" s="1"/>
  <c r="K71" i="1"/>
  <c r="K13" i="1"/>
  <c r="K49" i="1"/>
  <c r="K1310" i="8"/>
  <c r="K1034" i="8"/>
  <c r="W586" i="8"/>
  <c r="Y586" i="8" s="1"/>
  <c r="G583" i="8" s="1"/>
  <c r="P87" i="1" s="1"/>
  <c r="W863" i="8"/>
  <c r="Y863" i="8" s="1"/>
  <c r="U554" i="8"/>
  <c r="W1392" i="8"/>
  <c r="W539" i="8"/>
  <c r="W943" i="8"/>
  <c r="K1453" i="8"/>
  <c r="Q98" i="1" s="1"/>
  <c r="K98" i="1"/>
  <c r="Q66" i="1"/>
  <c r="K50" i="1"/>
  <c r="K940" i="8"/>
  <c r="Q50" i="1" s="1"/>
  <c r="K57" i="1"/>
  <c r="U51" i="8"/>
  <c r="U83" i="8"/>
  <c r="U19" i="8"/>
  <c r="U99" i="8"/>
  <c r="U35" i="8"/>
  <c r="U115" i="8"/>
  <c r="K256" i="8"/>
  <c r="Q83" i="1" s="1"/>
  <c r="S83" i="1" s="1"/>
  <c r="K83" i="1"/>
  <c r="K208" i="8"/>
  <c r="Q90" i="1" s="1"/>
  <c r="S90" i="1" s="1"/>
  <c r="K90" i="1"/>
  <c r="Q68" i="1" l="1"/>
  <c r="I61" i="1"/>
  <c r="G422" i="8"/>
  <c r="L94" i="1" s="1"/>
  <c r="Y427" i="8"/>
  <c r="U428" i="8" s="1"/>
  <c r="W428" i="8" s="1"/>
  <c r="Y428" i="8" s="1"/>
  <c r="G426" i="8" s="1"/>
  <c r="P94" i="1" s="1"/>
  <c r="G424" i="8"/>
  <c r="N94" i="1" s="1"/>
  <c r="C728" i="8"/>
  <c r="I724" i="8" s="1"/>
  <c r="K724" i="8" s="1"/>
  <c r="K726" i="8" s="1"/>
  <c r="K56" i="1" s="1"/>
  <c r="Q77" i="1"/>
  <c r="K609" i="8"/>
  <c r="K611" i="8" s="1"/>
  <c r="K74" i="1" s="1"/>
  <c r="S87" i="1"/>
  <c r="Q22" i="1"/>
  <c r="Q13" i="1"/>
  <c r="S18" i="1" s="1"/>
  <c r="K329" i="8"/>
  <c r="K331" i="8" s="1"/>
  <c r="K333" i="8" s="1"/>
  <c r="Q38" i="1" s="1"/>
  <c r="Q46" i="1" s="1"/>
  <c r="K59" i="1"/>
  <c r="K712" i="8"/>
  <c r="Q59" i="1" s="1"/>
  <c r="U282" i="8"/>
  <c r="W282" i="8" s="1"/>
  <c r="Y282" i="8" s="1"/>
  <c r="U283" i="8" s="1"/>
  <c r="W283" i="8" s="1"/>
  <c r="Y283" i="8" s="1"/>
  <c r="R46" i="1"/>
  <c r="S22" i="1"/>
  <c r="S28" i="1"/>
  <c r="Q100" i="1"/>
  <c r="Y1401" i="8"/>
  <c r="U1402" i="8" s="1"/>
  <c r="Q24" i="1"/>
  <c r="Q30" i="1" s="1"/>
  <c r="Y562" i="8"/>
  <c r="U563" i="8" s="1"/>
  <c r="S68" i="1"/>
  <c r="D49" i="1"/>
  <c r="S54" i="1"/>
  <c r="K111" i="1"/>
  <c r="L111" i="1" s="1"/>
  <c r="S43" i="1"/>
  <c r="S46" i="1" s="1"/>
  <c r="K410" i="8"/>
  <c r="Q95" i="1" s="1"/>
  <c r="S95" i="1" s="1"/>
  <c r="Q54" i="1"/>
  <c r="Y943" i="8"/>
  <c r="G940" i="8" s="1"/>
  <c r="P50" i="1" s="1"/>
  <c r="G938" i="8"/>
  <c r="N50" i="1" s="1"/>
  <c r="Y1392" i="8"/>
  <c r="G1389" i="8" s="1"/>
  <c r="P82" i="1" s="1"/>
  <c r="G1387" i="8"/>
  <c r="N82" i="1" s="1"/>
  <c r="W502" i="8"/>
  <c r="Y502" i="8" s="1"/>
  <c r="U503" i="8" s="1"/>
  <c r="W609" i="8"/>
  <c r="Y609" i="8" s="1"/>
  <c r="U610" i="8" s="1"/>
  <c r="U208" i="8"/>
  <c r="W208" i="8" s="1"/>
  <c r="Y208" i="8" s="1"/>
  <c r="W140" i="8"/>
  <c r="Y140" i="8" s="1"/>
  <c r="U141" i="8" s="1"/>
  <c r="G581" i="8"/>
  <c r="N87" i="1" s="1"/>
  <c r="G453" i="8"/>
  <c r="L41" i="1" s="1"/>
  <c r="G519" i="8"/>
  <c r="N71" i="1" s="1"/>
  <c r="Y539" i="8"/>
  <c r="G536" i="8" s="1"/>
  <c r="P65" i="1" s="1"/>
  <c r="G534" i="8"/>
  <c r="N65" i="1" s="1"/>
  <c r="W392" i="8"/>
  <c r="Y392" i="8" s="1"/>
  <c r="U393" i="8" s="1"/>
  <c r="W127" i="8"/>
  <c r="Y127" i="8" s="1"/>
  <c r="U128" i="8" s="1"/>
  <c r="W220" i="8"/>
  <c r="Y220" i="8" s="1"/>
  <c r="U221" i="8" s="1"/>
  <c r="W708" i="8"/>
  <c r="Y708" i="8" s="1"/>
  <c r="U709" i="8" s="1"/>
  <c r="U254" i="8"/>
  <c r="W254" i="8" s="1"/>
  <c r="Y254" i="8" s="1"/>
  <c r="W360" i="8"/>
  <c r="Y360" i="8" s="1"/>
  <c r="U361" i="8" s="1"/>
  <c r="W485" i="8"/>
  <c r="Y485" i="8" s="1"/>
  <c r="U486" i="8" s="1"/>
  <c r="W344" i="8"/>
  <c r="Y344" i="8" s="1"/>
  <c r="U345" i="8" s="1"/>
  <c r="G1131" i="8"/>
  <c r="P70" i="1" s="1"/>
  <c r="G1129" i="8"/>
  <c r="N70" i="1" s="1"/>
  <c r="W554" i="8"/>
  <c r="G547" i="8"/>
  <c r="L79" i="1" s="1"/>
  <c r="K103" i="1"/>
  <c r="Q103" i="1"/>
  <c r="S103" i="1" s="1"/>
  <c r="W237" i="8"/>
  <c r="Y237" i="8" s="1"/>
  <c r="U238" i="8" s="1"/>
  <c r="G1275" i="8"/>
  <c r="L73" i="1" s="1"/>
  <c r="G1306" i="8"/>
  <c r="L24" i="1" s="1"/>
  <c r="G1014" i="8"/>
  <c r="L93" i="1" s="1"/>
  <c r="Y304" i="8"/>
  <c r="G302" i="8" s="1"/>
  <c r="P89" i="1" s="1"/>
  <c r="G300" i="8"/>
  <c r="N89" i="1" s="1"/>
  <c r="Q81" i="1"/>
  <c r="D102" i="1"/>
  <c r="U858" i="8"/>
  <c r="W858" i="8" s="1"/>
  <c r="Y858" i="8" s="1"/>
  <c r="U859" i="8" s="1"/>
  <c r="W1337" i="8"/>
  <c r="Y1337" i="8" s="1"/>
  <c r="Y1079" i="8"/>
  <c r="Y469" i="8"/>
  <c r="U470" i="8" s="1"/>
  <c r="W470" i="8" s="1"/>
  <c r="U1321" i="8"/>
  <c r="W227" i="8"/>
  <c r="W35" i="8"/>
  <c r="G28" i="8"/>
  <c r="W19" i="8"/>
  <c r="G12" i="8"/>
  <c r="W51" i="8"/>
  <c r="G44" i="8"/>
  <c r="W115" i="8"/>
  <c r="G108" i="8"/>
  <c r="W99" i="8"/>
  <c r="G92" i="8"/>
  <c r="W83" i="8"/>
  <c r="G76" i="8"/>
  <c r="W162" i="8"/>
  <c r="G155" i="8"/>
  <c r="L8" i="1" s="1"/>
  <c r="K728" i="8" l="1"/>
  <c r="Q56" i="1" s="1"/>
  <c r="I56" i="1"/>
  <c r="K613" i="8"/>
  <c r="Q74" i="1" s="1"/>
  <c r="U106" i="1" s="1"/>
  <c r="I74" i="1"/>
  <c r="Q18" i="1"/>
  <c r="V77" i="1" s="1"/>
  <c r="V19" i="1"/>
  <c r="K38" i="1"/>
  <c r="Q104" i="1"/>
  <c r="Q62" i="1"/>
  <c r="U284" i="8"/>
  <c r="W284" i="8" s="1"/>
  <c r="Y284" i="8" s="1"/>
  <c r="U285" i="8" s="1"/>
  <c r="W1402" i="8"/>
  <c r="S30" i="1"/>
  <c r="W563" i="8"/>
  <c r="S62" i="1"/>
  <c r="G824" i="8"/>
  <c r="L66" i="1" s="1"/>
  <c r="W141" i="8"/>
  <c r="Y141" i="8" s="1"/>
  <c r="U142" i="8" s="1"/>
  <c r="W610" i="8"/>
  <c r="Y610" i="8" s="1"/>
  <c r="U611" i="8" s="1"/>
  <c r="U209" i="8"/>
  <c r="W209" i="8" s="1"/>
  <c r="Y209" i="8" s="1"/>
  <c r="U210" i="8" s="1"/>
  <c r="W210" i="8" s="1"/>
  <c r="Y210" i="8" s="1"/>
  <c r="U211" i="8" s="1"/>
  <c r="W503" i="8"/>
  <c r="Y503" i="8" s="1"/>
  <c r="U504" i="8" s="1"/>
  <c r="W486" i="8"/>
  <c r="Y486" i="8" s="1"/>
  <c r="U487" i="8" s="1"/>
  <c r="W361" i="8"/>
  <c r="Y361" i="8" s="1"/>
  <c r="U362" i="8" s="1"/>
  <c r="U255" i="8"/>
  <c r="W255" i="8" s="1"/>
  <c r="Y255" i="8" s="1"/>
  <c r="W221" i="8"/>
  <c r="Y221" i="8" s="1"/>
  <c r="U222" i="8" s="1"/>
  <c r="W393" i="8"/>
  <c r="Y393" i="8" s="1"/>
  <c r="G1433" i="8"/>
  <c r="L91" i="1" s="1"/>
  <c r="Y554" i="8"/>
  <c r="G551" i="8" s="1"/>
  <c r="P79" i="1" s="1"/>
  <c r="G549" i="8"/>
  <c r="N79" i="1" s="1"/>
  <c r="W345" i="8"/>
  <c r="Y345" i="8" s="1"/>
  <c r="U346" i="8" s="1"/>
  <c r="W709" i="8"/>
  <c r="Y709" i="8" s="1"/>
  <c r="U710" i="8" s="1"/>
  <c r="W128" i="8"/>
  <c r="Y128" i="8" s="1"/>
  <c r="G457" i="8"/>
  <c r="P41" i="1" s="1"/>
  <c r="G455" i="8"/>
  <c r="N41" i="1" s="1"/>
  <c r="G828" i="8"/>
  <c r="P66" i="1" s="1"/>
  <c r="G826" i="8"/>
  <c r="N66" i="1" s="1"/>
  <c r="W238" i="8"/>
  <c r="Y238" i="8" s="1"/>
  <c r="G1279" i="8"/>
  <c r="P73" i="1" s="1"/>
  <c r="G1277" i="8"/>
  <c r="N73" i="1" s="1"/>
  <c r="G1310" i="8"/>
  <c r="P24" i="1" s="1"/>
  <c r="G1308" i="8"/>
  <c r="N24" i="1" s="1"/>
  <c r="G1018" i="8"/>
  <c r="P93" i="1" s="1"/>
  <c r="G1016" i="8"/>
  <c r="N93" i="1" s="1"/>
  <c r="W410" i="8"/>
  <c r="W859" i="8"/>
  <c r="W1338" i="8"/>
  <c r="Y1338" i="8" s="1"/>
  <c r="U1080" i="8"/>
  <c r="Y470" i="8"/>
  <c r="U471" i="8" s="1"/>
  <c r="W1321" i="8"/>
  <c r="K115" i="1"/>
  <c r="L115" i="1" s="1"/>
  <c r="Y227" i="8"/>
  <c r="Y162" i="8"/>
  <c r="G159" i="8" s="1"/>
  <c r="P8" i="1" s="1"/>
  <c r="G157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P145" i="1" l="1"/>
  <c r="U7" i="1"/>
  <c r="R1" i="8"/>
  <c r="K112" i="1"/>
  <c r="L112" i="1" s="1"/>
  <c r="V10" i="1"/>
  <c r="U239" i="8"/>
  <c r="W239" i="8" s="1"/>
  <c r="Y239" i="8" s="1"/>
  <c r="Q78" i="1"/>
  <c r="Q105" i="1" s="1"/>
  <c r="Y1402" i="8"/>
  <c r="U1403" i="8" s="1"/>
  <c r="D74" i="1"/>
  <c r="Y563" i="8"/>
  <c r="U564" i="8" s="1"/>
  <c r="S78" i="1"/>
  <c r="S104" i="1" s="1"/>
  <c r="K117" i="1"/>
  <c r="L117" i="1" s="1"/>
  <c r="W142" i="8"/>
  <c r="Y142" i="8" s="1"/>
  <c r="U143" i="8" s="1"/>
  <c r="W504" i="8"/>
  <c r="Y504" i="8" s="1"/>
  <c r="U505" i="8" s="1"/>
  <c r="G204" i="8"/>
  <c r="L90" i="1" s="1"/>
  <c r="W211" i="8"/>
  <c r="W611" i="8"/>
  <c r="Y611" i="8" s="1"/>
  <c r="U612" i="8" s="1"/>
  <c r="U129" i="8"/>
  <c r="W129" i="8" s="1"/>
  <c r="Y129" i="8" s="1"/>
  <c r="W346" i="8"/>
  <c r="Y346" i="8" s="1"/>
  <c r="U347" i="8" s="1"/>
  <c r="U394" i="8"/>
  <c r="W394" i="8" s="1"/>
  <c r="Y394" i="8" s="1"/>
  <c r="U256" i="8"/>
  <c r="W256" i="8" s="1"/>
  <c r="Y256" i="8" s="1"/>
  <c r="G692" i="8"/>
  <c r="L61" i="1" s="1"/>
  <c r="G1437" i="8"/>
  <c r="P91" i="1" s="1"/>
  <c r="G1435" i="8"/>
  <c r="N91" i="1" s="1"/>
  <c r="W710" i="8"/>
  <c r="Y710" i="8" s="1"/>
  <c r="U711" i="8" s="1"/>
  <c r="W222" i="8"/>
  <c r="Y222" i="8" s="1"/>
  <c r="U223" i="8" s="1"/>
  <c r="W362" i="8"/>
  <c r="Y362" i="8" s="1"/>
  <c r="U363" i="8" s="1"/>
  <c r="W487" i="8"/>
  <c r="Y487" i="8" s="1"/>
  <c r="U488" i="8" s="1"/>
  <c r="W240" i="8"/>
  <c r="Y240" i="8" s="1"/>
  <c r="Y410" i="8"/>
  <c r="Y859" i="8"/>
  <c r="W1339" i="8"/>
  <c r="Y1339" i="8" s="1"/>
  <c r="W1340" i="8" s="1"/>
  <c r="W471" i="8"/>
  <c r="Y471" i="8" s="1"/>
  <c r="U472" i="8" s="1"/>
  <c r="W285" i="8"/>
  <c r="W1080" i="8"/>
  <c r="Y1321" i="8"/>
  <c r="K118" i="1"/>
  <c r="L118" i="1" s="1"/>
  <c r="R112" i="1" l="1"/>
  <c r="W1403" i="8"/>
  <c r="K120" i="1"/>
  <c r="L120" i="1" s="1"/>
  <c r="W564" i="8"/>
  <c r="W223" i="8"/>
  <c r="Y223" i="8" s="1"/>
  <c r="U224" i="8" s="1"/>
  <c r="G1030" i="8"/>
  <c r="L77" i="1" s="1"/>
  <c r="G375" i="8"/>
  <c r="L42" i="1" s="1"/>
  <c r="W347" i="8"/>
  <c r="Y347" i="8" s="1"/>
  <c r="U348" i="8" s="1"/>
  <c r="W488" i="8"/>
  <c r="Y488" i="8" s="1"/>
  <c r="W711" i="8"/>
  <c r="Y711" i="8" s="1"/>
  <c r="U712" i="8" s="1"/>
  <c r="U257" i="8"/>
  <c r="W257" i="8" s="1"/>
  <c r="Y257" i="8" s="1"/>
  <c r="U130" i="8"/>
  <c r="W130" i="8" s="1"/>
  <c r="Y130" i="8" s="1"/>
  <c r="W505" i="8"/>
  <c r="Y505" i="8" s="1"/>
  <c r="U506" i="8" s="1"/>
  <c r="W363" i="8"/>
  <c r="Y363" i="8" s="1"/>
  <c r="U364" i="8" s="1"/>
  <c r="U395" i="8"/>
  <c r="W395" i="8" s="1"/>
  <c r="Y395" i="8" s="1"/>
  <c r="W612" i="8"/>
  <c r="Y612" i="8" s="1"/>
  <c r="U613" i="8" s="1"/>
  <c r="W143" i="8"/>
  <c r="Y143" i="8" s="1"/>
  <c r="U144" i="8" s="1"/>
  <c r="Y211" i="8"/>
  <c r="G208" i="8" s="1"/>
  <c r="P90" i="1" s="1"/>
  <c r="G206" i="8"/>
  <c r="N90" i="1" s="1"/>
  <c r="G696" i="8"/>
  <c r="P61" i="1" s="1"/>
  <c r="G694" i="8"/>
  <c r="N61" i="1" s="1"/>
  <c r="W241" i="8"/>
  <c r="Y241" i="8" s="1"/>
  <c r="W411" i="8"/>
  <c r="U860" i="8"/>
  <c r="Y1340" i="8"/>
  <c r="Y285" i="8"/>
  <c r="U286" i="8" s="1"/>
  <c r="W472" i="8"/>
  <c r="Y1080" i="8"/>
  <c r="U1322" i="8"/>
  <c r="Y1403" i="8" l="1"/>
  <c r="Y564" i="8"/>
  <c r="U565" i="8" s="1"/>
  <c r="U489" i="8"/>
  <c r="W489" i="8" s="1"/>
  <c r="Y489" i="8" s="1"/>
  <c r="W144" i="8"/>
  <c r="Y144" i="8" s="1"/>
  <c r="U145" i="8" s="1"/>
  <c r="W506" i="8"/>
  <c r="Y506" i="8" s="1"/>
  <c r="U507" i="8" s="1"/>
  <c r="W613" i="8"/>
  <c r="Y613" i="8" s="1"/>
  <c r="U614" i="8" s="1"/>
  <c r="W131" i="8"/>
  <c r="Y131" i="8" s="1"/>
  <c r="U132" i="8" s="1"/>
  <c r="U396" i="8"/>
  <c r="W396" i="8" s="1"/>
  <c r="Y396" i="8" s="1"/>
  <c r="U258" i="8"/>
  <c r="W258" i="8" s="1"/>
  <c r="Y258" i="8" s="1"/>
  <c r="U259" i="8" s="1"/>
  <c r="W348" i="8"/>
  <c r="Y348" i="8" s="1"/>
  <c r="U349" i="8" s="1"/>
  <c r="W364" i="8"/>
  <c r="Y364" i="8" s="1"/>
  <c r="U365" i="8" s="1"/>
  <c r="W712" i="8"/>
  <c r="Y712" i="8" s="1"/>
  <c r="U713" i="8" s="1"/>
  <c r="G724" i="8"/>
  <c r="L56" i="1" s="1"/>
  <c r="W224" i="8"/>
  <c r="Y224" i="8" s="1"/>
  <c r="G379" i="8"/>
  <c r="P42" i="1" s="1"/>
  <c r="G377" i="8"/>
  <c r="N42" i="1" s="1"/>
  <c r="G676" i="8"/>
  <c r="L58" i="1" s="1"/>
  <c r="G1034" i="8"/>
  <c r="P77" i="1" s="1"/>
  <c r="G1032" i="8"/>
  <c r="N77" i="1" s="1"/>
  <c r="G1353" i="8"/>
  <c r="L27" i="1" s="1"/>
  <c r="W242" i="8"/>
  <c r="Y242" i="8" s="1"/>
  <c r="Y411" i="8"/>
  <c r="W860" i="8"/>
  <c r="G856" i="8"/>
  <c r="L92" i="1" s="1"/>
  <c r="W861" i="8"/>
  <c r="Y861" i="8" s="1"/>
  <c r="W1341" i="8"/>
  <c r="W286" i="8"/>
  <c r="Y472" i="8"/>
  <c r="U473" i="8" s="1"/>
  <c r="U1081" i="8"/>
  <c r="W1322" i="8"/>
  <c r="U225" i="8" l="1"/>
  <c r="G220" i="8" s="1"/>
  <c r="L33" i="1" s="1"/>
  <c r="U490" i="8"/>
  <c r="W490" i="8" s="1"/>
  <c r="Y490" i="8" s="1"/>
  <c r="Y1341" i="8"/>
  <c r="W565" i="8"/>
  <c r="U1404" i="8"/>
  <c r="W491" i="8"/>
  <c r="Y491" i="8" s="1"/>
  <c r="U492" i="8" s="1"/>
  <c r="W492" i="8" s="1"/>
  <c r="G252" i="8"/>
  <c r="L83" i="1" s="1"/>
  <c r="W259" i="8"/>
  <c r="W507" i="8"/>
  <c r="Y507" i="8" s="1"/>
  <c r="U508" i="8" s="1"/>
  <c r="W349" i="8"/>
  <c r="Y349" i="8" s="1"/>
  <c r="G485" i="8"/>
  <c r="L45" i="1" s="1"/>
  <c r="W713" i="8"/>
  <c r="Y713" i="8" s="1"/>
  <c r="G125" i="8"/>
  <c r="L17" i="1" s="1"/>
  <c r="W132" i="8"/>
  <c r="W365" i="8"/>
  <c r="Y365" i="8" s="1"/>
  <c r="W614" i="8"/>
  <c r="Y614" i="8" s="1"/>
  <c r="U615" i="8" s="1"/>
  <c r="W145" i="8"/>
  <c r="Y145" i="8" s="1"/>
  <c r="G726" i="8"/>
  <c r="N56" i="1" s="1"/>
  <c r="G728" i="8"/>
  <c r="P56" i="1" s="1"/>
  <c r="U397" i="8"/>
  <c r="G390" i="8" s="1"/>
  <c r="L44" i="1" s="1"/>
  <c r="G1194" i="8"/>
  <c r="L103" i="1" s="1"/>
  <c r="G680" i="8"/>
  <c r="P58" i="1" s="1"/>
  <c r="G678" i="8"/>
  <c r="N58" i="1" s="1"/>
  <c r="G437" i="8"/>
  <c r="L40" i="1" s="1"/>
  <c r="G1357" i="8"/>
  <c r="P27" i="1" s="1"/>
  <c r="G1355" i="8"/>
  <c r="N27" i="1" s="1"/>
  <c r="W412" i="8"/>
  <c r="Y412" i="8" s="1"/>
  <c r="Y286" i="8"/>
  <c r="U287" i="8" s="1"/>
  <c r="Y860" i="8"/>
  <c r="G860" i="8" s="1"/>
  <c r="P92" i="1" s="1"/>
  <c r="G858" i="8"/>
  <c r="N92" i="1" s="1"/>
  <c r="W473" i="8"/>
  <c r="Y473" i="8" s="1"/>
  <c r="U474" i="8" s="1"/>
  <c r="W474" i="8" s="1"/>
  <c r="W1081" i="8"/>
  <c r="Y1322" i="8"/>
  <c r="W225" i="8" l="1"/>
  <c r="W1342" i="8"/>
  <c r="W1404" i="8"/>
  <c r="Y565" i="8"/>
  <c r="G521" i="8"/>
  <c r="P71" i="1" s="1"/>
  <c r="U366" i="8"/>
  <c r="W366" i="8" s="1"/>
  <c r="Y366" i="8" s="1"/>
  <c r="U367" i="8" s="1"/>
  <c r="W367" i="8" s="1"/>
  <c r="U714" i="8"/>
  <c r="W714" i="8" s="1"/>
  <c r="Y714" i="8" s="1"/>
  <c r="U715" i="8" s="1"/>
  <c r="W715" i="8" s="1"/>
  <c r="U350" i="8"/>
  <c r="W350" i="8" s="1"/>
  <c r="Y350" i="8" s="1"/>
  <c r="U351" i="8" s="1"/>
  <c r="W351" i="8" s="1"/>
  <c r="W508" i="8"/>
  <c r="Y508" i="8" s="1"/>
  <c r="W146" i="8"/>
  <c r="Y146" i="8" s="1"/>
  <c r="W147" i="8" s="1"/>
  <c r="G775" i="8"/>
  <c r="L102" i="1" s="1"/>
  <c r="G644" i="8"/>
  <c r="L57" i="1" s="1"/>
  <c r="W615" i="8"/>
  <c r="Y615" i="8" s="1"/>
  <c r="U616" i="8" s="1"/>
  <c r="G708" i="8"/>
  <c r="L59" i="1" s="1"/>
  <c r="G344" i="8"/>
  <c r="L32" i="1" s="1"/>
  <c r="G502" i="8"/>
  <c r="L64" i="1" s="1"/>
  <c r="G140" i="8"/>
  <c r="L13" i="1" s="1"/>
  <c r="G360" i="8"/>
  <c r="L35" i="1" s="1"/>
  <c r="G1062" i="8"/>
  <c r="L37" i="1" s="1"/>
  <c r="G840" i="8"/>
  <c r="L48" i="1" s="1"/>
  <c r="Y259" i="8"/>
  <c r="G256" i="8" s="1"/>
  <c r="P83" i="1" s="1"/>
  <c r="G254" i="8"/>
  <c r="N83" i="1" s="1"/>
  <c r="Y474" i="8"/>
  <c r="Y132" i="8"/>
  <c r="G129" i="8" s="1"/>
  <c r="P17" i="1" s="1"/>
  <c r="G127" i="8"/>
  <c r="N17" i="1" s="1"/>
  <c r="Y492" i="8"/>
  <c r="G489" i="8" s="1"/>
  <c r="P45" i="1" s="1"/>
  <c r="G487" i="8"/>
  <c r="N45" i="1" s="1"/>
  <c r="G441" i="8"/>
  <c r="P40" i="1" s="1"/>
  <c r="G439" i="8"/>
  <c r="N40" i="1" s="1"/>
  <c r="G1198" i="8"/>
  <c r="P103" i="1" s="1"/>
  <c r="G1196" i="8"/>
  <c r="N103" i="1" s="1"/>
  <c r="W413" i="8"/>
  <c r="G406" i="8"/>
  <c r="L95" i="1" s="1"/>
  <c r="W397" i="8"/>
  <c r="W243" i="8"/>
  <c r="G236" i="8"/>
  <c r="L34" i="1" s="1"/>
  <c r="W287" i="8"/>
  <c r="Y1081" i="8"/>
  <c r="U1323" i="8"/>
  <c r="Y1342" i="8" l="1"/>
  <c r="G1341" i="8" s="1"/>
  <c r="P26" i="1" s="1"/>
  <c r="G1339" i="8"/>
  <c r="N26" i="1" s="1"/>
  <c r="Y225" i="8"/>
  <c r="G224" i="8" s="1"/>
  <c r="P33" i="1" s="1"/>
  <c r="G222" i="8"/>
  <c r="N33" i="1" s="1"/>
  <c r="Y1404" i="8"/>
  <c r="U566" i="8"/>
  <c r="U509" i="8"/>
  <c r="W509" i="8" s="1"/>
  <c r="Y509" i="8" s="1"/>
  <c r="G506" i="8" s="1"/>
  <c r="P64" i="1" s="1"/>
  <c r="W475" i="8"/>
  <c r="Y475" i="8" s="1"/>
  <c r="W616" i="8"/>
  <c r="G609" i="8"/>
  <c r="L74" i="1" s="1"/>
  <c r="G844" i="8"/>
  <c r="P48" i="1" s="1"/>
  <c r="G842" i="8"/>
  <c r="N48" i="1" s="1"/>
  <c r="Y367" i="8"/>
  <c r="G364" i="8" s="1"/>
  <c r="P35" i="1" s="1"/>
  <c r="G362" i="8"/>
  <c r="N35" i="1" s="1"/>
  <c r="G504" i="8"/>
  <c r="N64" i="1" s="1"/>
  <c r="Y715" i="8"/>
  <c r="G712" i="8" s="1"/>
  <c r="P59" i="1" s="1"/>
  <c r="G710" i="8"/>
  <c r="N59" i="1" s="1"/>
  <c r="G648" i="8"/>
  <c r="P57" i="1" s="1"/>
  <c r="G646" i="8"/>
  <c r="N57" i="1" s="1"/>
  <c r="Y397" i="8"/>
  <c r="G394" i="8" s="1"/>
  <c r="P44" i="1" s="1"/>
  <c r="G392" i="8"/>
  <c r="N44" i="1" s="1"/>
  <c r="G1066" i="8"/>
  <c r="P37" i="1" s="1"/>
  <c r="G1064" i="8"/>
  <c r="N37" i="1" s="1"/>
  <c r="Y147" i="8"/>
  <c r="G144" i="8" s="1"/>
  <c r="P13" i="1" s="1"/>
  <c r="G142" i="8"/>
  <c r="N13" i="1" s="1"/>
  <c r="Y351" i="8"/>
  <c r="G348" i="8" s="1"/>
  <c r="P32" i="1" s="1"/>
  <c r="G346" i="8"/>
  <c r="N32" i="1" s="1"/>
  <c r="G779" i="8"/>
  <c r="P102" i="1" s="1"/>
  <c r="G777" i="8"/>
  <c r="N102" i="1" s="1"/>
  <c r="Y413" i="8"/>
  <c r="G410" i="8" s="1"/>
  <c r="P95" i="1" s="1"/>
  <c r="G408" i="8"/>
  <c r="N95" i="1" s="1"/>
  <c r="Y243" i="8"/>
  <c r="G240" i="8" s="1"/>
  <c r="P34" i="1" s="1"/>
  <c r="G238" i="8"/>
  <c r="N34" i="1" s="1"/>
  <c r="Y287" i="8"/>
  <c r="U1082" i="8"/>
  <c r="W1323" i="8"/>
  <c r="G1321" i="8"/>
  <c r="L29" i="1" s="1"/>
  <c r="W566" i="8" l="1"/>
  <c r="U1405" i="8"/>
  <c r="Y616" i="8"/>
  <c r="G613" i="8" s="1"/>
  <c r="P74" i="1" s="1"/>
  <c r="G611" i="8"/>
  <c r="N74" i="1" s="1"/>
  <c r="W288" i="8"/>
  <c r="Y288" i="8" s="1"/>
  <c r="G905" i="8"/>
  <c r="L49" i="1" s="1"/>
  <c r="W476" i="8"/>
  <c r="G469" i="8"/>
  <c r="L43" i="1" s="1"/>
  <c r="G872" i="8"/>
  <c r="L52" i="1" s="1"/>
  <c r="G1465" i="8"/>
  <c r="L76" i="1" s="1"/>
  <c r="W1082" i="8"/>
  <c r="Y1323" i="8"/>
  <c r="W1405" i="8" l="1"/>
  <c r="Y566" i="8"/>
  <c r="W289" i="8"/>
  <c r="G282" i="8"/>
  <c r="L39" i="1" s="1"/>
  <c r="Y476" i="8"/>
  <c r="G473" i="8" s="1"/>
  <c r="P43" i="1" s="1"/>
  <c r="G471" i="8"/>
  <c r="N43" i="1" s="1"/>
  <c r="G876" i="8"/>
  <c r="P52" i="1" s="1"/>
  <c r="G874" i="8"/>
  <c r="N52" i="1" s="1"/>
  <c r="G909" i="8"/>
  <c r="P49" i="1" s="1"/>
  <c r="G907" i="8"/>
  <c r="N49" i="1" s="1"/>
  <c r="G1469" i="8"/>
  <c r="P76" i="1" s="1"/>
  <c r="G1467" i="8"/>
  <c r="N76" i="1" s="1"/>
  <c r="Y1082" i="8"/>
  <c r="W1324" i="8"/>
  <c r="Y1405" i="8" l="1"/>
  <c r="Y1324" i="8"/>
  <c r="U567" i="8"/>
  <c r="Y289" i="8"/>
  <c r="G286" i="8" s="1"/>
  <c r="P39" i="1" s="1"/>
  <c r="G284" i="8"/>
  <c r="N39" i="1" s="1"/>
  <c r="U1083" i="8"/>
  <c r="D50" i="1"/>
  <c r="D48" i="1"/>
  <c r="K116" i="1"/>
  <c r="L116" i="1" s="1"/>
  <c r="K119" i="1"/>
  <c r="L119" i="1" s="1"/>
  <c r="W567" i="8" l="1"/>
  <c r="U1406" i="8"/>
  <c r="W1325" i="8"/>
  <c r="W1083" i="8"/>
  <c r="W1406" i="8" l="1"/>
  <c r="G1401" i="8"/>
  <c r="L81" i="1" s="1"/>
  <c r="Y1325" i="8"/>
  <c r="Y567" i="8"/>
  <c r="Y1083" i="8"/>
  <c r="Y1406" i="8" l="1"/>
  <c r="G1403" i="8"/>
  <c r="N81" i="1" s="1"/>
  <c r="W1326" i="8"/>
  <c r="U568" i="8"/>
  <c r="U1084" i="8"/>
  <c r="Y1326" i="8" l="1"/>
  <c r="G1325" i="8" s="1"/>
  <c r="P29" i="1" s="1"/>
  <c r="G1323" i="8"/>
  <c r="N29" i="1" s="1"/>
  <c r="W568" i="8"/>
  <c r="G563" i="8"/>
  <c r="L21" i="1" s="1"/>
  <c r="U1407" i="8"/>
  <c r="W1407" i="8" s="1"/>
  <c r="Y1407" i="8" s="1"/>
  <c r="U1408" i="8" s="1"/>
  <c r="W1408" i="8" s="1"/>
  <c r="Y1408" i="8" s="1"/>
  <c r="G1405" i="8"/>
  <c r="P81" i="1" s="1"/>
  <c r="G627" i="8"/>
  <c r="L15" i="1" s="1"/>
  <c r="Y1084" i="8"/>
  <c r="U1085" i="8" s="1"/>
  <c r="W1085" i="8" s="1"/>
  <c r="Y568" i="8" l="1"/>
  <c r="G565" i="8"/>
  <c r="N21" i="1" s="1"/>
  <c r="G1078" i="8"/>
  <c r="Y1085" i="8"/>
  <c r="G1082" i="8" s="1"/>
  <c r="G1080" i="8"/>
  <c r="G631" i="8"/>
  <c r="P15" i="1" s="1"/>
  <c r="G629" i="8"/>
  <c r="N15" i="1" s="1"/>
  <c r="U569" i="8" l="1"/>
  <c r="W569" i="8" s="1"/>
  <c r="Y569" i="8" s="1"/>
  <c r="U570" i="8" s="1"/>
  <c r="W570" i="8" s="1"/>
  <c r="Y570" i="8" s="1"/>
  <c r="G567" i="8"/>
  <c r="P21" i="1" s="1"/>
  <c r="W167" i="8"/>
  <c r="Y167" i="8" s="1"/>
  <c r="U168" i="8" l="1"/>
  <c r="W168" i="8" s="1"/>
  <c r="Y168" i="8" s="1"/>
  <c r="W178" i="8"/>
  <c r="U169" i="8" l="1"/>
  <c r="W169" i="8" s="1"/>
  <c r="Y169" i="8" s="1"/>
  <c r="Y178" i="8"/>
  <c r="U170" i="8" l="1"/>
  <c r="W170" i="8" s="1"/>
  <c r="Y170" i="8" s="1"/>
  <c r="W171" i="8" s="1"/>
  <c r="Y171" i="8" s="1"/>
  <c r="W172" i="8" s="1"/>
  <c r="W56" i="8"/>
  <c r="Y56" i="8" s="1"/>
  <c r="U57" i="8" s="1"/>
  <c r="W57" i="8" s="1"/>
  <c r="Y57" i="8" s="1"/>
  <c r="Y172" i="8" l="1"/>
  <c r="W58" i="8"/>
  <c r="Y58" i="8" s="1"/>
  <c r="W59" i="8" s="1"/>
  <c r="Y59" i="8" s="1"/>
  <c r="U60" i="8" l="1"/>
  <c r="W60" i="8" s="1"/>
  <c r="Y60" i="8" s="1"/>
  <c r="Y173" i="8"/>
  <c r="R78" i="1"/>
  <c r="R104" i="1" s="1"/>
  <c r="U174" i="8" l="1"/>
  <c r="U61" i="8"/>
  <c r="G60" i="8" s="1"/>
  <c r="L16" i="1" s="1"/>
  <c r="K113" i="1"/>
  <c r="L113" i="1" s="1"/>
  <c r="W174" i="8" l="1"/>
  <c r="Y174" i="8" s="1"/>
  <c r="W61" i="8"/>
  <c r="U175" i="8" l="1"/>
  <c r="Y61" i="8"/>
  <c r="W175" i="8" l="1"/>
  <c r="W62" i="8"/>
  <c r="S105" i="1"/>
  <c r="S107" i="1" s="1"/>
  <c r="Y175" i="8" l="1"/>
  <c r="U176" i="8" s="1"/>
  <c r="G171" i="8" s="1"/>
  <c r="L100" i="1" s="1"/>
  <c r="Y62" i="8"/>
  <c r="W176" i="8" l="1"/>
  <c r="W63" i="8"/>
  <c r="Y176" i="8" l="1"/>
  <c r="G173" i="8"/>
  <c r="N100" i="1" s="1"/>
  <c r="Y63" i="8"/>
  <c r="D14" i="1"/>
  <c r="D96" i="1"/>
  <c r="D64" i="1"/>
  <c r="D51" i="1"/>
  <c r="Q107" i="1"/>
  <c r="K114" i="1"/>
  <c r="L114" i="1" s="1"/>
  <c r="W177" i="8" l="1"/>
  <c r="Y177" i="8" s="1"/>
  <c r="G175" i="8"/>
  <c r="P100" i="1" s="1"/>
  <c r="W64" i="8"/>
  <c r="K121" i="1"/>
  <c r="L121" i="1"/>
  <c r="Y64" i="8" l="1"/>
  <c r="O130" i="1"/>
  <c r="W65" i="8" l="1"/>
  <c r="Y65" i="8" l="1"/>
  <c r="G62" i="8"/>
  <c r="N16" i="1" s="1"/>
  <c r="W66" i="8" l="1"/>
  <c r="Y66" i="8" s="1"/>
  <c r="W67" i="8" s="1"/>
  <c r="Y67" i="8" s="1"/>
  <c r="G64" i="8"/>
  <c r="P16" i="1" s="1"/>
  <c r="P105" i="1" s="1"/>
  <c r="R105" i="1" l="1"/>
  <c r="R30" i="1"/>
  <c r="R22" i="1"/>
</calcChain>
</file>

<file path=xl/comments1.xml><?xml version="1.0" encoding="utf-8"?>
<comments xmlns="http://schemas.openxmlformats.org/spreadsheetml/2006/main">
  <authors>
    <author>cc</author>
  </authors>
  <commentList>
    <comment ref="V17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2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U2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2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2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41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3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4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cash paid
ordered by bilal bhai</t>
        </r>
      </text>
    </comment>
    <comment ref="U3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3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</t>
        </r>
      </text>
    </comment>
    <comment ref="V38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4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namdee bhai on 15 7 20</t>
        </r>
      </text>
    </comment>
    <comment ref="V4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46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U4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8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9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easy paisa to his brother khalid acc</t>
        </r>
      </text>
    </comment>
    <comment ref="U5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1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5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0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60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U62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11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7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0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9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90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instructed by nadeem bhai to deduct adance only 5000</t>
        </r>
      </text>
    </comment>
    <comment ref="U9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4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35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3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3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<sst xmlns="http://schemas.openxmlformats.org/spreadsheetml/2006/main" count="5718" uniqueCount="267">
  <si>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</si>
  <si>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</si>
  <si>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</si>
  <si>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</si>
  <si>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</si>
  <si>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</si>
  <si>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</si>
  <si>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</si>
  <si>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</si>
  <si>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</si>
  <si>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</si>
  <si>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</si>
  <si>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</si>
  <si>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</si>
  <si>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</si>
  <si>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</si>
  <si>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</si>
  <si>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</si>
  <si>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</si>
  <si>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</si>
  <si>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</si>
  <si>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</si>
  <si>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</si>
  <si>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</si>
  <si>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</si>
  <si>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</si>
  <si>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</si>
  <si>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</si>
  <si>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</si>
  <si>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</si>
  <si>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</si>
  <si>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</si>
  <si>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</si>
  <si>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</si>
  <si>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</si>
  <si>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</si>
  <si>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</si>
  <si>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</si>
  <si>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</si>
  <si>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</si>
  <si>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</si>
  <si>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</si>
  <si>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</si>
  <si>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</si>
  <si>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</si>
  <si>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</si>
  <si>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</si>
  <si>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</si>
  <si>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</si>
  <si>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</si>
  <si>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</si>
  <si>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</si>
  <si>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</si>
  <si>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</si>
  <si>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</si>
  <si>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</si>
  <si>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</si>
  <si>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</si>
  <si>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</si>
  <si>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</si>
  <si>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</si>
  <si>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</si>
  <si>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</si>
  <si>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</si>
  <si>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</si>
  <si>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</si>
  <si>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</si>
  <si>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</si>
  <si>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</si>
  <si>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</si>
  <si>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</si>
  <si>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</si>
  <si>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</si>
  <si>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</si>
  <si>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</si>
  <si>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</si>
  <si>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</si>
  <si>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</si>
  <si>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</si>
  <si>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</si>
  <si>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</si>
  <si>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</si>
  <si>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</si>
  <si>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</si>
  <si>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</si>
  <si>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</si>
  <si>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</si>
  <si>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</si>
  <si>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</si>
  <si>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</si>
  <si>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</si>
  <si>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</si>
  <si>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</si>
  <si>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</si>
  <si>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</si>
  <si>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</si>
  <si>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</si>
  <si>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</si>
  <si>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</si>
  <si>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</si>
  <si>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</si>
  <si>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</si>
  <si>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</si>
  <si>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</si>
  <si>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</si>
  <si>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</si>
  <si>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</si>
  <si>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</si>
  <si>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</si>
  <si>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</si>
  <si>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</si>
  <si>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</si>
  <si>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</si>
  <si>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</si>
  <si>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</si>
  <si>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</si>
  <si>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</si>
  <si>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</si>
  <si>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</si>
  <si>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</si>
  <si>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</si>
  <si>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</si>
  <si>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</si>
  <si>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</si>
  <si>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</si>
  <si>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</si>
  <si>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</si>
  <si>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</si>
  <si>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</si>
  <si>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</si>
  <si>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</si>
  <si>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</si>
  <si>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</si>
  <si>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</si>
  <si>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</si>
  <si>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</si>
  <si>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</si>
  <si>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</si>
  <si>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</si>
  <si>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</si>
  <si>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</si>
  <si>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</si>
  <si>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</si>
  <si>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</si>
  <si>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</si>
  <si>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</si>
  <si>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</si>
  <si>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</si>
  <si>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</si>
  <si>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</si>
  <si>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</si>
  <si>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</si>
  <si>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</si>
  <si>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</si>
  <si>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</si>
  <si>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</si>
  <si>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</si>
  <si>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</si>
  <si>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</si>
  <si>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</si>
  <si>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</si>
  <si>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</si>
  <si>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</si>
  <si>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</si>
  <si>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</si>
  <si>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</si>
  <si>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</si>
  <si>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</si>
  <si>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</si>
  <si>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</si>
  <si>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</si>
  <si>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</si>
  <si>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</si>
  <si>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</si>
  <si>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</si>
  <si>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</si>
  <si>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</si>
  <si>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</si>
  <si>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</si>
  <si>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</si>
  <si>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</si>
  <si>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</si>
  <si>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</si>
  <si>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</si>
  <si>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</si>
  <si>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</si>
  <si>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</si>
  <si>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</si>
  <si>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</si>
  <si>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</si>
  <si>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</si>
  <si>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</si>
  <si>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</si>
  <si>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</si>
  <si>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</si>
  <si>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Hamid FTC</t>
  </si>
  <si>
    <t>June 2020</t>
  </si>
  <si>
    <t>Zahid Elec</t>
  </si>
  <si>
    <t xml:space="preserve"> Jameel baig /  Hashmani / Naveed Malik / </t>
  </si>
  <si>
    <t>July 2020</t>
  </si>
  <si>
    <t>Arham</t>
  </si>
  <si>
    <t>0315-2577201</t>
  </si>
  <si>
    <t>Mehmood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</si>
  <si>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</si>
  <si>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</si>
  <si>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</si>
  <si>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</si>
  <si>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</si>
  <si>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</si>
  <si>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</si>
  <si>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</si>
  <si>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</si>
  <si>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</si>
  <si>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</si>
  <si>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</si>
  <si>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</si>
  <si>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</si>
  <si>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</si>
  <si>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</si>
  <si>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</si>
  <si>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</si>
  <si>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</si>
  <si>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</si>
  <si>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</si>
  <si>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</si>
  <si>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</si>
  <si>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</si>
  <si>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</si>
  <si>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</si>
  <si>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</si>
  <si>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</si>
  <si>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</si>
  <si>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</si>
  <si>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</si>
  <si>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</si>
  <si>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</si>
  <si>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</si>
  <si>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0333-3168291</t>
  </si>
  <si>
    <t>0337-8049132</t>
  </si>
  <si>
    <t>0333-2391205</t>
  </si>
  <si>
    <t>Naveed Akhtar</t>
  </si>
  <si>
    <t>Junaid</t>
  </si>
  <si>
    <t>Noman Khan</t>
  </si>
  <si>
    <t>Hamza Khan</t>
  </si>
  <si>
    <t>Ahsan Razak</t>
  </si>
  <si>
    <t>0332-2461020</t>
  </si>
  <si>
    <t>0324-2824549</t>
  </si>
  <si>
    <t>0303-8072971</t>
  </si>
  <si>
    <t>0305-2678743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</si>
  <si>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</si>
  <si>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</si>
  <si>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</si>
  <si>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</si>
  <si>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</si>
  <si>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</si>
  <si>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</si>
  <si>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</si>
  <si>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</si>
  <si>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0315-7358542</t>
  </si>
  <si>
    <t>0333-2292165</t>
  </si>
  <si>
    <t>0343-2163562</t>
  </si>
  <si>
    <t>0315-3863716</t>
  </si>
  <si>
    <t>Son</t>
  </si>
  <si>
    <t>0332-3941196</t>
  </si>
  <si>
    <t>Azeem D/W</t>
  </si>
  <si>
    <t>M. Shafeeq</t>
  </si>
  <si>
    <t>Oct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</si>
</sst>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3" fillId="0" borderId="0"/>
    <xf numFmtId="9" fontId="51" fillId="0" borderId="0" applyFont="0" applyFill="0" applyBorder="0" applyAlignment="0" applyProtection="0"/>
  </cellStyleXfs>
  <cellXfs count="438">
    <xf numFmtId="0" fontId="0" fillId="0" borderId="0" xfId="0"/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0" fontId="7" fillId="0" borderId="0" xfId="0" applyFont="1" applyFill="1"/>
    <xf numFmtId="164" fontId="0" fillId="0" borderId="0" xfId="1" applyNumberFormat="1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1" applyNumberFormat="1" applyFont="1" applyFill="1" applyBorder="1"/>
    <xf numFmtId="164" fontId="18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20" fillId="0" borderId="1" xfId="1" applyNumberFormat="1" applyFont="1" applyBorder="1"/>
    <xf numFmtId="164" fontId="18" fillId="2" borderId="8" xfId="1" applyNumberFormat="1" applyFont="1" applyFill="1" applyBorder="1" applyAlignment="1">
      <alignment horizontal="center"/>
    </xf>
    <xf numFmtId="164" fontId="4" fillId="0" borderId="8" xfId="1" applyNumberFormat="1" applyFont="1" applyBorder="1"/>
    <xf numFmtId="164" fontId="19" fillId="0" borderId="8" xfId="1" applyNumberFormat="1" applyFont="1" applyBorder="1"/>
    <xf numFmtId="164" fontId="7" fillId="0" borderId="1" xfId="1" applyNumberFormat="1" applyFont="1" applyFill="1" applyBorder="1"/>
    <xf numFmtId="17" fontId="21" fillId="0" borderId="0" xfId="0" applyNumberFormat="1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vertical="center"/>
    </xf>
    <xf numFmtId="164" fontId="20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164" fontId="20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16" fillId="3" borderId="1" xfId="1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0" fontId="15" fillId="4" borderId="23" xfId="0" applyFont="1" applyFill="1" applyBorder="1" applyAlignment="1">
      <alignment vertical="center"/>
    </xf>
    <xf numFmtId="164" fontId="16" fillId="3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0" fillId="0" borderId="8" xfId="1" applyNumberFormat="1" applyFont="1" applyBorder="1"/>
    <xf numFmtId="164" fontId="10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18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164" fontId="7" fillId="0" borderId="8" xfId="1" applyNumberFormat="1" applyFont="1" applyBorder="1"/>
    <xf numFmtId="164" fontId="8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20" fillId="7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vertical="center"/>
    </xf>
    <xf numFmtId="164" fontId="12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textRotation="90"/>
    </xf>
    <xf numFmtId="0" fontId="8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4" fontId="8" fillId="0" borderId="8" xfId="0" applyNumberFormat="1" applyFont="1" applyFill="1" applyBorder="1" applyAlignment="1">
      <alignment vertical="center"/>
    </xf>
    <xf numFmtId="164" fontId="20" fillId="8" borderId="1" xfId="0" applyNumberFormat="1" applyFont="1" applyFill="1" applyBorder="1"/>
    <xf numFmtId="164" fontId="20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4" fillId="0" borderId="0" xfId="1" applyNumberFormat="1" applyFont="1"/>
    <xf numFmtId="164" fontId="10" fillId="0" borderId="0" xfId="0" applyNumberFormat="1" applyFont="1"/>
    <xf numFmtId="164" fontId="12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20" fillId="0" borderId="8" xfId="0" applyNumberFormat="1" applyFont="1" applyFill="1" applyBorder="1"/>
    <xf numFmtId="164" fontId="33" fillId="2" borderId="1" xfId="1" applyNumberFormat="1" applyFont="1" applyFill="1" applyBorder="1"/>
    <xf numFmtId="0" fontId="11" fillId="0" borderId="0" xfId="0" applyFont="1" applyFill="1" applyBorder="1" applyAlignment="1"/>
    <xf numFmtId="164" fontId="11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2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0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9" xfId="0" applyNumberFormat="1" applyFont="1" applyFill="1" applyBorder="1" applyAlignment="1">
      <alignment horizontal="center" vertical="center"/>
    </xf>
    <xf numFmtId="164" fontId="20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8" fillId="0" borderId="9" xfId="0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/>
    </xf>
    <xf numFmtId="164" fontId="20" fillId="0" borderId="8" xfId="1" applyNumberFormat="1" applyFont="1" applyFill="1" applyBorder="1"/>
    <xf numFmtId="164" fontId="7" fillId="0" borderId="8" xfId="1" applyNumberFormat="1" applyFont="1" applyFill="1" applyBorder="1"/>
    <xf numFmtId="164" fontId="8" fillId="0" borderId="8" xfId="1" applyNumberFormat="1" applyFont="1" applyFill="1" applyBorder="1"/>
    <xf numFmtId="164" fontId="8" fillId="0" borderId="8" xfId="0" applyNumberFormat="1" applyFont="1" applyFill="1" applyBorder="1" applyAlignment="1">
      <alignment horizontal="center" vertical="center"/>
    </xf>
    <xf numFmtId="0" fontId="23" fillId="15" borderId="5" xfId="0" applyFont="1" applyFill="1" applyBorder="1" applyAlignment="1">
      <alignment vertical="center"/>
    </xf>
    <xf numFmtId="0" fontId="10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23" fillId="0" borderId="5" xfId="1" applyNumberFormat="1" applyFont="1" applyFill="1" applyBorder="1" applyAlignment="1">
      <alignment vertical="center"/>
    </xf>
    <xf numFmtId="0" fontId="23" fillId="0" borderId="27" xfId="0" applyFont="1" applyFill="1" applyBorder="1" applyAlignment="1">
      <alignment vertical="center"/>
    </xf>
    <xf numFmtId="14" fontId="23" fillId="0" borderId="28" xfId="0" applyNumberFormat="1" applyFont="1" applyFill="1" applyBorder="1" applyAlignment="1">
      <alignment vertical="center"/>
    </xf>
    <xf numFmtId="0" fontId="26" fillId="0" borderId="28" xfId="0" applyFont="1" applyFill="1" applyBorder="1" applyAlignment="1">
      <alignment vertical="center"/>
    </xf>
    <xf numFmtId="164" fontId="24" fillId="0" borderId="28" xfId="1" applyNumberFormat="1" applyFont="1" applyFill="1" applyBorder="1" applyAlignment="1">
      <alignment vertical="center"/>
    </xf>
    <xf numFmtId="0" fontId="23" fillId="0" borderId="28" xfId="0" applyFont="1" applyFill="1" applyBorder="1" applyAlignment="1">
      <alignment vertical="center"/>
    </xf>
    <xf numFmtId="0" fontId="24" fillId="0" borderId="28" xfId="0" applyFont="1" applyFill="1" applyBorder="1" applyAlignment="1">
      <alignment horizontal="center" vertical="center"/>
    </xf>
    <xf numFmtId="164" fontId="23" fillId="0" borderId="28" xfId="0" applyNumberFormat="1" applyFont="1" applyFill="1" applyBorder="1" applyAlignment="1">
      <alignment horizontal="right" vertical="center"/>
    </xf>
    <xf numFmtId="164" fontId="23" fillId="0" borderId="28" xfId="0" applyNumberFormat="1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164" fontId="24" fillId="0" borderId="28" xfId="0" applyNumberFormat="1" applyFont="1" applyFill="1" applyBorder="1" applyAlignment="1">
      <alignment vertical="center"/>
    </xf>
    <xf numFmtId="0" fontId="23" fillId="0" borderId="21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/>
    </xf>
    <xf numFmtId="164" fontId="20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164" fontId="40" fillId="0" borderId="1" xfId="0" applyNumberFormat="1" applyFont="1" applyFill="1" applyBorder="1"/>
    <xf numFmtId="164" fontId="4" fillId="0" borderId="1" xfId="0" applyNumberFormat="1" applyFont="1" applyFill="1" applyBorder="1"/>
    <xf numFmtId="0" fontId="8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8" fillId="19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164" fontId="16" fillId="3" borderId="0" xfId="1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20" fillId="7" borderId="0" xfId="0" applyNumberFormat="1" applyFont="1" applyFill="1" applyBorder="1"/>
    <xf numFmtId="164" fontId="20" fillId="12" borderId="0" xfId="0" applyNumberFormat="1" applyFont="1" applyFill="1" applyBorder="1"/>
    <xf numFmtId="164" fontId="20" fillId="10" borderId="0" xfId="0" applyNumberFormat="1" applyFont="1" applyFill="1" applyBorder="1"/>
    <xf numFmtId="164" fontId="12" fillId="0" borderId="0" xfId="1" applyNumberFormat="1" applyFont="1" applyBorder="1"/>
    <xf numFmtId="164" fontId="12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8" fillId="0" borderId="0" xfId="0" applyFont="1" applyFill="1" applyBorder="1" applyAlignment="1">
      <alignment horizontal="right"/>
    </xf>
    <xf numFmtId="164" fontId="20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6" fillId="22" borderId="29" xfId="1" applyNumberFormat="1" applyFont="1" applyFill="1" applyBorder="1"/>
    <xf numFmtId="164" fontId="6" fillId="22" borderId="29" xfId="1" applyNumberFormat="1" applyFont="1" applyFill="1" applyBorder="1" applyAlignment="1"/>
    <xf numFmtId="164" fontId="6" fillId="22" borderId="29" xfId="1" applyNumberFormat="1" applyFont="1" applyFill="1" applyBorder="1" applyAlignment="1">
      <alignment horizontal="left"/>
    </xf>
    <xf numFmtId="164" fontId="6" fillId="22" borderId="29" xfId="1" applyNumberFormat="1" applyFont="1" applyFill="1" applyBorder="1" applyAlignment="1">
      <alignment horizontal="left" vertical="top" wrapText="1"/>
    </xf>
    <xf numFmtId="164" fontId="10" fillId="22" borderId="29" xfId="1" applyNumberFormat="1" applyFont="1" applyFill="1" applyBorder="1"/>
    <xf numFmtId="164" fontId="6" fillId="14" borderId="29" xfId="1" applyNumberFormat="1" applyFont="1" applyFill="1" applyBorder="1"/>
    <xf numFmtId="164" fontId="6" fillId="14" borderId="29" xfId="1" applyNumberFormat="1" applyFont="1" applyFill="1" applyBorder="1" applyAlignment="1">
      <alignment horizontal="left"/>
    </xf>
    <xf numFmtId="164" fontId="6" fillId="14" borderId="29" xfId="1" applyNumberFormat="1" applyFont="1" applyFill="1" applyBorder="1" applyAlignment="1">
      <alignment horizontal="left" vertical="top" wrapText="1"/>
    </xf>
    <xf numFmtId="164" fontId="6" fillId="14" borderId="30" xfId="1" applyNumberFormat="1" applyFont="1" applyFill="1" applyBorder="1"/>
    <xf numFmtId="164" fontId="6" fillId="22" borderId="30" xfId="1" applyNumberFormat="1" applyFont="1" applyFill="1" applyBorder="1"/>
    <xf numFmtId="164" fontId="6" fillId="22" borderId="30" xfId="1" applyNumberFormat="1" applyFont="1" applyFill="1" applyBorder="1" applyAlignment="1"/>
    <xf numFmtId="164" fontId="4" fillId="0" borderId="0" xfId="0" applyNumberFormat="1" applyFont="1"/>
    <xf numFmtId="164" fontId="53" fillId="0" borderId="0" xfId="1" applyNumberFormat="1" applyFont="1" applyBorder="1" applyAlignment="1">
      <alignment horizontal="center"/>
    </xf>
    <xf numFmtId="164" fontId="54" fillId="0" borderId="1" xfId="1" applyNumberFormat="1" applyFont="1" applyBorder="1" applyAlignment="1">
      <alignment horizontal="center" vertical="center"/>
    </xf>
    <xf numFmtId="9" fontId="54" fillId="0" borderId="1" xfId="3" applyFont="1" applyBorder="1" applyAlignment="1">
      <alignment horizontal="center" vertical="center"/>
    </xf>
    <xf numFmtId="9" fontId="54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4" fillId="0" borderId="0" xfId="3" applyFont="1" applyBorder="1" applyAlignment="1">
      <alignment horizontal="center" vertical="center" wrapText="1"/>
    </xf>
    <xf numFmtId="164" fontId="52" fillId="0" borderId="0" xfId="1" applyNumberFormat="1" applyFont="1"/>
    <xf numFmtId="0" fontId="34" fillId="7" borderId="1" xfId="0" applyFont="1" applyFill="1" applyBorder="1" applyAlignment="1">
      <alignment horizontal="center"/>
    </xf>
    <xf numFmtId="164" fontId="49" fillId="21" borderId="31" xfId="1" applyNumberFormat="1" applyFont="1" applyFill="1" applyBorder="1"/>
    <xf numFmtId="164" fontId="49" fillId="21" borderId="31" xfId="1" quotePrefix="1" applyNumberFormat="1" applyFont="1" applyFill="1" applyBorder="1" applyAlignment="1"/>
    <xf numFmtId="164" fontId="55" fillId="10" borderId="1" xfId="1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right"/>
    </xf>
    <xf numFmtId="164" fontId="34" fillId="7" borderId="0" xfId="0" applyNumberFormat="1" applyFont="1" applyFill="1" applyBorder="1" applyAlignment="1">
      <alignment horizontal="center"/>
    </xf>
    <xf numFmtId="164" fontId="12" fillId="0" borderId="1" xfId="0" applyNumberFormat="1" applyFont="1" applyFill="1" applyBorder="1"/>
    <xf numFmtId="164" fontId="12" fillId="0" borderId="8" xfId="0" applyNumberFormat="1" applyFont="1" applyFill="1" applyBorder="1"/>
    <xf numFmtId="164" fontId="12" fillId="8" borderId="1" xfId="0" applyNumberFormat="1" applyFont="1" applyFill="1" applyBorder="1"/>
    <xf numFmtId="164" fontId="12" fillId="7" borderId="1" xfId="0" applyNumberFormat="1" applyFont="1" applyFill="1" applyBorder="1"/>
    <xf numFmtId="164" fontId="12" fillId="13" borderId="1" xfId="0" applyNumberFormat="1" applyFont="1" applyFill="1" applyBorder="1"/>
    <xf numFmtId="164" fontId="12" fillId="12" borderId="1" xfId="0" applyNumberFormat="1" applyFont="1" applyFill="1" applyBorder="1"/>
    <xf numFmtId="164" fontId="57" fillId="0" borderId="1" xfId="1" applyNumberFormat="1" applyFont="1" applyBorder="1" applyAlignment="1">
      <alignment vertical="center"/>
    </xf>
    <xf numFmtId="164" fontId="57" fillId="7" borderId="1" xfId="0" applyNumberFormat="1" applyFont="1" applyFill="1" applyBorder="1"/>
    <xf numFmtId="164" fontId="12" fillId="9" borderId="1" xfId="0" applyNumberFormat="1" applyFont="1" applyFill="1" applyBorder="1"/>
    <xf numFmtId="164" fontId="12" fillId="9" borderId="8" xfId="0" applyNumberFormat="1" applyFont="1" applyFill="1" applyBorder="1"/>
    <xf numFmtId="164" fontId="56" fillId="13" borderId="1" xfId="0" applyNumberFormat="1" applyFont="1" applyFill="1" applyBorder="1"/>
    <xf numFmtId="0" fontId="19" fillId="0" borderId="1" xfId="0" applyFont="1" applyFill="1" applyBorder="1"/>
    <xf numFmtId="0" fontId="8" fillId="13" borderId="1" xfId="0" applyFont="1" applyFill="1" applyBorder="1"/>
    <xf numFmtId="0" fontId="23" fillId="14" borderId="5" xfId="0" applyFont="1" applyFill="1" applyBorder="1" applyAlignment="1">
      <alignment vertical="center"/>
    </xf>
    <xf numFmtId="164" fontId="12" fillId="13" borderId="8" xfId="0" applyNumberFormat="1" applyFont="1" applyFill="1" applyBorder="1"/>
    <xf numFmtId="43" fontId="0" fillId="0" borderId="0" xfId="1" applyNumberFormat="1" applyFont="1"/>
    <xf numFmtId="0" fontId="8" fillId="0" borderId="9" xfId="0" applyFont="1" applyFill="1" applyBorder="1" applyAlignment="1">
      <alignment horizontal="center" vertical="center" textRotation="90"/>
    </xf>
    <xf numFmtId="0" fontId="23" fillId="10" borderId="5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164" fontId="4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4" fontId="40" fillId="0" borderId="1" xfId="1" applyNumberFormat="1" applyFont="1" applyFill="1" applyBorder="1"/>
    <xf numFmtId="0" fontId="58" fillId="0" borderId="0" xfId="0" applyFont="1"/>
    <xf numFmtId="164" fontId="58" fillId="0" borderId="0" xfId="1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3" fillId="13" borderId="5" xfId="0" applyFont="1" applyFill="1" applyBorder="1" applyAlignment="1">
      <alignment vertical="center"/>
    </xf>
    <xf numFmtId="164" fontId="20" fillId="13" borderId="1" xfId="0" applyNumberFormat="1" applyFont="1" applyFill="1" applyBorder="1"/>
    <xf numFmtId="164" fontId="40" fillId="13" borderId="1" xfId="0" applyNumberFormat="1" applyFont="1" applyFill="1" applyBorder="1"/>
    <xf numFmtId="0" fontId="23" fillId="24" borderId="5" xfId="0" applyFont="1" applyFill="1" applyBorder="1" applyAlignment="1">
      <alignment vertical="center"/>
    </xf>
    <xf numFmtId="0" fontId="10" fillId="18" borderId="1" xfId="0" applyFont="1" applyFill="1" applyBorder="1"/>
    <xf numFmtId="0" fontId="8" fillId="18" borderId="1" xfId="0" applyFont="1" applyFill="1" applyBorder="1"/>
    <xf numFmtId="0" fontId="20" fillId="18" borderId="1" xfId="0" applyFont="1" applyFill="1" applyBorder="1"/>
    <xf numFmtId="0" fontId="39" fillId="18" borderId="1" xfId="0" applyFont="1" applyFill="1" applyBorder="1"/>
    <xf numFmtId="0" fontId="8" fillId="25" borderId="1" xfId="0" applyFont="1" applyFill="1" applyBorder="1"/>
    <xf numFmtId="0" fontId="19" fillId="18" borderId="1" xfId="0" applyFont="1" applyFill="1" applyBorder="1"/>
    <xf numFmtId="0" fontId="8" fillId="10" borderId="1" xfId="0" applyFont="1" applyFill="1" applyBorder="1"/>
    <xf numFmtId="0" fontId="8" fillId="26" borderId="1" xfId="0" applyFont="1" applyFill="1" applyBorder="1"/>
    <xf numFmtId="0" fontId="39" fillId="26" borderId="1" xfId="0" applyFont="1" applyFill="1" applyBorder="1"/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21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/>
    </xf>
    <xf numFmtId="14" fontId="6" fillId="0" borderId="26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2" fillId="20" borderId="10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left"/>
    </xf>
    <xf numFmtId="0" fontId="22" fillId="20" borderId="3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horizontal="center" vertical="center"/>
    </xf>
    <xf numFmtId="0" fontId="22" fillId="20" borderId="4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top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64" fontId="53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2"/>
  <sheetViews>
    <sheetView view="pageBreakPreview" zoomScale="90" zoomScaleNormal="90" zoomScaleSheetLayoutView="90" workbookViewId="0">
      <pane ySplit="3" topLeftCell="A62" activePane="bottomLeft" state="frozen"/>
      <selection pane="bottomLeft" activeCell="Q74" sqref="Q74"/>
    </sheetView>
  </sheetViews>
  <sheetFormatPr defaultRowHeight="13.2" x14ac:dyDescent="0.25"/>
  <cols>
    <col min="1" max="1" width="3.109375" customWidth="1"/>
    <col min="2" max="2" width="20.6640625" style="1" customWidth="1"/>
    <col min="3" max="3" width="9" style="1" hidden="1" customWidth="1"/>
    <col min="4" max="4" width="9.88671875" style="1" hidden="1" customWidth="1"/>
    <col min="5" max="5" width="12.33203125" style="2" customWidth="1"/>
    <col min="6" max="6" width="6.88671875" style="2" customWidth="1"/>
    <col min="7" max="7" width="5.6640625" style="5" customWidth="1"/>
    <col min="8" max="8" width="7.77734375" style="2" customWidth="1"/>
    <col min="9" max="9" width="11.88671875" style="2" customWidth="1"/>
    <col min="10" max="10" width="12.109375" style="2" customWidth="1"/>
    <col min="11" max="12" width="12" style="2" customWidth="1"/>
    <col min="13" max="13" width="11.88671875" style="2" customWidth="1"/>
    <col min="14" max="14" width="10" style="3" customWidth="1"/>
    <col min="15" max="15" width="9.6640625" style="2" customWidth="1"/>
    <col min="16" max="16" width="11.5546875" style="3" customWidth="1"/>
    <col min="17" max="17" width="14.6640625" customWidth="1"/>
    <col min="18" max="19" width="14.6640625" hidden="1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2" ht="12.75" customHeight="1" x14ac:dyDescent="0.25">
      <c r="A1" s="348" t="s">
        <v>95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6" t="str">
        <f>'Salary Record'!J1</f>
        <v>October</v>
      </c>
      <c r="O1" s="346"/>
      <c r="P1" s="346">
        <f>'Salary Record'!K1</f>
        <v>2020</v>
      </c>
      <c r="Q1" s="38"/>
      <c r="R1" s="254"/>
      <c r="S1" s="254"/>
      <c r="T1" s="254"/>
    </row>
    <row r="2" spans="1:22" ht="15.6" customHeight="1" x14ac:dyDescent="0.25">
      <c r="A2" s="350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47"/>
      <c r="O2" s="347"/>
      <c r="P2" s="347"/>
      <c r="Q2" s="39"/>
      <c r="R2" s="254"/>
      <c r="S2" s="254"/>
      <c r="T2" s="254"/>
    </row>
    <row r="3" spans="1:22" ht="39.75" customHeight="1" x14ac:dyDescent="0.25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176</v>
      </c>
      <c r="S3" s="37" t="s">
        <v>68</v>
      </c>
      <c r="T3" s="255"/>
    </row>
    <row r="4" spans="1:22" ht="15.6" x14ac:dyDescent="0.3">
      <c r="A4" s="21">
        <v>1</v>
      </c>
      <c r="B4" s="307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299">
        <v>50000</v>
      </c>
      <c r="R4" s="33">
        <v>0</v>
      </c>
      <c r="S4" s="33"/>
      <c r="T4" s="256"/>
    </row>
    <row r="5" spans="1:22" ht="15.6" x14ac:dyDescent="0.3">
      <c r="A5" s="27">
        <v>2</v>
      </c>
      <c r="B5" s="307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295">
        <f>'Salary Record'!K16</f>
        <v>50000</v>
      </c>
      <c r="R5" s="33">
        <v>0</v>
      </c>
      <c r="S5" s="33"/>
      <c r="T5" s="256"/>
    </row>
    <row r="6" spans="1:22" ht="15.6" x14ac:dyDescent="0.3">
      <c r="A6" s="341" t="s">
        <v>112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3"/>
      <c r="R6" s="289"/>
      <c r="S6" s="289"/>
      <c r="T6" s="257"/>
    </row>
    <row r="7" spans="1:22" ht="15" customHeight="1" x14ac:dyDescent="0.3">
      <c r="A7" s="21">
        <v>1</v>
      </c>
      <c r="B7" s="307" t="s">
        <v>21</v>
      </c>
      <c r="C7" s="352" t="s">
        <v>41</v>
      </c>
      <c r="D7" s="355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299">
        <f>'Salary Record'!K80</f>
        <v>10000</v>
      </c>
      <c r="R7" s="33"/>
      <c r="S7" s="33"/>
      <c r="T7" s="256"/>
      <c r="U7" s="10">
        <f>Q5+Q14+Q62+Q64+Q65</f>
        <v>216241.935483871</v>
      </c>
    </row>
    <row r="8" spans="1:22" ht="15.6" x14ac:dyDescent="0.3">
      <c r="A8" s="27">
        <v>2</v>
      </c>
      <c r="B8" s="307" t="str">
        <f>'Salary Record'!C152</f>
        <v>Riaz Driver</v>
      </c>
      <c r="C8" s="353"/>
      <c r="D8" s="356"/>
      <c r="E8" s="15">
        <f>'Salary Record'!K151</f>
        <v>20000</v>
      </c>
      <c r="F8" s="15">
        <f>'Salary Record'!C157</f>
        <v>0</v>
      </c>
      <c r="G8" s="29">
        <f>'Salary Record'!C158</f>
        <v>0</v>
      </c>
      <c r="H8" s="15">
        <f>'Salary Record'!I156</f>
        <v>0</v>
      </c>
      <c r="I8" s="15">
        <f>'Salary Record'!I155</f>
        <v>31</v>
      </c>
      <c r="J8" s="23">
        <f>'Salary Record'!K156</f>
        <v>0</v>
      </c>
      <c r="K8" s="23">
        <f>'Salary Record'!K157</f>
        <v>20000</v>
      </c>
      <c r="L8" s="11">
        <f>'Salary Record'!G155</f>
        <v>0</v>
      </c>
      <c r="M8" s="25">
        <f>'Salary Record'!G156</f>
        <v>0</v>
      </c>
      <c r="N8" s="26">
        <f>'Salary Record'!G157</f>
        <v>0</v>
      </c>
      <c r="O8" s="25">
        <f>'Salary Record'!G158</f>
        <v>0</v>
      </c>
      <c r="P8" s="26">
        <f>'Salary Record'!G159</f>
        <v>0</v>
      </c>
      <c r="Q8" s="299">
        <f>'Salary Record'!K159</f>
        <v>20000</v>
      </c>
      <c r="R8" s="33"/>
      <c r="S8" s="33"/>
      <c r="T8" s="256"/>
      <c r="U8" s="10"/>
    </row>
    <row r="9" spans="1:22" ht="15.6" x14ac:dyDescent="0.3">
      <c r="A9" s="21">
        <v>3</v>
      </c>
      <c r="B9" s="307" t="s">
        <v>33</v>
      </c>
      <c r="C9" s="353"/>
      <c r="D9" s="356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299">
        <f>'Salary Record'!K96</f>
        <v>15000</v>
      </c>
      <c r="R9" s="33"/>
      <c r="S9" s="33"/>
      <c r="T9" s="256"/>
    </row>
    <row r="10" spans="1:22" ht="15.6" x14ac:dyDescent="0.3">
      <c r="A10" s="27">
        <v>4</v>
      </c>
      <c r="B10" s="307" t="s">
        <v>8</v>
      </c>
      <c r="C10" s="354"/>
      <c r="D10" s="357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299">
        <f>'Salary Record'!K112</f>
        <v>15000</v>
      </c>
      <c r="R10" s="33"/>
      <c r="S10" s="33"/>
      <c r="T10" s="256"/>
      <c r="V10" s="310">
        <f>Q4+Q18+Q22+U47+Q54+Q62+Q64+Q71</f>
        <v>434709.67741935479</v>
      </c>
    </row>
    <row r="11" spans="1:22" ht="15.6" x14ac:dyDescent="0.3">
      <c r="A11" s="337" t="s">
        <v>2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9"/>
      <c r="Q11" s="297">
        <f>SUM(Q7:Q10)</f>
        <v>60000</v>
      </c>
      <c r="R11" s="175">
        <f t="shared" ref="R11:S11" si="0">SUM(R7:R10)</f>
        <v>0</v>
      </c>
      <c r="S11" s="175">
        <f t="shared" si="0"/>
        <v>0</v>
      </c>
      <c r="T11" s="265"/>
    </row>
    <row r="12" spans="1:22" ht="15.6" x14ac:dyDescent="0.3">
      <c r="A12" s="341" t="s">
        <v>113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/>
      <c r="P12" s="342"/>
      <c r="Q12" s="343"/>
      <c r="R12" s="289"/>
      <c r="S12" s="289"/>
      <c r="T12" s="257"/>
    </row>
    <row r="13" spans="1:22" ht="15.6" x14ac:dyDescent="0.3">
      <c r="A13" s="27">
        <v>1</v>
      </c>
      <c r="B13" s="329" t="s">
        <v>16</v>
      </c>
      <c r="C13" s="153"/>
      <c r="D13" s="149"/>
      <c r="E13" s="30">
        <f>'Salary Record'!K136</f>
        <v>31000</v>
      </c>
      <c r="F13" s="15">
        <f>'Salary Record'!C142</f>
        <v>31</v>
      </c>
      <c r="G13" s="29">
        <f>'Salary Record'!C143</f>
        <v>0</v>
      </c>
      <c r="H13" s="15">
        <f>'Salary Record'!I141</f>
        <v>0</v>
      </c>
      <c r="I13" s="15">
        <f>'Salary Record'!I140</f>
        <v>31</v>
      </c>
      <c r="J13" s="23">
        <f>'Salary Record'!K141</f>
        <v>0</v>
      </c>
      <c r="K13" s="15">
        <f>'Salary Record'!K142</f>
        <v>31000</v>
      </c>
      <c r="L13" s="11">
        <f>'Salary Record'!G140</f>
        <v>500</v>
      </c>
      <c r="M13" s="11">
        <f>'Salary Record'!G141</f>
        <v>500</v>
      </c>
      <c r="N13" s="11">
        <f>'Salary Record'!G142</f>
        <v>1000</v>
      </c>
      <c r="O13" s="11">
        <f>'Salary Record'!G143</f>
        <v>500</v>
      </c>
      <c r="P13" s="11">
        <f>'Salary Record'!G144</f>
        <v>500</v>
      </c>
      <c r="Q13" s="299">
        <f>'Salary Record'!K144</f>
        <v>30500</v>
      </c>
      <c r="R13" s="33"/>
      <c r="S13" s="33"/>
      <c r="T13" s="256"/>
      <c r="U13" s="10"/>
    </row>
    <row r="14" spans="1:22" ht="15" customHeight="1" x14ac:dyDescent="0.3">
      <c r="A14" s="21">
        <v>2</v>
      </c>
      <c r="B14" s="329" t="s">
        <v>20</v>
      </c>
      <c r="C14" s="152" t="s">
        <v>39</v>
      </c>
      <c r="D14" s="147">
        <f>SUM(Q14:Q46)</f>
        <v>980643.14516129054</v>
      </c>
      <c r="E14" s="15">
        <f>'Salary Record'!K40</f>
        <v>35000</v>
      </c>
      <c r="F14" s="15">
        <f>'Salary Record'!C46</f>
        <v>0</v>
      </c>
      <c r="G14" s="15">
        <f>'Salary Record'!C47</f>
        <v>0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299">
        <f>'Salary Record'!K48</f>
        <v>35000</v>
      </c>
      <c r="R14" s="33"/>
      <c r="S14" s="33"/>
      <c r="T14" s="256"/>
      <c r="U14" s="10"/>
    </row>
    <row r="15" spans="1:22" ht="15.6" x14ac:dyDescent="0.3">
      <c r="A15" s="27">
        <v>3</v>
      </c>
      <c r="B15" s="331" t="str">
        <f>'Salary Record'!C624</f>
        <v>Talha</v>
      </c>
      <c r="C15" s="184"/>
      <c r="D15" s="185"/>
      <c r="E15" s="15">
        <f>'Salary Record'!K623</f>
        <v>24000</v>
      </c>
      <c r="F15" s="15">
        <f>'Salary Record'!C629</f>
        <v>28</v>
      </c>
      <c r="G15" s="29">
        <f>'Salary Record'!C630</f>
        <v>3</v>
      </c>
      <c r="H15" s="15">
        <f>'Salary Record'!I628</f>
        <v>-14</v>
      </c>
      <c r="I15" s="15">
        <f>'Salary Record'!I627</f>
        <v>28</v>
      </c>
      <c r="J15" s="23">
        <f>'Salary Record'!K628</f>
        <v>-1354.8387096774195</v>
      </c>
      <c r="K15" s="23">
        <f>'Salary Record'!K629</f>
        <v>20322.580645161292</v>
      </c>
      <c r="L15" s="11">
        <f>'Salary Record'!G627</f>
        <v>5950</v>
      </c>
      <c r="M15" s="25">
        <f>'Salary Record'!G628</f>
        <v>1850</v>
      </c>
      <c r="N15" s="26">
        <f>'Salary Record'!G629</f>
        <v>7800</v>
      </c>
      <c r="O15" s="25">
        <f>'Salary Record'!G630</f>
        <v>4000</v>
      </c>
      <c r="P15" s="26">
        <f>'Salary Record'!G631</f>
        <v>3800</v>
      </c>
      <c r="Q15" s="295">
        <f>'Salary Record'!K631</f>
        <v>16322.580645161292</v>
      </c>
      <c r="R15" s="216"/>
      <c r="S15" s="33"/>
      <c r="T15" s="256" t="s">
        <v>236</v>
      </c>
      <c r="U15" s="10"/>
    </row>
    <row r="16" spans="1:22" ht="15.6" x14ac:dyDescent="0.3">
      <c r="A16" s="21">
        <v>4</v>
      </c>
      <c r="B16" s="329" t="str">
        <f>'Salary Record'!C57</f>
        <v>Mossi</v>
      </c>
      <c r="C16" s="154"/>
      <c r="D16" s="150"/>
      <c r="E16" s="15">
        <f>'Salary Record'!K56</f>
        <v>6000</v>
      </c>
      <c r="F16" s="15">
        <f>'Salary Record'!C62</f>
        <v>0</v>
      </c>
      <c r="G16" s="29">
        <f>'Salary Record'!C63</f>
        <v>0</v>
      </c>
      <c r="H16" s="15"/>
      <c r="I16" s="15">
        <f>'Salary Record'!I60</f>
        <v>0</v>
      </c>
      <c r="J16" s="15"/>
      <c r="K16" s="15">
        <f>'Salary Record'!K62</f>
        <v>6000</v>
      </c>
      <c r="L16" s="25">
        <f>'Salary Record'!G60</f>
        <v>0</v>
      </c>
      <c r="M16" s="25">
        <f>'Salary Record'!G61</f>
        <v>0</v>
      </c>
      <c r="N16" s="26" t="str">
        <f>'Salary Record'!G62</f>
        <v/>
      </c>
      <c r="O16" s="25">
        <f>'Salary Record'!G63</f>
        <v>0</v>
      </c>
      <c r="P16" s="26" t="str">
        <f>'Salary Record'!G64</f>
        <v/>
      </c>
      <c r="Q16" s="299">
        <f>'Salary Record'!K64</f>
        <v>6000</v>
      </c>
      <c r="R16" s="33"/>
      <c r="S16" s="33"/>
      <c r="T16" s="256"/>
    </row>
    <row r="17" spans="1:23" ht="15.6" x14ac:dyDescent="0.3">
      <c r="A17" s="27">
        <v>5</v>
      </c>
      <c r="B17" s="333" t="str">
        <f>'Salary Record'!C122</f>
        <v>Bakhti</v>
      </c>
      <c r="C17" s="153"/>
      <c r="D17" s="149"/>
      <c r="E17" s="15">
        <f>'Salary Record'!K121</f>
        <v>16000</v>
      </c>
      <c r="F17" s="8">
        <f>'Salary Record'!C127</f>
        <v>0</v>
      </c>
      <c r="G17" s="9">
        <f>'Salary Record'!C128</f>
        <v>0</v>
      </c>
      <c r="H17" s="8">
        <f>'Salary Record'!I126</f>
        <v>0</v>
      </c>
      <c r="I17" s="8">
        <f>'Salary Record'!I125</f>
        <v>31</v>
      </c>
      <c r="J17" s="12">
        <f>'Salary Record'!K126</f>
        <v>0</v>
      </c>
      <c r="K17" s="12">
        <f>'Salary Record'!K127</f>
        <v>16000</v>
      </c>
      <c r="L17" s="13">
        <f>'Salary Record'!G125</f>
        <v>0</v>
      </c>
      <c r="M17" s="13">
        <f>'Salary Record'!G126</f>
        <v>17000</v>
      </c>
      <c r="N17" s="14">
        <f>'Salary Record'!G127</f>
        <v>17000</v>
      </c>
      <c r="O17" s="13">
        <f>'Salary Record'!G128</f>
        <v>16000</v>
      </c>
      <c r="P17" s="14">
        <f>'Salary Record'!G129</f>
        <v>1000</v>
      </c>
      <c r="Q17" s="309">
        <f>'Salary Record'!K129</f>
        <v>0</v>
      </c>
      <c r="R17" s="249"/>
      <c r="S17" s="33"/>
      <c r="T17" s="256"/>
      <c r="U17" s="10"/>
    </row>
    <row r="18" spans="1:23" ht="15.6" x14ac:dyDescent="0.3">
      <c r="A18" s="337" t="s">
        <v>2</v>
      </c>
      <c r="B18" s="338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9"/>
      <c r="Q18" s="298">
        <f>SUM(Q13:Q17)</f>
        <v>87822.580645161288</v>
      </c>
      <c r="R18" s="145">
        <f t="shared" ref="R18" si="1">SUM(R13:R17)</f>
        <v>0</v>
      </c>
      <c r="S18" s="145">
        <f>SUM(S13:S17)</f>
        <v>0</v>
      </c>
      <c r="T18" s="258"/>
    </row>
    <row r="19" spans="1:23" ht="15.6" x14ac:dyDescent="0.3">
      <c r="A19" s="341" t="s">
        <v>126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3"/>
      <c r="R19" s="289"/>
      <c r="S19" s="289"/>
      <c r="T19" s="257"/>
      <c r="U19" s="10"/>
      <c r="V19" s="2">
        <f>Q22+Q30+Q68+Q71+27200</f>
        <v>245369.3548387097</v>
      </c>
    </row>
    <row r="20" spans="1:23" ht="15.6" x14ac:dyDescent="0.3">
      <c r="A20" s="21">
        <v>1</v>
      </c>
      <c r="B20" s="330" t="str">
        <f>'Salary Record'!C591</f>
        <v>Shadab</v>
      </c>
      <c r="C20" s="148"/>
      <c r="D20" s="151"/>
      <c r="E20" s="11">
        <f>'Salary Record'!K590</f>
        <v>18750</v>
      </c>
      <c r="F20" s="11">
        <f>'Salary Record'!C596</f>
        <v>31</v>
      </c>
      <c r="G20" s="31">
        <f>'Salary Record'!C597</f>
        <v>0</v>
      </c>
      <c r="H20" s="161">
        <f>'Salary Record'!I595</f>
        <v>0</v>
      </c>
      <c r="I20" s="11">
        <f>'Salary Record'!I594</f>
        <v>31</v>
      </c>
      <c r="J20" s="23">
        <f>'Salary Record'!K595</f>
        <v>0</v>
      </c>
      <c r="K20" s="15">
        <f>'Salary Record'!K596</f>
        <v>18750</v>
      </c>
      <c r="L20" s="11">
        <f>'Salary Record'!G594</f>
        <v>0</v>
      </c>
      <c r="M20" s="11">
        <f>'Salary Record'!G595</f>
        <v>0</v>
      </c>
      <c r="N20" s="26">
        <f>'Salary Record'!G596</f>
        <v>0</v>
      </c>
      <c r="O20" s="11">
        <f>'Salary Record'!G597</f>
        <v>0</v>
      </c>
      <c r="P20" s="26">
        <f>'Salary Record'!G598</f>
        <v>0</v>
      </c>
      <c r="Q20" s="299">
        <f>'Salary Record'!K598</f>
        <v>18750</v>
      </c>
      <c r="R20" s="216"/>
      <c r="S20" s="33">
        <f>Q20-R20</f>
        <v>18750</v>
      </c>
      <c r="T20" s="256"/>
    </row>
    <row r="21" spans="1:23" ht="15.6" x14ac:dyDescent="0.3">
      <c r="A21" s="21">
        <v>2</v>
      </c>
      <c r="B21" s="328" t="str">
        <f>'Salary Record'!C560</f>
        <v>Junaid</v>
      </c>
      <c r="C21" s="148"/>
      <c r="D21" s="151"/>
      <c r="E21" s="11">
        <f>'Salary Record'!K559</f>
        <v>13000</v>
      </c>
      <c r="F21" s="11">
        <f>'Salary Record'!C565</f>
        <v>31</v>
      </c>
      <c r="G21" s="31">
        <f>'Salary Record'!C566</f>
        <v>0</v>
      </c>
      <c r="H21" s="161">
        <f>'Salary Record'!I564</f>
        <v>0</v>
      </c>
      <c r="I21" s="11">
        <f>'Salary Record'!I563</f>
        <v>31</v>
      </c>
      <c r="J21" s="23">
        <f>'Salary Record'!K564</f>
        <v>0</v>
      </c>
      <c r="K21" s="15">
        <f>'Salary Record'!K565</f>
        <v>13000</v>
      </c>
      <c r="L21" s="11">
        <f>'Salary Record'!G563</f>
        <v>0</v>
      </c>
      <c r="M21" s="11">
        <f>'Salary Record'!G564</f>
        <v>0</v>
      </c>
      <c r="N21" s="26">
        <f>'Salary Record'!G565</f>
        <v>0</v>
      </c>
      <c r="O21" s="11">
        <f>'Salary Record'!G566</f>
        <v>0</v>
      </c>
      <c r="P21" s="26">
        <f>'Salary Record'!G567</f>
        <v>0</v>
      </c>
      <c r="Q21" s="299">
        <f>'Salary Record'!K567</f>
        <v>13000</v>
      </c>
      <c r="R21" s="216"/>
      <c r="S21" s="33">
        <f>Q21-R21</f>
        <v>13000</v>
      </c>
      <c r="T21" s="256"/>
    </row>
    <row r="22" spans="1:23" ht="15.6" x14ac:dyDescent="0.3">
      <c r="A22" s="337" t="s">
        <v>2</v>
      </c>
      <c r="B22" s="338"/>
      <c r="C22" s="338"/>
      <c r="D22" s="338"/>
      <c r="E22" s="338"/>
      <c r="F22" s="338"/>
      <c r="G22" s="338"/>
      <c r="H22" s="338"/>
      <c r="I22" s="338"/>
      <c r="J22" s="338"/>
      <c r="K22" s="338"/>
      <c r="L22" s="338"/>
      <c r="M22" s="338"/>
      <c r="N22" s="338"/>
      <c r="O22" s="338"/>
      <c r="P22" s="339"/>
      <c r="Q22" s="298">
        <f>Q87+Q21+Q20</f>
        <v>31750</v>
      </c>
      <c r="R22" s="145">
        <f ca="1">SUM(R21:R87)</f>
        <v>12000</v>
      </c>
      <c r="S22" s="145">
        <f>S20+S21</f>
        <v>31750</v>
      </c>
      <c r="T22" s="258"/>
      <c r="U22" s="10"/>
      <c r="W22" s="10"/>
    </row>
    <row r="23" spans="1:23" ht="15.6" x14ac:dyDescent="0.3">
      <c r="A23" s="341" t="s">
        <v>124</v>
      </c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2"/>
      <c r="P23" s="342"/>
      <c r="Q23" s="343"/>
      <c r="R23" s="289"/>
      <c r="S23" s="289"/>
      <c r="T23" s="257"/>
    </row>
    <row r="24" spans="1:23" ht="15.6" x14ac:dyDescent="0.3">
      <c r="A24" s="21">
        <v>1</v>
      </c>
      <c r="B24" s="328" t="str">
        <f>'Salary Record'!C1303</f>
        <v>Khalid Mansoor</v>
      </c>
      <c r="C24" s="148"/>
      <c r="D24" s="151"/>
      <c r="E24" s="11">
        <f>'Salary Record'!K1302</f>
        <v>18750</v>
      </c>
      <c r="F24" s="11">
        <f>'Salary Record'!C1308</f>
        <v>31</v>
      </c>
      <c r="G24" s="31">
        <f>'Salary Record'!C1309</f>
        <v>0</v>
      </c>
      <c r="H24" s="11">
        <f>'Salary Record'!I1307</f>
        <v>48</v>
      </c>
      <c r="I24" s="11">
        <f>'Salary Record'!I1306</f>
        <v>31</v>
      </c>
      <c r="J24" s="23">
        <f>'Salary Record'!K1307</f>
        <v>3629.0322580645161</v>
      </c>
      <c r="K24" s="15">
        <f>'Salary Record'!K1308</f>
        <v>22379.032258064515</v>
      </c>
      <c r="L24" s="11">
        <f>'Salary Record'!G1306</f>
        <v>1500</v>
      </c>
      <c r="M24" s="11">
        <f>'Salary Record'!G1307</f>
        <v>0</v>
      </c>
      <c r="N24" s="26">
        <f>'Salary Record'!G1308</f>
        <v>1500</v>
      </c>
      <c r="O24" s="11">
        <f>'Salary Record'!G1309</f>
        <v>1500</v>
      </c>
      <c r="P24" s="26">
        <f>'Salary Record'!G1310</f>
        <v>0</v>
      </c>
      <c r="Q24" s="299">
        <f>'Salary Record'!K1310</f>
        <v>20879.032258064515</v>
      </c>
      <c r="R24" s="216">
        <v>0</v>
      </c>
      <c r="S24" s="33"/>
      <c r="T24" s="256" t="s">
        <v>245</v>
      </c>
      <c r="U24" s="188" t="s">
        <v>253</v>
      </c>
      <c r="V24" s="188" t="s">
        <v>254</v>
      </c>
    </row>
    <row r="25" spans="1:23" ht="15.6" x14ac:dyDescent="0.3">
      <c r="A25" s="27">
        <v>2</v>
      </c>
      <c r="B25" s="329" t="str">
        <f>'Salary Record'!C1414</f>
        <v>Ahsan</v>
      </c>
      <c r="C25" s="146"/>
      <c r="D25" s="124"/>
      <c r="E25" s="32">
        <f>'Salary Record'!K1413</f>
        <v>15000</v>
      </c>
      <c r="F25" s="32">
        <f>'Salary Record'!C1419</f>
        <v>31</v>
      </c>
      <c r="G25" s="23">
        <f>'Salary Record'!C1420</f>
        <v>0</v>
      </c>
      <c r="H25" s="196">
        <f>'Salary Record'!I1418</f>
        <v>30</v>
      </c>
      <c r="I25" s="32">
        <f>'Salary Record'!I1417</f>
        <v>31</v>
      </c>
      <c r="J25" s="23">
        <f>'Salary Record'!K1418</f>
        <v>1814.516129032258</v>
      </c>
      <c r="K25" s="15">
        <f>'Salary Record'!K1419</f>
        <v>16814.516129032258</v>
      </c>
      <c r="L25" s="11">
        <f>'Salary Record'!G1417</f>
        <v>0</v>
      </c>
      <c r="M25" s="25">
        <f>'Salary Record'!G1418</f>
        <v>0</v>
      </c>
      <c r="N25" s="26">
        <f>'Salary Record'!G1419</f>
        <v>0</v>
      </c>
      <c r="O25" s="25">
        <f>'Salary Record'!G1420</f>
        <v>0</v>
      </c>
      <c r="P25" s="26">
        <f>'Salary Record'!G1421</f>
        <v>0</v>
      </c>
      <c r="Q25" s="295">
        <f>'Salary Record'!K1421</f>
        <v>16814.516129032258</v>
      </c>
      <c r="R25" s="216">
        <v>0</v>
      </c>
      <c r="S25" s="33"/>
      <c r="T25" s="256" t="s">
        <v>246</v>
      </c>
    </row>
    <row r="26" spans="1:23" ht="14.4" x14ac:dyDescent="0.3">
      <c r="A26" s="27">
        <v>3</v>
      </c>
      <c r="B26" s="330" t="str">
        <f>'Salary Record'!C1334</f>
        <v>Hamza Khan</v>
      </c>
      <c r="C26" s="148"/>
      <c r="D26" s="151"/>
      <c r="E26" s="11">
        <f>'Salary Record'!K1333</f>
        <v>13500</v>
      </c>
      <c r="F26" s="11">
        <f>'Salary Record'!C1339</f>
        <v>31</v>
      </c>
      <c r="G26" s="31">
        <f>'Salary Record'!C1340</f>
        <v>0</v>
      </c>
      <c r="H26" s="11">
        <f>'Salary Record'!I1338</f>
        <v>0</v>
      </c>
      <c r="I26" s="11">
        <f>'Salary Record'!I1337</f>
        <v>31</v>
      </c>
      <c r="J26" s="23">
        <f>'Salary Record'!K1338</f>
        <v>0</v>
      </c>
      <c r="K26" s="15">
        <f>'Salary Record'!K1339</f>
        <v>13500</v>
      </c>
      <c r="L26" s="11">
        <f>'Salary Record'!G1337</f>
        <v>0</v>
      </c>
      <c r="M26" s="11">
        <f>'Salary Record'!G1338</f>
        <v>0</v>
      </c>
      <c r="N26" s="26" t="str">
        <f>'Salary Record'!G1339</f>
        <v/>
      </c>
      <c r="O26" s="11">
        <f>'Salary Record'!G1340</f>
        <v>0</v>
      </c>
      <c r="P26" s="26" t="str">
        <f>'Salary Record'!G1341</f>
        <v/>
      </c>
      <c r="Q26" s="325">
        <f>'Salary Record'!K1341</f>
        <v>13500</v>
      </c>
      <c r="R26" s="33"/>
      <c r="S26" s="33"/>
      <c r="T26" s="256" t="s">
        <v>247</v>
      </c>
    </row>
    <row r="27" spans="1:23" s="322" customFormat="1" ht="14.4" x14ac:dyDescent="0.3">
      <c r="A27" s="21">
        <v>4</v>
      </c>
      <c r="B27" s="329" t="str">
        <f>'Salary Record'!C1350</f>
        <v>Ahsan Razak</v>
      </c>
      <c r="C27" s="311"/>
      <c r="D27" s="215"/>
      <c r="E27" s="15">
        <f>'Salary Record'!K1349</f>
        <v>16500</v>
      </c>
      <c r="F27" s="15">
        <f>'Salary Record'!C1355</f>
        <v>31</v>
      </c>
      <c r="G27" s="29">
        <f>'Salary Record'!C1356</f>
        <v>0</v>
      </c>
      <c r="H27" s="15">
        <f>'Salary Record'!I1354</f>
        <v>0</v>
      </c>
      <c r="I27" s="15">
        <f>'Salary Record'!I1353</f>
        <v>31</v>
      </c>
      <c r="J27" s="29">
        <f>'Salary Record'!K1354</f>
        <v>0</v>
      </c>
      <c r="K27" s="29">
        <f>'Salary Record'!K1355</f>
        <v>16500</v>
      </c>
      <c r="L27" s="216">
        <f>'Salary Record'!G1353</f>
        <v>0</v>
      </c>
      <c r="M27" s="15">
        <f>'Salary Record'!G1354</f>
        <v>0</v>
      </c>
      <c r="N27" s="116">
        <f>'Salary Record'!G1355</f>
        <v>0</v>
      </c>
      <c r="O27" s="15">
        <f>'Salary Record'!G1356</f>
        <v>0</v>
      </c>
      <c r="P27" s="116">
        <f>'Salary Record'!G1357</f>
        <v>0</v>
      </c>
      <c r="Q27" s="325">
        <f>'Salary Record'!K1357</f>
        <v>16500</v>
      </c>
      <c r="R27" s="33">
        <v>5000</v>
      </c>
      <c r="S27" s="33">
        <f>Q27-R27</f>
        <v>11500</v>
      </c>
      <c r="T27" s="256" t="s">
        <v>249</v>
      </c>
      <c r="U27" s="323"/>
      <c r="V27" s="218"/>
    </row>
    <row r="28" spans="1:23" s="320" customFormat="1" ht="14.4" x14ac:dyDescent="0.3">
      <c r="A28" s="27">
        <v>5</v>
      </c>
      <c r="B28" s="331" t="str">
        <f>'Salary Record'!C1366</f>
        <v>Khizer Mujeeb</v>
      </c>
      <c r="C28" s="313"/>
      <c r="D28" s="314"/>
      <c r="E28" s="315">
        <f>'Salary Record'!K1365</f>
        <v>16500</v>
      </c>
      <c r="F28" s="315">
        <f>'Salary Record'!C1371</f>
        <v>31</v>
      </c>
      <c r="G28" s="316">
        <f>'Salary Record'!C1372</f>
        <v>0</v>
      </c>
      <c r="H28" s="315">
        <f>'Salary Record'!I1370</f>
        <v>4</v>
      </c>
      <c r="I28" s="315">
        <f>'Salary Record'!I1369</f>
        <v>31</v>
      </c>
      <c r="J28" s="317">
        <f>'Salary Record'!K1370</f>
        <v>266.12903225806451</v>
      </c>
      <c r="K28" s="315">
        <f>'Salary Record'!K1371</f>
        <v>16766.129032258064</v>
      </c>
      <c r="L28" s="204">
        <f>'Salary Record'!G1369</f>
        <v>0</v>
      </c>
      <c r="M28" s="318">
        <f>'Salary Record'!G1370</f>
        <v>0</v>
      </c>
      <c r="N28" s="206">
        <f>'Salary Record'!G1371</f>
        <v>0</v>
      </c>
      <c r="O28" s="318">
        <f>'Salary Record'!G1372</f>
        <v>0</v>
      </c>
      <c r="P28" s="206">
        <f>'Salary Record'!G1373</f>
        <v>0</v>
      </c>
      <c r="Q28" s="326">
        <f>'Salary Record'!K1373</f>
        <v>16766.129032258064</v>
      </c>
      <c r="R28" s="319"/>
      <c r="S28" s="248">
        <f>Q28-R28</f>
        <v>16766.129032258064</v>
      </c>
      <c r="T28" s="256" t="s">
        <v>249</v>
      </c>
      <c r="V28" s="321"/>
    </row>
    <row r="29" spans="1:23" ht="14.4" x14ac:dyDescent="0.3">
      <c r="A29" s="21">
        <v>6</v>
      </c>
      <c r="B29" s="330" t="str">
        <f>'Salary Record'!C1318</f>
        <v>Noman Khan</v>
      </c>
      <c r="C29" s="148"/>
      <c r="D29" s="151"/>
      <c r="E29" s="11">
        <f>'Salary Record'!K1317</f>
        <v>13500</v>
      </c>
      <c r="F29" s="11">
        <f>'Salary Record'!C1323</f>
        <v>31</v>
      </c>
      <c r="G29" s="31">
        <f>'Salary Record'!C1324</f>
        <v>0</v>
      </c>
      <c r="H29" s="11">
        <f>'Salary Record'!I1322</f>
        <v>0</v>
      </c>
      <c r="I29" s="11">
        <f>'Salary Record'!I1321</f>
        <v>31</v>
      </c>
      <c r="J29" s="23">
        <f>'Salary Record'!K1322</f>
        <v>0</v>
      </c>
      <c r="K29" s="15">
        <f>'Salary Record'!K1323</f>
        <v>13500</v>
      </c>
      <c r="L29" s="11">
        <f>'Salary Record'!G1321</f>
        <v>0</v>
      </c>
      <c r="M29" s="11">
        <f>'Salary Record'!G1322</f>
        <v>0</v>
      </c>
      <c r="N29" s="26" t="str">
        <f>'Salary Record'!G1323</f>
        <v/>
      </c>
      <c r="O29" s="11">
        <f>'Salary Record'!G1324</f>
        <v>0</v>
      </c>
      <c r="P29" s="26" t="str">
        <f>'Salary Record'!G1325</f>
        <v/>
      </c>
      <c r="Q29" s="325">
        <f>'Salary Record'!K1325</f>
        <v>13500</v>
      </c>
      <c r="R29" s="33"/>
      <c r="S29" s="33"/>
      <c r="T29" s="256" t="s">
        <v>248</v>
      </c>
    </row>
    <row r="30" spans="1:23" ht="15.6" x14ac:dyDescent="0.3">
      <c r="A30" s="337" t="s">
        <v>2</v>
      </c>
      <c r="B30" s="338"/>
      <c r="C30" s="338"/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9"/>
      <c r="Q30" s="298">
        <f>SUM(Q24:Q29)</f>
        <v>97959.677419354834</v>
      </c>
      <c r="R30" s="145">
        <f ca="1">SUM(R24:R82)</f>
        <v>0</v>
      </c>
      <c r="S30" s="145">
        <f>S82+S81+S25+S24</f>
        <v>0</v>
      </c>
      <c r="T30" s="258"/>
      <c r="U30" s="10"/>
      <c r="W30" s="10"/>
    </row>
    <row r="31" spans="1:23" ht="15.6" x14ac:dyDescent="0.3">
      <c r="A31" s="341" t="s">
        <v>40</v>
      </c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3"/>
      <c r="R31" s="289"/>
      <c r="S31" s="289"/>
      <c r="T31" s="257"/>
      <c r="U31" s="10"/>
    </row>
    <row r="32" spans="1:23" ht="15" customHeight="1" x14ac:dyDescent="0.3">
      <c r="A32" s="27">
        <v>1</v>
      </c>
      <c r="B32" s="334" t="s">
        <v>5</v>
      </c>
      <c r="C32" s="140"/>
      <c r="D32" s="138"/>
      <c r="E32" s="29">
        <f>'Salary Record'!K340</f>
        <v>48000</v>
      </c>
      <c r="F32" s="29">
        <f>'Salary Record'!C346</f>
        <v>31</v>
      </c>
      <c r="G32" s="29">
        <f>'Salary Record'!C347</f>
        <v>0</v>
      </c>
      <c r="H32" s="29">
        <f>'Salary Record'!I345</f>
        <v>50</v>
      </c>
      <c r="I32" s="29">
        <f>'Salary Record'!I344</f>
        <v>31</v>
      </c>
      <c r="J32" s="23">
        <f>'Salary Record'!K345</f>
        <v>9677.4193548387102</v>
      </c>
      <c r="K32" s="23">
        <f>'Salary Record'!K346</f>
        <v>57677.419354838712</v>
      </c>
      <c r="L32" s="11">
        <f>'Salary Record'!G344</f>
        <v>243200</v>
      </c>
      <c r="M32" s="25">
        <f>'Salary Record'!G345</f>
        <v>0</v>
      </c>
      <c r="N32" s="26">
        <f>'Salary Record'!G346</f>
        <v>243200</v>
      </c>
      <c r="O32" s="25">
        <f>'Salary Record'!G347</f>
        <v>5000</v>
      </c>
      <c r="P32" s="26">
        <f>'Salary Record'!G348</f>
        <v>238200</v>
      </c>
      <c r="Q32" s="295">
        <f>'Salary Record'!K348</f>
        <v>52677.419354838712</v>
      </c>
      <c r="R32" s="33"/>
      <c r="S32" s="33"/>
      <c r="T32" s="256" t="s">
        <v>219</v>
      </c>
      <c r="U32" s="2"/>
    </row>
    <row r="33" spans="1:26" ht="15.6" x14ac:dyDescent="0.3">
      <c r="A33" s="27">
        <v>2</v>
      </c>
      <c r="B33" s="334" t="str">
        <f>'Salary Record'!C217</f>
        <v>Amir (JPMC)</v>
      </c>
      <c r="C33" s="141"/>
      <c r="D33" s="137"/>
      <c r="E33" s="15">
        <f>'Salary Record'!K216</f>
        <v>30000</v>
      </c>
      <c r="F33" s="15">
        <f>'Salary Record'!C222</f>
        <v>31</v>
      </c>
      <c r="G33" s="29">
        <f>'Salary Record'!C223</f>
        <v>0</v>
      </c>
      <c r="H33" s="15">
        <f>'Salary Record'!I221</f>
        <v>25</v>
      </c>
      <c r="I33" s="15">
        <f>'Salary Record'!I220</f>
        <v>31</v>
      </c>
      <c r="J33" s="23">
        <f>'Salary Record'!K221</f>
        <v>3024.1935483870966</v>
      </c>
      <c r="K33" s="23">
        <f>'Salary Record'!K222</f>
        <v>33024.193548387098</v>
      </c>
      <c r="L33" s="11">
        <f>'Salary Record'!G220</f>
        <v>42600</v>
      </c>
      <c r="M33" s="11">
        <f>'Salary Record'!G221</f>
        <v>5000</v>
      </c>
      <c r="N33" s="26">
        <f>'Salary Record'!G222</f>
        <v>47600</v>
      </c>
      <c r="O33" s="11">
        <f>'Salary Record'!G223</f>
        <v>5000</v>
      </c>
      <c r="P33" s="26">
        <f>'Salary Record'!G224</f>
        <v>42600</v>
      </c>
      <c r="Q33" s="303">
        <f>'Salary Record'!K224</f>
        <v>28024.193548387098</v>
      </c>
      <c r="R33" s="33"/>
      <c r="S33" s="33"/>
      <c r="T33" s="256" t="s">
        <v>225</v>
      </c>
      <c r="U33" s="10" t="s">
        <v>228</v>
      </c>
      <c r="V33" s="2" t="s">
        <v>222</v>
      </c>
    </row>
    <row r="34" spans="1:26" ht="15.6" x14ac:dyDescent="0.3">
      <c r="A34" s="27">
        <v>3</v>
      </c>
      <c r="B34" s="334" t="s">
        <v>27</v>
      </c>
      <c r="C34" s="141"/>
      <c r="D34" s="137"/>
      <c r="E34" s="15">
        <f>'Salary Record'!K232</f>
        <v>28000</v>
      </c>
      <c r="F34" s="15">
        <f>'Salary Record'!C238</f>
        <v>25</v>
      </c>
      <c r="G34" s="29">
        <f>'Salary Record'!C239</f>
        <v>6</v>
      </c>
      <c r="H34" s="15">
        <f>'Salary Record'!I237</f>
        <v>0</v>
      </c>
      <c r="I34" s="15">
        <f>'Salary Record'!I236</f>
        <v>25</v>
      </c>
      <c r="J34" s="23">
        <f>'Salary Record'!K237</f>
        <v>0</v>
      </c>
      <c r="K34" s="15">
        <f>'Salary Record'!K238</f>
        <v>22580.645161290322</v>
      </c>
      <c r="L34" s="11">
        <f>'Salary Record'!G236</f>
        <v>0</v>
      </c>
      <c r="M34" s="25">
        <f>'Salary Record'!G237</f>
        <v>0</v>
      </c>
      <c r="N34" s="26" t="str">
        <f>'Salary Record'!G238</f>
        <v/>
      </c>
      <c r="O34" s="25">
        <f>'Salary Record'!G239</f>
        <v>0</v>
      </c>
      <c r="P34" s="26" t="str">
        <f>'Salary Record'!G240</f>
        <v/>
      </c>
      <c r="Q34" s="303">
        <f>'Salary Record'!K240</f>
        <v>22580.645161290322</v>
      </c>
      <c r="R34" s="33"/>
      <c r="S34" s="33"/>
      <c r="T34" s="256" t="s">
        <v>226</v>
      </c>
      <c r="U34" s="10" t="s">
        <v>227</v>
      </c>
      <c r="V34" s="2" t="s">
        <v>217</v>
      </c>
    </row>
    <row r="35" spans="1:26" ht="15" customHeight="1" x14ac:dyDescent="0.3">
      <c r="A35" s="27">
        <v>4</v>
      </c>
      <c r="B35" s="334" t="s">
        <v>35</v>
      </c>
      <c r="C35" s="155"/>
      <c r="D35" s="120"/>
      <c r="E35" s="36">
        <f>'Salary Record'!K356</f>
        <v>18000</v>
      </c>
      <c r="F35" s="36">
        <f>'Salary Record'!C362</f>
        <v>27</v>
      </c>
      <c r="G35" s="34">
        <f>'Salary Record'!C363</f>
        <v>4</v>
      </c>
      <c r="H35" s="36">
        <f>'Salary Record'!I361</f>
        <v>51.5</v>
      </c>
      <c r="I35" s="36">
        <f>'Salary Record'!I360</f>
        <v>27</v>
      </c>
      <c r="J35" s="23">
        <f>'Salary Record'!K361</f>
        <v>3737.9032258064517</v>
      </c>
      <c r="K35" s="15">
        <f>'Salary Record'!K362</f>
        <v>19415.322580645159</v>
      </c>
      <c r="L35" s="11">
        <f>'Salary Record'!G360</f>
        <v>0</v>
      </c>
      <c r="M35" s="25">
        <f>'Salary Record'!G361</f>
        <v>11500</v>
      </c>
      <c r="N35" s="26">
        <f>'Salary Record'!G362</f>
        <v>11500</v>
      </c>
      <c r="O35" s="25">
        <f>'Salary Record'!G363</f>
        <v>4000</v>
      </c>
      <c r="P35" s="26">
        <f>'Salary Record'!G364</f>
        <v>7500</v>
      </c>
      <c r="Q35" s="295">
        <f>'Salary Record'!K364</f>
        <v>15415.322580645159</v>
      </c>
      <c r="R35" s="33"/>
      <c r="S35" s="33"/>
      <c r="T35" s="256" t="s">
        <v>259</v>
      </c>
      <c r="U35" s="10" t="s">
        <v>260</v>
      </c>
      <c r="V35" s="2" t="s">
        <v>217</v>
      </c>
    </row>
    <row r="36" spans="1:26" ht="15.6" x14ac:dyDescent="0.3">
      <c r="A36" s="27">
        <v>5</v>
      </c>
      <c r="B36" s="332" t="str">
        <f>'Salary Record'!C264</f>
        <v>Salahuddin</v>
      </c>
      <c r="C36" s="166"/>
      <c r="D36" s="164"/>
      <c r="E36" s="15">
        <f>'Salary Record'!K263</f>
        <v>18000</v>
      </c>
      <c r="F36" s="15">
        <f>'Salary Record'!C269</f>
        <v>0</v>
      </c>
      <c r="G36" s="29">
        <f>'Salary Record'!C270</f>
        <v>0</v>
      </c>
      <c r="H36" s="15">
        <f>'Salary Record'!I268</f>
        <v>0</v>
      </c>
      <c r="I36" s="15">
        <f>'Salary Record'!I267</f>
        <v>0</v>
      </c>
      <c r="J36" s="23">
        <f>'Salary Record'!K268</f>
        <v>0</v>
      </c>
      <c r="K36" s="23">
        <f>'Salary Record'!K269</f>
        <v>0</v>
      </c>
      <c r="L36" s="11">
        <f>'Salary Record'!G267</f>
        <v>0</v>
      </c>
      <c r="M36" s="25">
        <f>'Salary Record'!G268</f>
        <v>0</v>
      </c>
      <c r="N36" s="26">
        <f>'Salary Record'!G269</f>
        <v>0</v>
      </c>
      <c r="O36" s="25">
        <f>'Salary Record'!G270</f>
        <v>0</v>
      </c>
      <c r="P36" s="26">
        <f>'Salary Record'!G271</f>
        <v>0</v>
      </c>
      <c r="Q36" s="303">
        <f>'Salary Record'!K271</f>
        <v>0</v>
      </c>
      <c r="R36" s="33"/>
      <c r="S36" s="33"/>
      <c r="T36" s="256"/>
    </row>
    <row r="37" spans="1:26" ht="17.399999999999999" x14ac:dyDescent="0.3">
      <c r="A37" s="27">
        <v>6</v>
      </c>
      <c r="B37" s="332" t="s">
        <v>34</v>
      </c>
      <c r="C37" s="148"/>
      <c r="D37" s="151"/>
      <c r="E37" s="32">
        <f>'Salary Record'!K1058</f>
        <v>21000</v>
      </c>
      <c r="F37" s="32">
        <f>'Salary Record'!C1064</f>
        <v>0</v>
      </c>
      <c r="G37" s="23">
        <f>'Salary Record'!C1065</f>
        <v>0</v>
      </c>
      <c r="H37" s="32">
        <f>'Salary Record'!I1063</f>
        <v>0</v>
      </c>
      <c r="I37" s="32">
        <f>'Salary Record'!I1062</f>
        <v>0</v>
      </c>
      <c r="J37" s="23">
        <f>'Salary Record'!K1063</f>
        <v>0</v>
      </c>
      <c r="K37" s="23">
        <f>'Salary Record'!K1064</f>
        <v>0</v>
      </c>
      <c r="L37" s="11">
        <f>'Salary Record'!G1062</f>
        <v>60700</v>
      </c>
      <c r="M37" s="25">
        <f>'Salary Record'!G1063</f>
        <v>0</v>
      </c>
      <c r="N37" s="26">
        <f>'Salary Record'!G1064</f>
        <v>60700</v>
      </c>
      <c r="O37" s="25">
        <f>'Salary Record'!G1065</f>
        <v>0</v>
      </c>
      <c r="P37" s="26">
        <f>'Salary Record'!G1066</f>
        <v>60700</v>
      </c>
      <c r="Q37" s="295">
        <f>'Salary Record'!K1066</f>
        <v>0</v>
      </c>
      <c r="R37" s="216"/>
      <c r="S37" s="33"/>
      <c r="T37" s="256"/>
      <c r="U37" s="266"/>
    </row>
    <row r="38" spans="1:26" ht="15.75" customHeight="1" x14ac:dyDescent="0.3">
      <c r="A38" s="27">
        <v>7</v>
      </c>
      <c r="B38" s="334" t="s">
        <v>4</v>
      </c>
      <c r="C38" s="148"/>
      <c r="D38" s="151"/>
      <c r="E38" s="29">
        <f>'Salary Record'!K325</f>
        <v>27000</v>
      </c>
      <c r="F38" s="29">
        <f>'Salary Record'!C331</f>
        <v>31</v>
      </c>
      <c r="G38" s="29">
        <f>'Salary Record'!C332</f>
        <v>0</v>
      </c>
      <c r="H38" s="29">
        <f>'Salary Record'!I330</f>
        <v>84</v>
      </c>
      <c r="I38" s="29">
        <f>'Salary Record'!I329</f>
        <v>31</v>
      </c>
      <c r="J38" s="23">
        <f>'Salary Record'!K330</f>
        <v>9145.1612903225814</v>
      </c>
      <c r="K38" s="15">
        <f>'Salary Record'!K331</f>
        <v>36145.161290322583</v>
      </c>
      <c r="L38" s="11">
        <f>'Salary Record'!G329</f>
        <v>0</v>
      </c>
      <c r="M38" s="25">
        <f>'Salary Record'!G330</f>
        <v>0</v>
      </c>
      <c r="N38" s="26">
        <f>'Salary Record'!G331</f>
        <v>0</v>
      </c>
      <c r="O38" s="25">
        <f>'Salary Record'!G332</f>
        <v>0</v>
      </c>
      <c r="P38" s="26">
        <f>'Salary Record'!G333</f>
        <v>0</v>
      </c>
      <c r="Q38" s="303">
        <f>'Salary Record'!K333</f>
        <v>36145.161290322583</v>
      </c>
      <c r="R38" s="33"/>
      <c r="S38" s="33"/>
      <c r="T38" s="256" t="s">
        <v>220</v>
      </c>
      <c r="U38" t="s">
        <v>221</v>
      </c>
      <c r="V38" s="2" t="s">
        <v>222</v>
      </c>
    </row>
    <row r="39" spans="1:26" ht="15.6" x14ac:dyDescent="0.3">
      <c r="A39" s="27">
        <v>8</v>
      </c>
      <c r="B39" s="334" t="s">
        <v>9</v>
      </c>
      <c r="C39" s="141"/>
      <c r="D39" s="137"/>
      <c r="E39" s="29">
        <f>'Salary Record'!K278</f>
        <v>24500</v>
      </c>
      <c r="F39" s="29">
        <f>'Salary Record'!C284</f>
        <v>30</v>
      </c>
      <c r="G39" s="29">
        <f>'Salary Record'!C285</f>
        <v>1</v>
      </c>
      <c r="H39" s="29">
        <f>'Salary Record'!I283</f>
        <v>43.5</v>
      </c>
      <c r="I39" s="29">
        <f>'Salary Record'!I282</f>
        <v>31</v>
      </c>
      <c r="J39" s="23">
        <f>'Salary Record'!K283</f>
        <v>4297.3790322580644</v>
      </c>
      <c r="K39" s="23">
        <f>'Salary Record'!K284</f>
        <v>28797.379032258064</v>
      </c>
      <c r="L39" s="11">
        <f>'Salary Record'!G282</f>
        <v>42090</v>
      </c>
      <c r="M39" s="25">
        <f>'Salary Record'!G283</f>
        <v>1600</v>
      </c>
      <c r="N39" s="26">
        <f>'Salary Record'!G284</f>
        <v>43690</v>
      </c>
      <c r="O39" s="25">
        <f>'Salary Record'!G285</f>
        <v>6600</v>
      </c>
      <c r="P39" s="26">
        <f>'Salary Record'!G286</f>
        <v>37090</v>
      </c>
      <c r="Q39" s="303">
        <f>'Salary Record'!K286</f>
        <v>22197.379032258064</v>
      </c>
      <c r="R39" s="33"/>
      <c r="S39" s="33"/>
      <c r="T39" s="256" t="s">
        <v>229</v>
      </c>
      <c r="U39" s="10" t="s">
        <v>230</v>
      </c>
      <c r="V39" s="2" t="s">
        <v>222</v>
      </c>
    </row>
    <row r="40" spans="1:26" ht="15.6" x14ac:dyDescent="0.3">
      <c r="A40" s="27">
        <v>9</v>
      </c>
      <c r="B40" s="334" t="str">
        <f>'Salary Record'!C434</f>
        <v>Amir (Plumber)</v>
      </c>
      <c r="C40" s="142"/>
      <c r="D40" s="135"/>
      <c r="E40" s="29">
        <f>'Salary Record'!K433</f>
        <v>23000</v>
      </c>
      <c r="F40" s="29">
        <f>'Salary Record'!C439</f>
        <v>30</v>
      </c>
      <c r="G40" s="29">
        <f>'Salary Record'!C440</f>
        <v>1</v>
      </c>
      <c r="H40" s="29">
        <f>'Salary Record'!I438</f>
        <v>54</v>
      </c>
      <c r="I40" s="29">
        <f>'Salary Record'!I437</f>
        <v>31</v>
      </c>
      <c r="J40" s="23">
        <f>'Salary Record'!K438</f>
        <v>5008.0645161290322</v>
      </c>
      <c r="K40" s="23">
        <f>'Salary Record'!K439</f>
        <v>28008.06451612903</v>
      </c>
      <c r="L40" s="11">
        <f>'Salary Record'!G437</f>
        <v>5000</v>
      </c>
      <c r="M40" s="25">
        <f>'Salary Record'!G438</f>
        <v>0</v>
      </c>
      <c r="N40" s="26">
        <f>'Salary Record'!G439</f>
        <v>5000</v>
      </c>
      <c r="O40" s="25">
        <f>'Salary Record'!G440</f>
        <v>2000</v>
      </c>
      <c r="P40" s="26">
        <f>'Salary Record'!G441</f>
        <v>3000</v>
      </c>
      <c r="Q40" s="303">
        <f>'Salary Record'!K441</f>
        <v>26008.06451612903</v>
      </c>
      <c r="R40" s="33"/>
      <c r="S40" s="33"/>
      <c r="T40" s="256" t="s">
        <v>203</v>
      </c>
      <c r="U40" s="279" t="s">
        <v>204</v>
      </c>
      <c r="V40" s="188" t="s">
        <v>205</v>
      </c>
    </row>
    <row r="41" spans="1:26" s="217" customFormat="1" ht="15.6" x14ac:dyDescent="0.3">
      <c r="A41" s="27">
        <v>10</v>
      </c>
      <c r="B41" s="334" t="str">
        <f>'Salary Record'!C450</f>
        <v>Mehmood</v>
      </c>
      <c r="C41" s="153"/>
      <c r="D41" s="219"/>
      <c r="E41" s="15">
        <f>'Salary Record'!K449</f>
        <v>16000</v>
      </c>
      <c r="F41" s="15">
        <f>'Salary Record'!C455</f>
        <v>26</v>
      </c>
      <c r="G41" s="29">
        <f>'Salary Record'!C456</f>
        <v>5</v>
      </c>
      <c r="H41" s="15">
        <f>'Salary Record'!I454</f>
        <v>37.5</v>
      </c>
      <c r="I41" s="15">
        <f>'Salary Record'!I453</f>
        <v>26</v>
      </c>
      <c r="J41" s="220">
        <f>'Salary Record'!K454</f>
        <v>2419.3548387096776</v>
      </c>
      <c r="K41" s="220">
        <f>'Salary Record'!K455</f>
        <v>15838.709677419356</v>
      </c>
      <c r="L41" s="221">
        <f>'Salary Record'!G453</f>
        <v>0</v>
      </c>
      <c r="M41" s="222">
        <f>'Salary Record'!G454</f>
        <v>5200</v>
      </c>
      <c r="N41" s="223">
        <f>'Salary Record'!G455</f>
        <v>5200</v>
      </c>
      <c r="O41" s="222">
        <f>'Salary Record'!G456</f>
        <v>5200</v>
      </c>
      <c r="P41" s="223">
        <f>'Salary Record'!G457</f>
        <v>0</v>
      </c>
      <c r="Q41" s="304">
        <f>'Salary Record'!K457</f>
        <v>10638.709677419356</v>
      </c>
      <c r="R41" s="33">
        <v>22000</v>
      </c>
      <c r="S41" s="33">
        <f>Q41-R41</f>
        <v>-11361.290322580644</v>
      </c>
      <c r="T41" s="256" t="s">
        <v>258</v>
      </c>
      <c r="U41" s="10"/>
      <c r="V41" s="218"/>
      <c r="Y41" s="217">
        <f>X41*W41</f>
        <v>0</v>
      </c>
    </row>
    <row r="42" spans="1:26" ht="14.4" x14ac:dyDescent="0.3">
      <c r="A42" s="27">
        <v>11</v>
      </c>
      <c r="B42" s="334" t="str">
        <f>'Salary Record'!C372</f>
        <v>Azeem D/W</v>
      </c>
      <c r="C42" s="148"/>
      <c r="D42" s="151"/>
      <c r="E42" s="11">
        <f>'Salary Record'!K371</f>
        <v>1400</v>
      </c>
      <c r="F42" s="11">
        <f>'Salary Record'!C377</f>
        <v>0</v>
      </c>
      <c r="G42" s="31">
        <f>'Salary Record'!C378</f>
        <v>0</v>
      </c>
      <c r="H42" s="11">
        <f>'Salary Record'!I376</f>
        <v>43</v>
      </c>
      <c r="I42" s="11">
        <f>'Salary Record'!I375</f>
        <v>19</v>
      </c>
      <c r="J42" s="104">
        <f>'Salary Record'!K376</f>
        <v>7525</v>
      </c>
      <c r="K42" s="104">
        <f>'Salary Record'!K377</f>
        <v>34125</v>
      </c>
      <c r="L42" s="105">
        <f>'Salary Record'!G375</f>
        <v>0</v>
      </c>
      <c r="M42" s="105">
        <f>'Salary Record'!G376</f>
        <v>5000</v>
      </c>
      <c r="N42" s="106">
        <f>'Salary Record'!G377</f>
        <v>5000</v>
      </c>
      <c r="O42" s="105">
        <f>'Salary Record'!G378</f>
        <v>5000</v>
      </c>
      <c r="P42" s="106">
        <f>'Salary Record'!G379</f>
        <v>0</v>
      </c>
      <c r="Q42" s="195">
        <f>'Salary Record'!K379</f>
        <v>29125</v>
      </c>
      <c r="R42" s="33"/>
      <c r="S42" s="33">
        <f>Q42-R42</f>
        <v>29125</v>
      </c>
      <c r="T42" s="256"/>
      <c r="U42" s="10"/>
      <c r="X42" s="2"/>
      <c r="Y42" s="2"/>
      <c r="Z42" s="2"/>
    </row>
    <row r="43" spans="1:26" ht="15.6" x14ac:dyDescent="0.3">
      <c r="A43" s="27">
        <v>12</v>
      </c>
      <c r="B43" s="334" t="str">
        <f>'Salary Record'!C466</f>
        <v>Zahid Elec</v>
      </c>
      <c r="C43" s="141"/>
      <c r="D43" s="137"/>
      <c r="E43" s="15">
        <f>'Salary Record'!K465</f>
        <v>22000</v>
      </c>
      <c r="F43" s="15">
        <f>'Salary Record'!C471</f>
        <v>31</v>
      </c>
      <c r="G43" s="29">
        <f>'Salary Record'!C472</f>
        <v>0</v>
      </c>
      <c r="H43" s="102">
        <f>'Salary Record'!I470</f>
        <v>10.5</v>
      </c>
      <c r="I43" s="15">
        <f>'Salary Record'!I469</f>
        <v>31</v>
      </c>
      <c r="J43" s="23">
        <f>'Salary Record'!K470</f>
        <v>931.45161290322574</v>
      </c>
      <c r="K43" s="23">
        <f>'Salary Record'!K471</f>
        <v>22931.451612903227</v>
      </c>
      <c r="L43" s="11">
        <f>'Salary Record'!G469</f>
        <v>0</v>
      </c>
      <c r="M43" s="25">
        <f>'Salary Record'!G470</f>
        <v>3000</v>
      </c>
      <c r="N43" s="26">
        <f>'Salary Record'!G471</f>
        <v>3000</v>
      </c>
      <c r="O43" s="25">
        <f>'Salary Record'!G472</f>
        <v>3000</v>
      </c>
      <c r="P43" s="26">
        <f>'Salary Record'!G473</f>
        <v>0</v>
      </c>
      <c r="Q43" s="303">
        <f>'Salary Record'!K473</f>
        <v>19931.451612903227</v>
      </c>
      <c r="R43" s="33"/>
      <c r="S43" s="33">
        <f>Q43-R43</f>
        <v>19931.451612903227</v>
      </c>
      <c r="T43" s="256" t="s">
        <v>223</v>
      </c>
      <c r="U43" t="s">
        <v>224</v>
      </c>
      <c r="V43" s="2" t="s">
        <v>222</v>
      </c>
    </row>
    <row r="44" spans="1:26" ht="15.6" x14ac:dyDescent="0.3">
      <c r="A44" s="27">
        <v>13</v>
      </c>
      <c r="B44" s="334" t="str">
        <f>'Salary Record'!C387</f>
        <v>Raheel</v>
      </c>
      <c r="C44" s="141"/>
      <c r="D44" s="137"/>
      <c r="E44" s="29">
        <f>'Salary Record'!K386</f>
        <v>17500</v>
      </c>
      <c r="F44" s="29">
        <f>'Salary Record'!C392</f>
        <v>26</v>
      </c>
      <c r="G44" s="29">
        <f>'Salary Record'!C393</f>
        <v>5</v>
      </c>
      <c r="H44" s="29">
        <f>'Salary Record'!I391</f>
        <v>26</v>
      </c>
      <c r="I44" s="29">
        <f>'Salary Record'!I390</f>
        <v>26</v>
      </c>
      <c r="J44" s="104">
        <f>'Salary Record'!K391</f>
        <v>1834.6774193548385</v>
      </c>
      <c r="K44" s="104">
        <f>'Salary Record'!K392</f>
        <v>16512.096774193546</v>
      </c>
      <c r="L44" s="105">
        <f>'Salary Record'!G390</f>
        <v>0</v>
      </c>
      <c r="M44" s="126">
        <f>'Salary Record'!G391</f>
        <v>2200</v>
      </c>
      <c r="N44" s="127">
        <f>'Salary Record'!G392</f>
        <v>2200</v>
      </c>
      <c r="O44" s="126">
        <f>'Salary Record'!G393</f>
        <v>2200</v>
      </c>
      <c r="P44" s="127">
        <f>'Salary Record'!G394</f>
        <v>0</v>
      </c>
      <c r="Q44" s="304">
        <f>'Salary Record'!K394</f>
        <v>14312.096774193546</v>
      </c>
      <c r="R44" s="33"/>
      <c r="S44" s="33"/>
      <c r="T44" s="256" t="s">
        <v>231</v>
      </c>
      <c r="U44" s="10" t="s">
        <v>232</v>
      </c>
      <c r="V44" s="2" t="s">
        <v>222</v>
      </c>
    </row>
    <row r="45" spans="1:26" ht="15.6" x14ac:dyDescent="0.3">
      <c r="A45" s="27">
        <v>14</v>
      </c>
      <c r="B45" s="334" t="str">
        <f>'Salary Record'!C482</f>
        <v>Gul Sher</v>
      </c>
      <c r="C45" s="141"/>
      <c r="D45" s="137"/>
      <c r="E45" s="11">
        <f>'Salary Record'!K481</f>
        <v>19000</v>
      </c>
      <c r="F45" s="11">
        <f>'Salary Record'!C487</f>
        <v>31</v>
      </c>
      <c r="G45" s="31">
        <f>'Salary Record'!C488</f>
        <v>0</v>
      </c>
      <c r="H45" s="11">
        <f>'Salary Record'!I486</f>
        <v>52</v>
      </c>
      <c r="I45" s="11">
        <f>'Salary Record'!I485</f>
        <v>31</v>
      </c>
      <c r="J45" s="104">
        <f>'Salary Record'!K486</f>
        <v>3983.8709677419351</v>
      </c>
      <c r="K45" s="104">
        <f>'Salary Record'!K487</f>
        <v>22983.870967741936</v>
      </c>
      <c r="L45" s="105">
        <f>'Salary Record'!G485</f>
        <v>0</v>
      </c>
      <c r="M45" s="105">
        <f>'Salary Record'!G486</f>
        <v>24000</v>
      </c>
      <c r="N45" s="106">
        <f>'Salary Record'!G487</f>
        <v>24000</v>
      </c>
      <c r="O45" s="105">
        <f>'Salary Record'!G488</f>
        <v>12000</v>
      </c>
      <c r="P45" s="106">
        <f>'Salary Record'!G489</f>
        <v>12000</v>
      </c>
      <c r="Q45" s="304">
        <f>'Salary Record'!K489</f>
        <v>10983.870967741936</v>
      </c>
      <c r="R45" s="33"/>
      <c r="S45" s="33"/>
      <c r="T45" s="256" t="s">
        <v>233</v>
      </c>
      <c r="U45" s="10" t="s">
        <v>234</v>
      </c>
      <c r="V45" s="2" t="s">
        <v>205</v>
      </c>
      <c r="X45" s="2"/>
      <c r="Y45" s="2"/>
      <c r="Z45" s="2"/>
    </row>
    <row r="46" spans="1:26" ht="15.6" x14ac:dyDescent="0.3">
      <c r="A46" s="337" t="s">
        <v>2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9"/>
      <c r="Q46" s="298">
        <f>SUM(Q32:Q45)</f>
        <v>288039.31451612909</v>
      </c>
      <c r="R46" s="145">
        <f>SUM(R32:R45)</f>
        <v>22000</v>
      </c>
      <c r="S46" s="145">
        <f>SUM(S32:S45)</f>
        <v>37695.161290322583</v>
      </c>
      <c r="T46" s="258"/>
      <c r="U46" s="10"/>
    </row>
    <row r="47" spans="1:26" ht="15.6" x14ac:dyDescent="0.3">
      <c r="A47" s="341" t="s">
        <v>36</v>
      </c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3"/>
      <c r="R47" s="289"/>
      <c r="S47" s="289"/>
      <c r="T47" s="257"/>
      <c r="U47" s="10"/>
      <c r="W47" s="10"/>
    </row>
    <row r="48" spans="1:26" ht="15" customHeight="1" x14ac:dyDescent="0.3">
      <c r="A48" s="21">
        <v>1</v>
      </c>
      <c r="B48" s="329" t="s">
        <v>12</v>
      </c>
      <c r="C48" s="156" t="s">
        <v>44</v>
      </c>
      <c r="D48" s="158">
        <f>SUM(Q48:Q77)</f>
        <v>705346.77419354848</v>
      </c>
      <c r="E48" s="25">
        <f>'Salary Record'!K836</f>
        <v>25000</v>
      </c>
      <c r="F48" s="25">
        <f>'Salary Record'!C842</f>
        <v>31</v>
      </c>
      <c r="G48" s="34">
        <f>'Salary Record'!C843</f>
        <v>0</v>
      </c>
      <c r="H48" s="25">
        <f>'Salary Record'!I841</f>
        <v>20</v>
      </c>
      <c r="I48" s="25">
        <f>'Salary Record'!I840</f>
        <v>31</v>
      </c>
      <c r="J48" s="23">
        <f>'Salary Record'!K841</f>
        <v>2016.1290322580646</v>
      </c>
      <c r="K48" s="23">
        <f>'Salary Record'!K842</f>
        <v>27016.129032258064</v>
      </c>
      <c r="L48" s="11">
        <f>'Salary Record'!G840</f>
        <v>20000</v>
      </c>
      <c r="M48" s="25">
        <f>'Salary Record'!G841</f>
        <v>0</v>
      </c>
      <c r="N48" s="25">
        <f>'Salary Record'!G842</f>
        <v>20000</v>
      </c>
      <c r="O48" s="25">
        <f>'Salary Record'!G843</f>
        <v>5000</v>
      </c>
      <c r="P48" s="26">
        <f>'Salary Record'!G844</f>
        <v>15000</v>
      </c>
      <c r="Q48" s="299">
        <f>'Salary Record'!K844</f>
        <v>22016.129032258064</v>
      </c>
      <c r="R48" s="33"/>
      <c r="S48" s="33"/>
      <c r="T48" s="256" t="s">
        <v>214</v>
      </c>
      <c r="U48" s="10"/>
    </row>
    <row r="49" spans="1:22" ht="15.6" x14ac:dyDescent="0.3">
      <c r="A49" s="21">
        <v>2</v>
      </c>
      <c r="B49" s="334" t="s">
        <v>18</v>
      </c>
      <c r="C49" s="129" t="s">
        <v>108</v>
      </c>
      <c r="D49" s="124">
        <f>Q49</f>
        <v>15895.16129032258</v>
      </c>
      <c r="E49" s="15">
        <f>'Salary Record'!K901</f>
        <v>19000</v>
      </c>
      <c r="F49" s="15">
        <f>'Salary Record'!C907</f>
        <v>31</v>
      </c>
      <c r="G49" s="29">
        <f>'Salary Record'!C908</f>
        <v>0</v>
      </c>
      <c r="H49" s="15">
        <f>'Salary Record'!I906</f>
        <v>90</v>
      </c>
      <c r="I49" s="15">
        <f>'Salary Record'!I905</f>
        <v>31</v>
      </c>
      <c r="J49" s="23">
        <f>'Salary Record'!K906</f>
        <v>6895.1612903225805</v>
      </c>
      <c r="K49" s="15">
        <f>'Salary Record'!K907</f>
        <v>25895.16129032258</v>
      </c>
      <c r="L49" s="11">
        <f>'Salary Record'!G905</f>
        <v>30000</v>
      </c>
      <c r="M49" s="25">
        <f>'Salary Record'!G906</f>
        <v>0</v>
      </c>
      <c r="N49" s="26">
        <f>'Salary Record'!G907</f>
        <v>30000</v>
      </c>
      <c r="O49" s="25">
        <f>'Salary Record'!G908</f>
        <v>10000</v>
      </c>
      <c r="P49" s="26">
        <f>'Salary Record'!G909</f>
        <v>20000</v>
      </c>
      <c r="Q49" s="299">
        <f>'Salary Record'!K909</f>
        <v>15895.16129032258</v>
      </c>
      <c r="R49" s="33"/>
      <c r="S49" s="33"/>
      <c r="T49" s="256" t="s">
        <v>211</v>
      </c>
      <c r="U49" s="10"/>
    </row>
    <row r="50" spans="1:22" ht="15" customHeight="1" x14ac:dyDescent="0.3">
      <c r="A50" s="21">
        <v>3</v>
      </c>
      <c r="B50" s="334" t="str">
        <f>'Salary Record'!C933</f>
        <v>Sufyan C/o Jahangeer</v>
      </c>
      <c r="C50" s="139" t="s">
        <v>40</v>
      </c>
      <c r="D50" s="136">
        <f>SUM(Q33:Q63)</f>
        <v>922143.14516129042</v>
      </c>
      <c r="E50" s="23">
        <f>'Salary Record'!K932</f>
        <v>15000</v>
      </c>
      <c r="F50" s="23">
        <f>'Salary Record'!C938</f>
        <v>29</v>
      </c>
      <c r="G50" s="23">
        <f>'Salary Record'!C939</f>
        <v>1</v>
      </c>
      <c r="H50" s="23">
        <f>'Salary Record'!I937</f>
        <v>32</v>
      </c>
      <c r="I50" s="23">
        <f>'Salary Record'!I936</f>
        <v>31</v>
      </c>
      <c r="J50" s="23">
        <f>'Salary Record'!K937</f>
        <v>1935.483870967742</v>
      </c>
      <c r="K50" s="15">
        <f>'Salary Record'!K938</f>
        <v>16935.483870967742</v>
      </c>
      <c r="L50" s="11">
        <f>'Salary Record'!G936</f>
        <v>0</v>
      </c>
      <c r="M50" s="25">
        <f>'Salary Record'!G937</f>
        <v>0</v>
      </c>
      <c r="N50" s="26" t="str">
        <f>'Salary Record'!G938</f>
        <v/>
      </c>
      <c r="O50" s="25">
        <f>'Salary Record'!G939</f>
        <v>0</v>
      </c>
      <c r="P50" s="26" t="str">
        <f>'Salary Record'!G940</f>
        <v/>
      </c>
      <c r="Q50" s="299">
        <f>'Salary Record'!K940</f>
        <v>16935.483870967742</v>
      </c>
      <c r="R50" s="33"/>
      <c r="S50" s="33"/>
      <c r="T50" s="256" t="s">
        <v>213</v>
      </c>
      <c r="U50" s="10"/>
    </row>
    <row r="51" spans="1:22" ht="15" customHeight="1" x14ac:dyDescent="0.3">
      <c r="A51" s="21">
        <v>4</v>
      </c>
      <c r="B51" s="334" t="str">
        <f>'Salary Record'!C917</f>
        <v>Sami</v>
      </c>
      <c r="C51" s="155" t="s">
        <v>107</v>
      </c>
      <c r="D51" s="120">
        <f>SUM(Q22:Q74)</f>
        <v>1443465.7258064516</v>
      </c>
      <c r="E51" s="35">
        <f>'Salary Record'!K916</f>
        <v>20000</v>
      </c>
      <c r="F51" s="35">
        <f>'Salary Record'!C922</f>
        <v>28</v>
      </c>
      <c r="G51" s="29">
        <f>'Salary Record'!C923</f>
        <v>3</v>
      </c>
      <c r="H51" s="35">
        <f>'Salary Record'!I921</f>
        <v>60</v>
      </c>
      <c r="I51" s="35">
        <f>'Salary Record'!I920</f>
        <v>31</v>
      </c>
      <c r="J51" s="23">
        <f>'Salary Record'!K921</f>
        <v>4838.7096774193542</v>
      </c>
      <c r="K51" s="23">
        <f>'Salary Record'!K922</f>
        <v>24838.709677419356</v>
      </c>
      <c r="L51" s="11">
        <f>'Salary Record'!G920</f>
        <v>0</v>
      </c>
      <c r="M51" s="25">
        <f>'Salary Record'!G921</f>
        <v>0</v>
      </c>
      <c r="N51" s="26">
        <f>'Salary Record'!G922</f>
        <v>0</v>
      </c>
      <c r="O51" s="25">
        <f>'Salary Record'!G923</f>
        <v>0</v>
      </c>
      <c r="P51" s="26">
        <f>'Salary Record'!G924</f>
        <v>0</v>
      </c>
      <c r="Q51" s="299">
        <f>'Salary Record'!K924</f>
        <v>24838.709677419356</v>
      </c>
      <c r="R51" s="33"/>
      <c r="S51" s="33"/>
      <c r="T51" s="256" t="s">
        <v>210</v>
      </c>
    </row>
    <row r="52" spans="1:22" ht="15.6" x14ac:dyDescent="0.3">
      <c r="A52" s="21">
        <v>5</v>
      </c>
      <c r="B52" s="334" t="str">
        <f>'Salary Record'!C869</f>
        <v>Asif (EFU)</v>
      </c>
      <c r="C52" s="148"/>
      <c r="D52" s="151"/>
      <c r="E52" s="23">
        <f>'Salary Record'!K868</f>
        <v>17000</v>
      </c>
      <c r="F52" s="23">
        <f>'Salary Record'!C874</f>
        <v>30</v>
      </c>
      <c r="G52" s="29">
        <f>'Salary Record'!C875</f>
        <v>1</v>
      </c>
      <c r="H52" s="23">
        <f>'Salary Record'!I873</f>
        <v>86</v>
      </c>
      <c r="I52" s="23">
        <f>'Salary Record'!I872</f>
        <v>31</v>
      </c>
      <c r="J52" s="23">
        <f>'Salary Record'!K873</f>
        <v>5895.1612903225805</v>
      </c>
      <c r="K52" s="15">
        <f>'Salary Record'!K874</f>
        <v>22895.16129032258</v>
      </c>
      <c r="L52" s="11">
        <f>'Salary Record'!G872</f>
        <v>0</v>
      </c>
      <c r="M52" s="25">
        <f>'Salary Record'!G873</f>
        <v>0</v>
      </c>
      <c r="N52" s="26">
        <f>'Salary Record'!G874</f>
        <v>0</v>
      </c>
      <c r="O52" s="25">
        <f>'Salary Record'!G875</f>
        <v>0</v>
      </c>
      <c r="P52" s="26">
        <f>'Salary Record'!G876</f>
        <v>0</v>
      </c>
      <c r="Q52" s="299">
        <f>'Salary Record'!K876</f>
        <v>22895.16129032258</v>
      </c>
      <c r="R52" s="249"/>
      <c r="S52" s="33"/>
      <c r="T52" s="256" t="s">
        <v>212</v>
      </c>
      <c r="U52" s="10"/>
    </row>
    <row r="53" spans="1:22" ht="15.6" x14ac:dyDescent="0.3">
      <c r="A53" s="21">
        <v>6</v>
      </c>
      <c r="B53" s="334" t="str">
        <f>'Salary Record'!C885</f>
        <v>Noman Hussain</v>
      </c>
      <c r="C53" s="20" t="s">
        <v>111</v>
      </c>
      <c r="D53" s="120">
        <f>Q53</f>
        <v>14451.612903225807</v>
      </c>
      <c r="E53" s="8">
        <f>'Salary Record'!K884</f>
        <v>14000</v>
      </c>
      <c r="F53" s="8">
        <f>'Salary Record'!C890</f>
        <v>27</v>
      </c>
      <c r="G53" s="9">
        <f>'Salary Record'!C891</f>
        <v>4</v>
      </c>
      <c r="H53" s="8">
        <f>'Salary Record'!I889</f>
        <v>8</v>
      </c>
      <c r="I53" s="8">
        <f>'Salary Record'!I888</f>
        <v>31</v>
      </c>
      <c r="J53" s="121">
        <f>'Salary Record'!K889</f>
        <v>451.61290322580646</v>
      </c>
      <c r="K53" s="121">
        <f>'Salary Record'!K890</f>
        <v>14451.612903225807</v>
      </c>
      <c r="L53" s="122">
        <f>'Salary Record'!G888</f>
        <v>0</v>
      </c>
      <c r="M53" s="13">
        <f>'Salary Record'!G889</f>
        <v>0</v>
      </c>
      <c r="N53" s="14">
        <f>'Salary Record'!G890</f>
        <v>0</v>
      </c>
      <c r="O53" s="13">
        <f>'Salary Record'!G891</f>
        <v>0</v>
      </c>
      <c r="P53" s="14">
        <f>'Salary Record'!G892</f>
        <v>0</v>
      </c>
      <c r="Q53" s="309">
        <f>'Salary Record'!K892</f>
        <v>14451.612903225807</v>
      </c>
      <c r="R53" s="249"/>
      <c r="S53" s="33"/>
      <c r="T53" s="256" t="s">
        <v>208</v>
      </c>
      <c r="U53" s="10" t="s">
        <v>209</v>
      </c>
      <c r="V53" s="2" t="s">
        <v>205</v>
      </c>
    </row>
    <row r="54" spans="1:22" ht="15.6" x14ac:dyDescent="0.3">
      <c r="A54" s="337" t="s">
        <v>2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9"/>
      <c r="Q54" s="298">
        <f>SUM(Q48:Q53)</f>
        <v>117032.25806451612</v>
      </c>
      <c r="R54" s="145">
        <f>SUM(R48:R53)</f>
        <v>0</v>
      </c>
      <c r="S54" s="145">
        <f>SUM(S48:S53)</f>
        <v>0</v>
      </c>
      <c r="T54" s="258"/>
      <c r="U54" s="10"/>
    </row>
    <row r="55" spans="1:22" ht="15.6" x14ac:dyDescent="0.3">
      <c r="A55" s="341" t="s">
        <v>114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3"/>
      <c r="R55" s="289"/>
      <c r="S55" s="289"/>
      <c r="T55" s="257"/>
      <c r="U55" s="10"/>
    </row>
    <row r="56" spans="1:22" ht="15" customHeight="1" x14ac:dyDescent="0.3">
      <c r="A56" s="27">
        <v>1</v>
      </c>
      <c r="B56" s="329" t="s">
        <v>11</v>
      </c>
      <c r="C56" s="157"/>
      <c r="D56" s="159"/>
      <c r="E56" s="25">
        <f>'Salary Record'!K720</f>
        <v>16000</v>
      </c>
      <c r="F56" s="25">
        <f>'Salary Record'!C726</f>
        <v>30</v>
      </c>
      <c r="G56" s="34">
        <f>'Salary Record'!C727</f>
        <v>1</v>
      </c>
      <c r="H56" s="25">
        <f>'Salary Record'!I725</f>
        <v>28</v>
      </c>
      <c r="I56" s="25">
        <f>'Salary Record'!I724</f>
        <v>31</v>
      </c>
      <c r="J56" s="23">
        <f>'Salary Record'!K725</f>
        <v>1806.4516129032259</v>
      </c>
      <c r="K56" s="23">
        <f>'Salary Record'!K726</f>
        <v>17806.451612903227</v>
      </c>
      <c r="L56" s="11">
        <f>'Salary Record'!G724</f>
        <v>11000</v>
      </c>
      <c r="M56" s="25">
        <f>'Salary Record'!G725</f>
        <v>10000</v>
      </c>
      <c r="N56" s="26">
        <f>'Salary Record'!G726</f>
        <v>21000</v>
      </c>
      <c r="O56" s="25">
        <f>'Salary Record'!G727</f>
        <v>2000</v>
      </c>
      <c r="P56" s="26">
        <f>'Salary Record'!G728</f>
        <v>19000</v>
      </c>
      <c r="Q56" s="299">
        <f>'Salary Record'!K728</f>
        <v>15806.451612903227</v>
      </c>
      <c r="R56" s="33"/>
      <c r="S56" s="33"/>
      <c r="T56" s="256"/>
      <c r="U56" s="10"/>
    </row>
    <row r="57" spans="1:22" ht="15.6" x14ac:dyDescent="0.3">
      <c r="A57" s="21">
        <v>2</v>
      </c>
      <c r="B57" s="329" t="s">
        <v>14</v>
      </c>
      <c r="C57" s="157"/>
      <c r="D57" s="159"/>
      <c r="E57" s="35">
        <f>'Salary Record'!K640</f>
        <v>20000</v>
      </c>
      <c r="F57" s="35">
        <f>'Salary Record'!C646</f>
        <v>31</v>
      </c>
      <c r="G57" s="29">
        <f>'Salary Record'!C647</f>
        <v>0</v>
      </c>
      <c r="H57" s="35">
        <f>'Salary Record'!I645</f>
        <v>14</v>
      </c>
      <c r="I57" s="35">
        <f>'Salary Record'!I644</f>
        <v>31</v>
      </c>
      <c r="J57" s="23">
        <f>'Salary Record'!K645</f>
        <v>1129.0322580645161</v>
      </c>
      <c r="K57" s="23">
        <f>'Salary Record'!K646</f>
        <v>21129.032258064515</v>
      </c>
      <c r="L57" s="11">
        <f>'Salary Record'!G644</f>
        <v>59800</v>
      </c>
      <c r="M57" s="25">
        <f>'Salary Record'!G645</f>
        <v>30000</v>
      </c>
      <c r="N57" s="26">
        <f>'Salary Record'!G646</f>
        <v>89800</v>
      </c>
      <c r="O57" s="25">
        <f>'Salary Record'!G647</f>
        <v>8000</v>
      </c>
      <c r="P57" s="26">
        <f>'Salary Record'!G648</f>
        <v>81800</v>
      </c>
      <c r="Q57" s="299">
        <f>'Salary Record'!K648</f>
        <v>13129.032258064515</v>
      </c>
      <c r="R57" s="33"/>
      <c r="S57" s="33"/>
      <c r="T57" s="256" t="s">
        <v>215</v>
      </c>
      <c r="U57" t="s">
        <v>216</v>
      </c>
      <c r="V57" s="2" t="s">
        <v>217</v>
      </c>
    </row>
    <row r="58" spans="1:22" ht="15.6" x14ac:dyDescent="0.3">
      <c r="A58" s="27">
        <v>3</v>
      </c>
      <c r="B58" s="329" t="str">
        <f>'Salary Record'!C673</f>
        <v>Adil (FTC)</v>
      </c>
      <c r="C58" s="155"/>
      <c r="D58" s="120"/>
      <c r="E58" s="15">
        <f>'Salary Record'!K672</f>
        <v>17000</v>
      </c>
      <c r="F58" s="15">
        <f>'Salary Record'!C678</f>
        <v>29</v>
      </c>
      <c r="G58" s="29">
        <f>'Salary Record'!C679</f>
        <v>2</v>
      </c>
      <c r="H58" s="15">
        <f>'Salary Record'!I677</f>
        <v>18</v>
      </c>
      <c r="I58" s="15">
        <f>'Salary Record'!I676</f>
        <v>31</v>
      </c>
      <c r="J58" s="23">
        <f>'Salary Record'!K677</f>
        <v>1233.8709677419354</v>
      </c>
      <c r="K58" s="23">
        <f>'Salary Record'!K678</f>
        <v>18233.870967741936</v>
      </c>
      <c r="L58" s="11">
        <f>'Salary Record'!G676</f>
        <v>2000</v>
      </c>
      <c r="M58" s="25">
        <f>'Salary Record'!G677</f>
        <v>10000</v>
      </c>
      <c r="N58" s="26">
        <f>'Salary Record'!G678</f>
        <v>12000</v>
      </c>
      <c r="O58" s="25">
        <f>'Salary Record'!G679</f>
        <v>2000</v>
      </c>
      <c r="P58" s="26">
        <f>'Salary Record'!G680</f>
        <v>10000</v>
      </c>
      <c r="Q58" s="299">
        <f>'Salary Record'!K680</f>
        <v>16233.870967741936</v>
      </c>
      <c r="R58" s="33"/>
      <c r="S58" s="33"/>
      <c r="T58" s="256" t="s">
        <v>238</v>
      </c>
    </row>
    <row r="59" spans="1:22" ht="15.6" x14ac:dyDescent="0.3">
      <c r="A59" s="21">
        <v>4</v>
      </c>
      <c r="B59" s="329" t="str">
        <f>'Salary Record'!C705</f>
        <v>Hamid FTC</v>
      </c>
      <c r="C59" s="146"/>
      <c r="D59" s="124"/>
      <c r="E59" s="25">
        <f>'Salary Record'!K704</f>
        <v>15000</v>
      </c>
      <c r="F59" s="25">
        <f>'Salary Record'!C710</f>
        <v>10</v>
      </c>
      <c r="G59" s="34">
        <f>'Salary Record'!C711</f>
        <v>0</v>
      </c>
      <c r="H59" s="25">
        <f>'Salary Record'!I709</f>
        <v>0</v>
      </c>
      <c r="I59" s="25">
        <f>'Salary Record'!I708</f>
        <v>10</v>
      </c>
      <c r="J59" s="23">
        <f>'Salary Record'!K709</f>
        <v>0</v>
      </c>
      <c r="K59" s="23">
        <f>'Salary Record'!K710</f>
        <v>4838.7096774193551</v>
      </c>
      <c r="L59" s="11">
        <f>'Salary Record'!G708</f>
        <v>0</v>
      </c>
      <c r="M59" s="25">
        <f>'Salary Record'!G709</f>
        <v>0</v>
      </c>
      <c r="N59" s="26">
        <f>'Salary Record'!G710</f>
        <v>0</v>
      </c>
      <c r="O59" s="25">
        <f>'Salary Record'!G711</f>
        <v>0</v>
      </c>
      <c r="P59" s="26">
        <f>'Salary Record'!G712</f>
        <v>0</v>
      </c>
      <c r="Q59" s="299">
        <f>'Salary Record'!K712</f>
        <v>4838.7096774193551</v>
      </c>
      <c r="R59" s="33"/>
      <c r="S59" s="33"/>
      <c r="T59" s="256" t="s">
        <v>239</v>
      </c>
      <c r="U59" s="10"/>
    </row>
    <row r="60" spans="1:22" s="217" customFormat="1" ht="15" customHeight="1" x14ac:dyDescent="0.3">
      <c r="A60" s="27">
        <v>5</v>
      </c>
      <c r="B60" s="329" t="str">
        <f>'Salary Record'!C657</f>
        <v>M. Shafeeq</v>
      </c>
      <c r="C60" s="214"/>
      <c r="D60" s="224"/>
      <c r="E60" s="15">
        <f>'Salary Record'!K656</f>
        <v>15000</v>
      </c>
      <c r="F60" s="15">
        <f>'Salary Record'!C662</f>
        <v>8</v>
      </c>
      <c r="G60" s="29">
        <f>'Salary Record'!C663</f>
        <v>0</v>
      </c>
      <c r="H60" s="15">
        <f>'Salary Record'!I661</f>
        <v>7</v>
      </c>
      <c r="I60" s="15">
        <f>'Salary Record'!I660</f>
        <v>8</v>
      </c>
      <c r="J60" s="29">
        <f>'Salary Record'!K661</f>
        <v>423.38709677419354</v>
      </c>
      <c r="K60" s="29">
        <f>'Salary Record'!K662</f>
        <v>4294.3548387096771</v>
      </c>
      <c r="L60" s="216">
        <f>'Salary Record'!G660</f>
        <v>0</v>
      </c>
      <c r="M60" s="15">
        <f>'Salary Record'!G661</f>
        <v>0</v>
      </c>
      <c r="N60" s="116">
        <f>'Salary Record'!G662</f>
        <v>0</v>
      </c>
      <c r="O60" s="15">
        <f>'Salary Record'!G663</f>
        <v>0</v>
      </c>
      <c r="P60" s="116">
        <f>'Salary Record'!G664</f>
        <v>0</v>
      </c>
      <c r="Q60" s="33">
        <f>'Salary Record'!K664</f>
        <v>4294.3548387096771</v>
      </c>
      <c r="R60" s="216">
        <f>Q60*75%</f>
        <v>3220.7661290322576</v>
      </c>
      <c r="S60" s="33">
        <v>0</v>
      </c>
      <c r="T60" s="256"/>
      <c r="U60" s="266"/>
      <c r="V60" s="218"/>
    </row>
    <row r="61" spans="1:22" ht="15.6" x14ac:dyDescent="0.3">
      <c r="A61" s="21">
        <v>6</v>
      </c>
      <c r="B61" s="329" t="str">
        <f>'Salary Record'!C689</f>
        <v>Adeel</v>
      </c>
      <c r="C61" s="155"/>
      <c r="D61" s="120"/>
      <c r="E61" s="15">
        <f>'Salary Record'!K688</f>
        <v>17000</v>
      </c>
      <c r="F61" s="15">
        <f>'Salary Record'!C694</f>
        <v>30</v>
      </c>
      <c r="G61" s="29">
        <f>'Salary Record'!C695</f>
        <v>1</v>
      </c>
      <c r="H61" s="15">
        <f>'Salary Record'!I693</f>
        <v>161</v>
      </c>
      <c r="I61" s="15">
        <f>'Salary Record'!I692</f>
        <v>31</v>
      </c>
      <c r="J61" s="23">
        <f>'Salary Record'!K693</f>
        <v>11036.290322580646</v>
      </c>
      <c r="K61" s="23">
        <f>'Salary Record'!K694</f>
        <v>28036.290322580644</v>
      </c>
      <c r="L61" s="11">
        <f>'Salary Record'!G692</f>
        <v>0</v>
      </c>
      <c r="M61" s="25">
        <f>'Salary Record'!G693</f>
        <v>0</v>
      </c>
      <c r="N61" s="26">
        <f>'Salary Record'!G694</f>
        <v>0</v>
      </c>
      <c r="O61" s="25">
        <f>'Salary Record'!G695</f>
        <v>0</v>
      </c>
      <c r="P61" s="26">
        <f>'Salary Record'!G696</f>
        <v>0</v>
      </c>
      <c r="Q61" s="299">
        <f>'Salary Record'!K696</f>
        <v>28036.290322580644</v>
      </c>
      <c r="R61" s="33"/>
      <c r="S61" s="33"/>
      <c r="T61" s="256" t="s">
        <v>237</v>
      </c>
    </row>
    <row r="62" spans="1:22" ht="15.6" x14ac:dyDescent="0.3">
      <c r="A62" s="337" t="s">
        <v>2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9"/>
      <c r="Q62" s="298">
        <f>SUM(Q56:Q61)</f>
        <v>82338.709677419363</v>
      </c>
      <c r="R62" s="145">
        <f>SUM(R56:R61)</f>
        <v>3220.7661290322576</v>
      </c>
      <c r="S62" s="145">
        <f>SUM(S56:S61)</f>
        <v>0</v>
      </c>
      <c r="T62" s="258"/>
      <c r="U62" s="10"/>
    </row>
    <row r="63" spans="1:22" ht="15.6" x14ac:dyDescent="0.3">
      <c r="A63" s="341" t="s">
        <v>115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3"/>
      <c r="R63" s="289"/>
      <c r="S63" s="289"/>
      <c r="T63" s="294"/>
      <c r="U63" s="10"/>
    </row>
    <row r="64" spans="1:22" ht="15" customHeight="1" x14ac:dyDescent="0.3">
      <c r="A64" s="21">
        <v>1</v>
      </c>
      <c r="B64" s="331" t="s">
        <v>15</v>
      </c>
      <c r="C64" s="207" t="s">
        <v>37</v>
      </c>
      <c r="D64" s="208">
        <f>SUM(Q21:Q98)</f>
        <v>1730893.1451612904</v>
      </c>
      <c r="E64" s="209">
        <f>'Salary Record'!K498</f>
        <v>26000</v>
      </c>
      <c r="F64" s="209">
        <f>'Salary Record'!C504</f>
        <v>29</v>
      </c>
      <c r="G64" s="210">
        <f>'Salary Record'!C505</f>
        <v>2</v>
      </c>
      <c r="H64" s="209">
        <f>'Salary Record'!I503</f>
        <v>18</v>
      </c>
      <c r="I64" s="209">
        <f>'Salary Record'!I502</f>
        <v>29</v>
      </c>
      <c r="J64" s="203">
        <f>'Salary Record'!K503</f>
        <v>1887.0967741935485</v>
      </c>
      <c r="K64" s="209">
        <f>'Salary Record'!K504</f>
        <v>26209.677419354841</v>
      </c>
      <c r="L64" s="204">
        <f>'Salary Record'!G502</f>
        <v>0</v>
      </c>
      <c r="M64" s="204">
        <f>'Salary Record'!G503</f>
        <v>0</v>
      </c>
      <c r="N64" s="206">
        <f>'Salary Record'!G504</f>
        <v>0</v>
      </c>
      <c r="O64" s="205">
        <f>'Salary Record'!G505</f>
        <v>0</v>
      </c>
      <c r="P64" s="206">
        <f>'Salary Record'!G506</f>
        <v>0</v>
      </c>
      <c r="Q64" s="305">
        <f>'Salary Record'!K506</f>
        <v>26209.677419354841</v>
      </c>
      <c r="R64" s="248"/>
      <c r="S64" s="33"/>
      <c r="T64" s="256"/>
      <c r="U64" s="10"/>
    </row>
    <row r="65" spans="1:24" ht="14.4" x14ac:dyDescent="0.3">
      <c r="A65" s="21">
        <v>2</v>
      </c>
      <c r="B65" s="329" t="str">
        <f>'Salary Record'!C529</f>
        <v>Imran S/O Feroz Shb</v>
      </c>
      <c r="C65" s="146"/>
      <c r="D65" s="124"/>
      <c r="E65" s="35">
        <f>'Salary Record'!K528</f>
        <v>25000</v>
      </c>
      <c r="F65" s="35">
        <f>'Salary Record'!C534</f>
        <v>30</v>
      </c>
      <c r="G65" s="29">
        <f>'Salary Record'!C535</f>
        <v>1</v>
      </c>
      <c r="H65" s="35">
        <f>'Salary Record'!I533</f>
        <v>0</v>
      </c>
      <c r="I65" s="35">
        <f>'Salary Record'!I532</f>
        <v>30</v>
      </c>
      <c r="J65" s="23">
        <f>'Salary Record'!K533</f>
        <v>0</v>
      </c>
      <c r="K65" s="23">
        <f>'Salary Record'!K534</f>
        <v>24193.548387096776</v>
      </c>
      <c r="L65" s="11">
        <f>'Salary Record'!G532</f>
        <v>6500</v>
      </c>
      <c r="M65" s="25">
        <f>'Salary Record'!G533</f>
        <v>0</v>
      </c>
      <c r="N65" s="26">
        <f>'Salary Record'!G534</f>
        <v>6500</v>
      </c>
      <c r="O65" s="25">
        <f>'Salary Record'!G535</f>
        <v>1500</v>
      </c>
      <c r="P65" s="26">
        <f>'Salary Record'!G536</f>
        <v>5000</v>
      </c>
      <c r="Q65" s="325">
        <f>'Salary Record'!K536</f>
        <v>22693.548387096776</v>
      </c>
      <c r="R65" s="33"/>
      <c r="S65" s="33"/>
      <c r="T65" s="256" t="s">
        <v>255</v>
      </c>
      <c r="U65" s="19" t="s">
        <v>256</v>
      </c>
    </row>
    <row r="66" spans="1:24" ht="15.6" x14ac:dyDescent="0.3">
      <c r="A66" s="21">
        <v>3</v>
      </c>
      <c r="B66" s="28" t="str">
        <f>'Salary Record'!C821</f>
        <v>Ahmed</v>
      </c>
      <c r="C66" s="155"/>
      <c r="D66" s="120"/>
      <c r="E66" s="11">
        <f>'Salary Record'!K820</f>
        <v>16000</v>
      </c>
      <c r="F66" s="11">
        <f>'Salary Record'!C826</f>
        <v>0</v>
      </c>
      <c r="G66" s="31">
        <f>'Salary Record'!C827</f>
        <v>0</v>
      </c>
      <c r="H66" s="11">
        <f>'Salary Record'!I825</f>
        <v>0</v>
      </c>
      <c r="I66" s="11">
        <f>'Salary Record'!I824</f>
        <v>0</v>
      </c>
      <c r="J66" s="23">
        <f>'Salary Record'!K825</f>
        <v>0</v>
      </c>
      <c r="K66" s="23">
        <f>'Salary Record'!K826</f>
        <v>0</v>
      </c>
      <c r="L66" s="11">
        <f>'Salary Record'!G824</f>
        <v>0</v>
      </c>
      <c r="M66" s="11">
        <f>'Salary Record'!G825</f>
        <v>0</v>
      </c>
      <c r="N66" s="26">
        <f>'Salary Record'!G826</f>
        <v>0</v>
      </c>
      <c r="O66" s="11">
        <f>'Salary Record'!G827</f>
        <v>0</v>
      </c>
      <c r="P66" s="26">
        <f>'Salary Record'!G828</f>
        <v>0</v>
      </c>
      <c r="Q66" s="295">
        <f>'Salary Record'!K828</f>
        <v>0</v>
      </c>
      <c r="R66" s="33"/>
      <c r="S66" s="33"/>
      <c r="T66" s="256"/>
      <c r="U66" s="10"/>
    </row>
    <row r="67" spans="1:24" ht="15.6" hidden="1" x14ac:dyDescent="0.3">
      <c r="A67" s="21">
        <v>9</v>
      </c>
      <c r="B67" s="28">
        <f>'Salary Record'!C995</f>
        <v>0</v>
      </c>
      <c r="C67" s="172"/>
      <c r="D67" s="174"/>
      <c r="E67" s="25">
        <f>'Salary Record'!K994</f>
        <v>0</v>
      </c>
      <c r="F67" s="25">
        <f>'Salary Record'!C1000</f>
        <v>0</v>
      </c>
      <c r="G67" s="34">
        <f>'Salary Record'!C1001</f>
        <v>0</v>
      </c>
      <c r="H67" s="25">
        <f>'Salary Record'!I999</f>
        <v>0</v>
      </c>
      <c r="I67" s="25">
        <f>'Salary Record'!I998</f>
        <v>0</v>
      </c>
      <c r="J67" s="23">
        <f>'Salary Record'!K999</f>
        <v>0</v>
      </c>
      <c r="K67" s="23">
        <f>'Salary Record'!K1000</f>
        <v>0</v>
      </c>
      <c r="L67" s="11" t="str">
        <f>'Salary Record'!G998</f>
        <v/>
      </c>
      <c r="M67" s="25">
        <f>'Salary Record'!G999</f>
        <v>0</v>
      </c>
      <c r="N67" s="26" t="str">
        <f>'Salary Record'!G1000</f>
        <v/>
      </c>
      <c r="O67" s="25">
        <f>'Salary Record'!G1001</f>
        <v>0</v>
      </c>
      <c r="P67" s="26" t="str">
        <f>'Salary Record'!G1002</f>
        <v/>
      </c>
      <c r="Q67" s="300">
        <f>'Salary Record'!K1002</f>
        <v>0</v>
      </c>
      <c r="R67" s="176"/>
      <c r="S67" s="176"/>
      <c r="T67" s="259"/>
    </row>
    <row r="68" spans="1:24" ht="15.6" x14ac:dyDescent="0.3">
      <c r="A68" s="337" t="s">
        <v>2</v>
      </c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9"/>
      <c r="Q68" s="298">
        <f>SUM(Q64:Q66)</f>
        <v>48903.225806451621</v>
      </c>
      <c r="R68" s="145">
        <f>SUM(R64:R67)</f>
        <v>0</v>
      </c>
      <c r="S68" s="145">
        <f>SUM(S64:S67)</f>
        <v>0</v>
      </c>
      <c r="T68" s="258"/>
      <c r="U68" s="10"/>
      <c r="X68" s="10"/>
    </row>
    <row r="69" spans="1:24" ht="15.6" x14ac:dyDescent="0.3">
      <c r="A69" s="341" t="s">
        <v>121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3"/>
      <c r="R69" s="289"/>
      <c r="S69" s="289"/>
      <c r="T69" s="257"/>
    </row>
    <row r="70" spans="1:24" ht="15.6" x14ac:dyDescent="0.3">
      <c r="A70" s="27">
        <v>1</v>
      </c>
      <c r="B70" s="329" t="str">
        <f>'Salary Record'!C1124</f>
        <v>M. Rafeeq</v>
      </c>
      <c r="C70" s="153"/>
      <c r="D70" s="149"/>
      <c r="E70" s="25">
        <f>'Salary Record'!K1123</f>
        <v>30000</v>
      </c>
      <c r="F70" s="25">
        <f>'Salary Record'!C1129</f>
        <v>29</v>
      </c>
      <c r="G70" s="34">
        <f>'Salary Record'!C1130</f>
        <v>2</v>
      </c>
      <c r="H70" s="25">
        <f>'Salary Record'!I1128</f>
        <v>0</v>
      </c>
      <c r="I70" s="25">
        <f>'Salary Record'!I1127</f>
        <v>29</v>
      </c>
      <c r="J70" s="23">
        <f>'Salary Record'!K1128</f>
        <v>0</v>
      </c>
      <c r="K70" s="23">
        <f>'Salary Record'!K1129</f>
        <v>28064.516129032258</v>
      </c>
      <c r="L70" s="11">
        <f>'Salary Record'!G1127</f>
        <v>0</v>
      </c>
      <c r="M70" s="25">
        <f>'Salary Record'!G1128</f>
        <v>0</v>
      </c>
      <c r="N70" s="26">
        <f>'Salary Record'!G1129</f>
        <v>0</v>
      </c>
      <c r="O70" s="25">
        <f>'Salary Record'!G1130</f>
        <v>0</v>
      </c>
      <c r="P70" s="26">
        <f>'Salary Record'!G1131</f>
        <v>0</v>
      </c>
      <c r="Q70" s="295">
        <f>'Salary Record'!K1131</f>
        <v>28064.516129032258</v>
      </c>
      <c r="R70" s="33"/>
      <c r="S70" s="33"/>
      <c r="T70" s="256"/>
      <c r="U70" s="10"/>
    </row>
    <row r="71" spans="1:24" ht="15.6" x14ac:dyDescent="0.3">
      <c r="A71" s="21">
        <v>2</v>
      </c>
      <c r="B71" s="331" t="s">
        <v>17</v>
      </c>
      <c r="C71" s="199"/>
      <c r="D71" s="200"/>
      <c r="E71" s="201">
        <f>'Salary Record'!K513</f>
        <v>34000</v>
      </c>
      <c r="F71" s="201">
        <f>'Salary Record'!C519</f>
        <v>31</v>
      </c>
      <c r="G71" s="202">
        <f>'Salary Record'!C520</f>
        <v>0</v>
      </c>
      <c r="H71" s="201">
        <f>'Salary Record'!I518</f>
        <v>77</v>
      </c>
      <c r="I71" s="201">
        <f>'Salary Record'!I517</f>
        <v>31</v>
      </c>
      <c r="J71" s="203">
        <f>'Salary Record'!K518</f>
        <v>10556.451612903225</v>
      </c>
      <c r="K71" s="203">
        <f>'Salary Record'!K519</f>
        <v>44556.451612903227</v>
      </c>
      <c r="L71" s="204">
        <f>'Salary Record'!G517</f>
        <v>10000</v>
      </c>
      <c r="M71" s="205">
        <f>'Salary Record'!G518</f>
        <v>5000</v>
      </c>
      <c r="N71" s="206">
        <f>'Salary Record'!G519</f>
        <v>15000</v>
      </c>
      <c r="O71" s="205">
        <f>'Salary Record'!G520</f>
        <v>5000</v>
      </c>
      <c r="P71" s="206">
        <f>'Salary Record'!G521</f>
        <v>10000</v>
      </c>
      <c r="Q71" s="305">
        <f>'Salary Record'!K521</f>
        <v>39556.451612903227</v>
      </c>
      <c r="R71" s="248"/>
      <c r="S71" s="33"/>
      <c r="T71" s="256"/>
      <c r="U71" s="10"/>
    </row>
    <row r="72" spans="1:24" ht="15.6" x14ac:dyDescent="0.3">
      <c r="A72" s="21">
        <v>3</v>
      </c>
      <c r="B72" s="226" t="str">
        <f>'Salary Record'!C1288</f>
        <v>Naveed Akhtar</v>
      </c>
      <c r="C72" s="146"/>
      <c r="D72" s="124"/>
      <c r="E72" s="11">
        <f>'Salary Record'!K1287</f>
        <v>35000</v>
      </c>
      <c r="F72" s="11">
        <f>'Salary Record'!C1293</f>
        <v>31</v>
      </c>
      <c r="G72" s="31">
        <f>'Salary Record'!C1294</f>
        <v>0</v>
      </c>
      <c r="H72" s="161">
        <f>'Salary Record'!I1292</f>
        <v>0</v>
      </c>
      <c r="I72" s="11">
        <f>'Salary Record'!I1291</f>
        <v>31</v>
      </c>
      <c r="J72" s="23">
        <f>'Salary Record'!K1292</f>
        <v>0</v>
      </c>
      <c r="K72" s="23">
        <f>'Salary Record'!K1293</f>
        <v>35000</v>
      </c>
      <c r="L72" s="11">
        <f>'Salary Record'!G1291</f>
        <v>0</v>
      </c>
      <c r="M72" s="11">
        <f>'Salary Record'!G1292</f>
        <v>0</v>
      </c>
      <c r="N72" s="26">
        <f>'Salary Record'!G1293</f>
        <v>0</v>
      </c>
      <c r="O72" s="11">
        <f>'Salary Record'!G1294</f>
        <v>0</v>
      </c>
      <c r="P72" s="26">
        <f>'Salary Record'!G1295</f>
        <v>0</v>
      </c>
      <c r="Q72" s="295">
        <f>'Salary Record'!K1295</f>
        <v>35000</v>
      </c>
      <c r="R72" s="216"/>
      <c r="S72" s="33"/>
      <c r="T72" s="256"/>
      <c r="U72" s="10"/>
    </row>
    <row r="73" spans="1:24" ht="15.6" x14ac:dyDescent="0.3">
      <c r="A73" s="27">
        <v>4</v>
      </c>
      <c r="B73" s="28" t="str">
        <f>'Salary Record'!C1272</f>
        <v>Suleman Dilawar</v>
      </c>
      <c r="C73" s="146"/>
      <c r="D73" s="124"/>
      <c r="E73" s="32">
        <f>'Salary Record'!K1271</f>
        <v>16000</v>
      </c>
      <c r="F73" s="32">
        <f>'Salary Record'!C1277</f>
        <v>29</v>
      </c>
      <c r="G73" s="23">
        <f>'Salary Record'!C1278</f>
        <v>2</v>
      </c>
      <c r="H73" s="32">
        <f>'Salary Record'!I1276</f>
        <v>86</v>
      </c>
      <c r="I73" s="32">
        <f>'Salary Record'!I1275</f>
        <v>31</v>
      </c>
      <c r="J73" s="23">
        <f>'Salary Record'!K1276</f>
        <v>5548.3870967741932</v>
      </c>
      <c r="K73" s="15">
        <f>'Salary Record'!K1277</f>
        <v>21548.387096774193</v>
      </c>
      <c r="L73" s="11">
        <f>'Salary Record'!G1275</f>
        <v>0</v>
      </c>
      <c r="M73" s="25">
        <f>'Salary Record'!G1276</f>
        <v>0</v>
      </c>
      <c r="N73" s="26">
        <f>'Salary Record'!G1277</f>
        <v>0</v>
      </c>
      <c r="O73" s="25">
        <f>'Salary Record'!G1278</f>
        <v>0</v>
      </c>
      <c r="P73" s="26">
        <f>'Salary Record'!G1279</f>
        <v>0</v>
      </c>
      <c r="Q73" s="295">
        <f>'Salary Record'!K1279</f>
        <v>21548.387096774193</v>
      </c>
      <c r="R73" s="33"/>
      <c r="S73" s="33"/>
      <c r="T73" s="256"/>
    </row>
    <row r="74" spans="1:24" ht="15.6" x14ac:dyDescent="0.3">
      <c r="A74" s="21">
        <v>5</v>
      </c>
      <c r="B74" s="328" t="str">
        <f>'Salary Record'!C606</f>
        <v>Haneef</v>
      </c>
      <c r="C74" s="142" t="s">
        <v>108</v>
      </c>
      <c r="D74" s="124">
        <f>Q74</f>
        <v>19000</v>
      </c>
      <c r="E74" s="15">
        <f>'Salary Record'!K605</f>
        <v>24000</v>
      </c>
      <c r="F74" s="15">
        <f>'Salary Record'!C611</f>
        <v>28</v>
      </c>
      <c r="G74" s="29">
        <f>'Salary Record'!C612</f>
        <v>3</v>
      </c>
      <c r="H74" s="15">
        <f>'Salary Record'!I610</f>
        <v>0</v>
      </c>
      <c r="I74" s="15">
        <f>'Salary Record'!I609</f>
        <v>31</v>
      </c>
      <c r="J74" s="23">
        <f>'Salary Record'!K610</f>
        <v>0</v>
      </c>
      <c r="K74" s="15">
        <f>'Salary Record'!K611</f>
        <v>24000</v>
      </c>
      <c r="L74" s="11">
        <f>'Salary Record'!G609</f>
        <v>9040</v>
      </c>
      <c r="M74" s="25">
        <f>'Salary Record'!G610</f>
        <v>0</v>
      </c>
      <c r="N74" s="26">
        <f>'Salary Record'!G611</f>
        <v>9040</v>
      </c>
      <c r="O74" s="25">
        <f>'Salary Record'!G612</f>
        <v>5000</v>
      </c>
      <c r="P74" s="26">
        <f>'Salary Record'!G613</f>
        <v>4040</v>
      </c>
      <c r="Q74" s="295">
        <f>'Salary Record'!K613</f>
        <v>19000</v>
      </c>
      <c r="R74" s="33"/>
      <c r="S74" s="33"/>
      <c r="T74" s="256" t="s">
        <v>261</v>
      </c>
      <c r="U74" s="10" t="s">
        <v>263</v>
      </c>
      <c r="V74" s="2" t="s">
        <v>262</v>
      </c>
    </row>
    <row r="75" spans="1:24" ht="15.6" x14ac:dyDescent="0.3">
      <c r="A75" s="21">
        <v>6</v>
      </c>
      <c r="B75" s="28" t="str">
        <f>'Salary Record'!C1240</f>
        <v>Arham</v>
      </c>
      <c r="C75" s="165"/>
      <c r="D75" s="163"/>
      <c r="E75" s="15">
        <f>'Salary Record'!K1239</f>
        <v>18000</v>
      </c>
      <c r="F75" s="15">
        <f>'Salary Record'!C1245</f>
        <v>31</v>
      </c>
      <c r="G75" s="29">
        <f>'Salary Record'!C1246</f>
        <v>0</v>
      </c>
      <c r="H75" s="133">
        <f>'Salary Record'!I1244</f>
        <v>56</v>
      </c>
      <c r="I75" s="15">
        <f>'Salary Record'!I1243</f>
        <v>31</v>
      </c>
      <c r="J75" s="23">
        <f>'Salary Record'!K1244</f>
        <v>4064.516129032258</v>
      </c>
      <c r="K75" s="23">
        <f>'Salary Record'!K1245</f>
        <v>22064.516129032258</v>
      </c>
      <c r="L75" s="11">
        <f>'Salary Record'!G1243</f>
        <v>0</v>
      </c>
      <c r="M75" s="25">
        <f>'Salary Record'!G1244</f>
        <v>0</v>
      </c>
      <c r="N75" s="26">
        <f>'Salary Record'!G1245</f>
        <v>0</v>
      </c>
      <c r="O75" s="25">
        <f>'Salary Record'!G1246</f>
        <v>0</v>
      </c>
      <c r="P75" s="26">
        <f>'Salary Record'!G1247</f>
        <v>0</v>
      </c>
      <c r="Q75" s="295">
        <f>'Salary Record'!K1247</f>
        <v>22064.516129032258</v>
      </c>
      <c r="R75" s="33"/>
      <c r="S75" s="33"/>
      <c r="T75" s="256" t="s">
        <v>201</v>
      </c>
    </row>
    <row r="76" spans="1:24" ht="15.6" x14ac:dyDescent="0.3">
      <c r="A76" s="27">
        <v>7</v>
      </c>
      <c r="B76" s="329" t="str">
        <f>'Salary Record'!C1462</f>
        <v>A. Lateef</v>
      </c>
      <c r="C76" s="142"/>
      <c r="D76" s="135"/>
      <c r="E76" s="15">
        <f>'Salary Record'!K1461</f>
        <v>20000</v>
      </c>
      <c r="F76" s="15">
        <f>'Salary Record'!C1467</f>
        <v>29</v>
      </c>
      <c r="G76" s="29">
        <f>'Salary Record'!C1468</f>
        <v>2</v>
      </c>
      <c r="H76" s="15">
        <f>'Salary Record'!I1466</f>
        <v>39</v>
      </c>
      <c r="I76" s="15">
        <f>'Salary Record'!I1465</f>
        <v>29</v>
      </c>
      <c r="J76" s="23">
        <f>'Salary Record'!K1466</f>
        <v>3145.1612903225805</v>
      </c>
      <c r="K76" s="15">
        <f>'Salary Record'!K1467</f>
        <v>21854.838709677417</v>
      </c>
      <c r="L76" s="11">
        <f>'Salary Record'!G1465</f>
        <v>0</v>
      </c>
      <c r="M76" s="25">
        <f>'Salary Record'!G1466</f>
        <v>0</v>
      </c>
      <c r="N76" s="26">
        <f>'Salary Record'!G1467</f>
        <v>0</v>
      </c>
      <c r="O76" s="25">
        <f>'Salary Record'!G1468</f>
        <v>0</v>
      </c>
      <c r="P76" s="26">
        <f>'Salary Record'!G1469</f>
        <v>0</v>
      </c>
      <c r="Q76" s="295">
        <f>'Salary Record'!K1469</f>
        <v>21854.838709677417</v>
      </c>
      <c r="R76" s="33"/>
      <c r="S76" s="33"/>
      <c r="T76" s="256" t="s">
        <v>235</v>
      </c>
    </row>
    <row r="77" spans="1:24" ht="15.6" x14ac:dyDescent="0.3">
      <c r="A77" s="21">
        <v>8</v>
      </c>
      <c r="B77" s="329" t="str">
        <f>'Salary Record'!C1027</f>
        <v>A. Lateef Chacha</v>
      </c>
      <c r="C77" s="146"/>
      <c r="D77" s="124"/>
      <c r="E77" s="15">
        <f>'Salary Record'!K1026</f>
        <v>22000</v>
      </c>
      <c r="F77" s="15">
        <f>'Salary Record'!C1032</f>
        <v>30</v>
      </c>
      <c r="G77" s="29">
        <f>'Salary Record'!C1033</f>
        <v>1</v>
      </c>
      <c r="H77" s="15">
        <f>'Salary Record'!I1031</f>
        <v>8</v>
      </c>
      <c r="I77" s="15">
        <f>'Salary Record'!I1030</f>
        <v>31</v>
      </c>
      <c r="J77" s="23">
        <f>'Salary Record'!K1031</f>
        <v>709.67741935483866</v>
      </c>
      <c r="K77" s="23">
        <f>'Salary Record'!K1032</f>
        <v>22709.677419354837</v>
      </c>
      <c r="L77" s="11">
        <f>'Salary Record'!G1030</f>
        <v>2000</v>
      </c>
      <c r="M77" s="11">
        <f>'Salary Record'!G1031</f>
        <v>0</v>
      </c>
      <c r="N77" s="26">
        <f>'Salary Record'!G1032</f>
        <v>2000</v>
      </c>
      <c r="O77" s="11">
        <f>'Salary Record'!G1033</f>
        <v>1000</v>
      </c>
      <c r="P77" s="26">
        <f>'Salary Record'!G1034</f>
        <v>1000</v>
      </c>
      <c r="Q77" s="295">
        <f>'Salary Record'!K1034</f>
        <v>21709.677419354837</v>
      </c>
      <c r="R77" s="33"/>
      <c r="S77" s="33"/>
      <c r="T77" s="256"/>
      <c r="U77" s="10"/>
      <c r="V77" s="2">
        <f>Q71+Q68+Q18+Q22+Q30</f>
        <v>305991.93548387097</v>
      </c>
    </row>
    <row r="78" spans="1:24" ht="13.8" customHeight="1" x14ac:dyDescent="0.3">
      <c r="A78" s="186"/>
      <c r="B78" s="186"/>
      <c r="C78" s="186"/>
      <c r="D78" s="186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298">
        <f>SUM(Q70:Q77)</f>
        <v>208798.38709677421</v>
      </c>
      <c r="R78" s="145">
        <f>SUM(R70:R77)</f>
        <v>0</v>
      </c>
      <c r="S78" s="145">
        <f>SUM(S70:S77)</f>
        <v>0</v>
      </c>
      <c r="T78" s="258"/>
      <c r="U78" s="10"/>
      <c r="W78" s="10"/>
    </row>
    <row r="79" spans="1:24" s="217" customFormat="1" ht="14.4" hidden="1" x14ac:dyDescent="0.3">
      <c r="A79" s="27"/>
      <c r="B79" s="28"/>
      <c r="C79" s="146"/>
      <c r="D79" s="124"/>
      <c r="E79" s="15">
        <f>'Salary Record'!K543</f>
        <v>0</v>
      </c>
      <c r="F79" s="15">
        <f>'Salary Record'!C549</f>
        <v>0</v>
      </c>
      <c r="G79" s="29">
        <f>'Salary Record'!C550</f>
        <v>0</v>
      </c>
      <c r="H79" s="15">
        <f>'Salary Record'!I548</f>
        <v>0</v>
      </c>
      <c r="I79" s="15">
        <f>'Salary Record'!I547</f>
        <v>0</v>
      </c>
      <c r="J79" s="29">
        <f>'Salary Record'!K548</f>
        <v>0</v>
      </c>
      <c r="K79" s="15">
        <f>'Salary Record'!K549</f>
        <v>0</v>
      </c>
      <c r="L79" s="216">
        <f>'Salary Record'!G547</f>
        <v>0</v>
      </c>
      <c r="M79" s="15">
        <f>'Salary Record'!G548</f>
        <v>0</v>
      </c>
      <c r="N79" s="116" t="str">
        <f>'Salary Record'!G549</f>
        <v/>
      </c>
      <c r="O79" s="15">
        <f>'Salary Record'!G550</f>
        <v>0</v>
      </c>
      <c r="P79" s="116" t="str">
        <f>'Salary Record'!G551</f>
        <v/>
      </c>
      <c r="Q79" s="33">
        <f>'Salary Record'!K551</f>
        <v>0</v>
      </c>
      <c r="R79" s="33"/>
      <c r="S79" s="33"/>
      <c r="T79" s="256"/>
      <c r="V79" s="218"/>
    </row>
    <row r="80" spans="1:24" ht="14.4" hidden="1" x14ac:dyDescent="0.3">
      <c r="A80" s="21">
        <v>2</v>
      </c>
      <c r="B80" s="226">
        <f>'Salary Record'!C1256</f>
        <v>0</v>
      </c>
      <c r="C80" s="146"/>
      <c r="D80" s="124"/>
      <c r="E80" s="11">
        <f>'Salary Record'!K1255</f>
        <v>0</v>
      </c>
      <c r="F80" s="11">
        <f>'Salary Record'!C1261</f>
        <v>0</v>
      </c>
      <c r="G80" s="31">
        <f>'Salary Record'!C1262</f>
        <v>0</v>
      </c>
      <c r="H80" s="11">
        <f>'Salary Record'!I1260</f>
        <v>0</v>
      </c>
      <c r="I80" s="11">
        <f>'Salary Record'!I1259</f>
        <v>0</v>
      </c>
      <c r="J80" s="23">
        <f>'Salary Record'!K1260</f>
        <v>0</v>
      </c>
      <c r="K80" s="23">
        <f>'Salary Record'!K1261</f>
        <v>0</v>
      </c>
      <c r="L80" s="11" t="str">
        <f>'Salary Record'!G1259</f>
        <v/>
      </c>
      <c r="M80" s="11">
        <f>'Salary Record'!G1260</f>
        <v>0</v>
      </c>
      <c r="N80" s="26" t="str">
        <f>'Salary Record'!G1261</f>
        <v/>
      </c>
      <c r="O80" s="11">
        <f>'Salary Record'!G1262</f>
        <v>0</v>
      </c>
      <c r="P80" s="26" t="str">
        <f>'Salary Record'!G1263</f>
        <v/>
      </c>
      <c r="Q80" s="33">
        <f>'Salary Record'!K1263</f>
        <v>0</v>
      </c>
      <c r="R80" s="33"/>
      <c r="S80" s="33"/>
      <c r="T80" s="256"/>
    </row>
    <row r="81" spans="1:21" ht="15.6" hidden="1" x14ac:dyDescent="0.3">
      <c r="A81" s="21">
        <v>3</v>
      </c>
      <c r="B81" s="306">
        <f>'Salary Record'!C1398</f>
        <v>0</v>
      </c>
      <c r="C81" s="141"/>
      <c r="D81" s="137"/>
      <c r="E81" s="15">
        <f>'Salary Record'!K1397</f>
        <v>0</v>
      </c>
      <c r="F81" s="8">
        <f>'Salary Record'!C1403</f>
        <v>0</v>
      </c>
      <c r="G81" s="9">
        <f>'Salary Record'!C1404</f>
        <v>0</v>
      </c>
      <c r="H81" s="8">
        <f>'Salary Record'!I1402</f>
        <v>0</v>
      </c>
      <c r="I81" s="8">
        <f>'Salary Record'!I1401</f>
        <v>0</v>
      </c>
      <c r="J81" s="12">
        <f>'Salary Record'!K1402</f>
        <v>0</v>
      </c>
      <c r="K81" s="12">
        <f>'Salary Record'!K1403</f>
        <v>0</v>
      </c>
      <c r="L81" s="13">
        <f>'Salary Record'!G1401</f>
        <v>0</v>
      </c>
      <c r="M81" s="13">
        <f>'Salary Record'!G1402</f>
        <v>0</v>
      </c>
      <c r="N81" s="14">
        <f>'Salary Record'!G1403</f>
        <v>0</v>
      </c>
      <c r="O81" s="13">
        <f>'Salary Record'!G1404</f>
        <v>0</v>
      </c>
      <c r="P81" s="14">
        <f>'Salary Record'!G1405</f>
        <v>0</v>
      </c>
      <c r="Q81" s="304">
        <f>'Salary Record'!K1405</f>
        <v>0</v>
      </c>
      <c r="R81" s="249">
        <v>0</v>
      </c>
      <c r="S81" s="33"/>
      <c r="T81" s="256"/>
    </row>
    <row r="82" spans="1:21" ht="15.6" hidden="1" x14ac:dyDescent="0.3">
      <c r="A82" s="21">
        <v>4</v>
      </c>
      <c r="B82" s="28">
        <f>'Salary Record'!C1382</f>
        <v>0</v>
      </c>
      <c r="C82" s="146"/>
      <c r="D82" s="124"/>
      <c r="E82" s="15">
        <f>'Salary Record'!K1381</f>
        <v>0</v>
      </c>
      <c r="F82" s="15">
        <f>'Salary Record'!C1387</f>
        <v>0</v>
      </c>
      <c r="G82" s="29">
        <f>'Salary Record'!C1388</f>
        <v>0</v>
      </c>
      <c r="H82" s="15">
        <f>'Salary Record'!I1386</f>
        <v>0</v>
      </c>
      <c r="I82" s="15">
        <f>'Salary Record'!I1385</f>
        <v>0</v>
      </c>
      <c r="J82" s="23">
        <f>'Salary Record'!K1386</f>
        <v>0</v>
      </c>
      <c r="K82" s="23">
        <f>'Salary Record'!K1387</f>
        <v>0</v>
      </c>
      <c r="L82" s="11">
        <f>'Salary Record'!G1385</f>
        <v>0</v>
      </c>
      <c r="M82" s="25">
        <f>'Salary Record'!G1386</f>
        <v>0</v>
      </c>
      <c r="N82" s="26" t="str">
        <f>'Salary Record'!G1387</f>
        <v/>
      </c>
      <c r="O82" s="25">
        <f>'Salary Record'!G1388</f>
        <v>0</v>
      </c>
      <c r="P82" s="26" t="str">
        <f>'Salary Record'!G1389</f>
        <v/>
      </c>
      <c r="Q82" s="303">
        <f>'Salary Record'!K1389</f>
        <v>0</v>
      </c>
      <c r="R82" s="33">
        <v>0</v>
      </c>
      <c r="S82" s="33"/>
      <c r="T82" s="256"/>
    </row>
    <row r="83" spans="1:21" ht="14.4" hidden="1" x14ac:dyDescent="0.3">
      <c r="A83" s="27">
        <v>4</v>
      </c>
      <c r="B83" s="263"/>
      <c r="C83" s="141"/>
      <c r="D83" s="137"/>
      <c r="E83" s="15">
        <f>'Salary Record'!K248</f>
        <v>0</v>
      </c>
      <c r="F83" s="15">
        <f>'Salary Record'!C254</f>
        <v>0</v>
      </c>
      <c r="G83" s="29">
        <f>'Salary Record'!C255</f>
        <v>0</v>
      </c>
      <c r="H83" s="15">
        <f>'Salary Record'!I253</f>
        <v>0</v>
      </c>
      <c r="I83" s="15">
        <f>'Salary Record'!I252</f>
        <v>31</v>
      </c>
      <c r="J83" s="23">
        <f>'Salary Record'!K253</f>
        <v>0</v>
      </c>
      <c r="K83" s="23">
        <f>'Salary Record'!K254</f>
        <v>0</v>
      </c>
      <c r="L83" s="11" t="str">
        <f>'Salary Record'!G252</f>
        <v/>
      </c>
      <c r="M83" s="25">
        <f>'Salary Record'!G253</f>
        <v>0</v>
      </c>
      <c r="N83" s="26" t="str">
        <f>'Salary Record'!G254</f>
        <v/>
      </c>
      <c r="O83" s="25">
        <f>'Salary Record'!G255</f>
        <v>0</v>
      </c>
      <c r="P83" s="26" t="str">
        <f>'Salary Record'!G256</f>
        <v/>
      </c>
      <c r="Q83" s="33">
        <f>'Salary Record'!K256</f>
        <v>0</v>
      </c>
      <c r="R83" s="33">
        <v>40000</v>
      </c>
      <c r="S83" s="33">
        <f t="shared" ref="S83:S88" si="2">Q83-R83</f>
        <v>-40000</v>
      </c>
      <c r="T83" s="256"/>
      <c r="U83" s="10"/>
    </row>
    <row r="84" spans="1:21" ht="14.4" hidden="1" x14ac:dyDescent="0.3">
      <c r="A84" s="21">
        <v>5</v>
      </c>
      <c r="B84" s="250">
        <f>'Salary Record'!C804</f>
        <v>0</v>
      </c>
      <c r="C84" s="142"/>
      <c r="D84" s="135"/>
      <c r="E84" s="15">
        <f>'Salary Record'!K803</f>
        <v>0</v>
      </c>
      <c r="F84" s="15">
        <f>'Salary Record'!C809</f>
        <v>0</v>
      </c>
      <c r="G84" s="29">
        <f>'Salary Record'!C810</f>
        <v>0</v>
      </c>
      <c r="H84" s="15">
        <f>'Salary Record'!I808</f>
        <v>0</v>
      </c>
      <c r="I84" s="15">
        <f>'Salary Record'!I807</f>
        <v>31</v>
      </c>
      <c r="J84" s="23">
        <f>'Salary Record'!K808</f>
        <v>0</v>
      </c>
      <c r="K84" s="15">
        <f>'Salary Record'!K809</f>
        <v>0</v>
      </c>
      <c r="L84" s="11">
        <f>'Salary Record'!G807</f>
        <v>0</v>
      </c>
      <c r="M84" s="25">
        <f>'Salary Record'!G808</f>
        <v>0</v>
      </c>
      <c r="N84" s="26">
        <f>'Salary Record'!G809</f>
        <v>0</v>
      </c>
      <c r="O84" s="25">
        <f>'Salary Record'!G810</f>
        <v>0</v>
      </c>
      <c r="P84" s="26">
        <f>'Salary Record'!G811</f>
        <v>0</v>
      </c>
      <c r="Q84" s="33">
        <f>'Salary Record'!K811</f>
        <v>0</v>
      </c>
      <c r="R84" s="216">
        <f>Q84*75%</f>
        <v>0</v>
      </c>
      <c r="S84" s="33">
        <v>0</v>
      </c>
      <c r="T84" s="256"/>
    </row>
    <row r="85" spans="1:21" ht="14.4" hidden="1" x14ac:dyDescent="0.3">
      <c r="A85" s="21">
        <v>6</v>
      </c>
      <c r="B85" s="250">
        <f>'Salary Record'!C756</f>
        <v>0</v>
      </c>
      <c r="C85" s="165"/>
      <c r="D85" s="163"/>
      <c r="E85" s="11">
        <f>'Salary Record'!K755</f>
        <v>0</v>
      </c>
      <c r="F85" s="11">
        <f>'Salary Record'!C761</f>
        <v>0</v>
      </c>
      <c r="G85" s="31">
        <f>'Salary Record'!C762</f>
        <v>0</v>
      </c>
      <c r="H85" s="11">
        <f>'Salary Record'!I760</f>
        <v>0</v>
      </c>
      <c r="I85" s="11">
        <f>'Salary Record'!I759</f>
        <v>0</v>
      </c>
      <c r="J85" s="23">
        <f>'Salary Record'!K760</f>
        <v>0</v>
      </c>
      <c r="K85" s="23">
        <f>'Salary Record'!K761</f>
        <v>0</v>
      </c>
      <c r="L85" s="11">
        <f>'Salary Record'!G759</f>
        <v>0</v>
      </c>
      <c r="M85" s="11">
        <f>'Salary Record'!G760</f>
        <v>0</v>
      </c>
      <c r="N85" s="26">
        <f>'Salary Record'!G761</f>
        <v>0</v>
      </c>
      <c r="O85" s="11">
        <f>'Salary Record'!G762</f>
        <v>0</v>
      </c>
      <c r="P85" s="26">
        <f>'Salary Record'!G763</f>
        <v>0</v>
      </c>
      <c r="Q85" s="33">
        <f>'Salary Record'!K763</f>
        <v>0</v>
      </c>
      <c r="R85" s="216">
        <f>Q85*75%</f>
        <v>0</v>
      </c>
      <c r="S85" s="33">
        <v>0</v>
      </c>
      <c r="T85" s="256"/>
    </row>
    <row r="86" spans="1:21" hidden="1" x14ac:dyDescent="0.25"/>
    <row r="87" spans="1:21" ht="14.4" hidden="1" x14ac:dyDescent="0.3">
      <c r="A87" s="27">
        <v>3</v>
      </c>
      <c r="B87" s="28" t="str">
        <f>'Salary Record'!C576</f>
        <v>Junaid</v>
      </c>
      <c r="C87" s="153"/>
      <c r="D87" s="149"/>
      <c r="E87" s="25">
        <f>'Salary Record'!K575</f>
        <v>13000</v>
      </c>
      <c r="F87" s="25">
        <f>'Salary Record'!C581</f>
        <v>0</v>
      </c>
      <c r="G87" s="34">
        <f>'Salary Record'!C582</f>
        <v>0</v>
      </c>
      <c r="H87" s="25">
        <f>'Salary Record'!I580</f>
        <v>0</v>
      </c>
      <c r="I87" s="25">
        <f>'Salary Record'!I579</f>
        <v>0</v>
      </c>
      <c r="J87" s="23">
        <f>'Salary Record'!K580</f>
        <v>0</v>
      </c>
      <c r="K87" s="23">
        <f>'Salary Record'!K581</f>
        <v>0</v>
      </c>
      <c r="L87" s="11">
        <f>'Salary Record'!G579</f>
        <v>0</v>
      </c>
      <c r="M87" s="25">
        <f>'Salary Record'!V578</f>
        <v>0</v>
      </c>
      <c r="N87" s="26">
        <f>'Salary Record'!G581</f>
        <v>0</v>
      </c>
      <c r="O87" s="25">
        <f>'Salary Record'!G582</f>
        <v>0</v>
      </c>
      <c r="P87" s="26">
        <f>'Salary Record'!G583</f>
        <v>0</v>
      </c>
      <c r="Q87" s="33">
        <f>'Salary Record'!K583</f>
        <v>0</v>
      </c>
      <c r="R87" s="33">
        <v>12000</v>
      </c>
      <c r="S87" s="33">
        <f>Q87-R87</f>
        <v>-12000</v>
      </c>
      <c r="T87" s="256"/>
      <c r="U87" s="10"/>
    </row>
    <row r="88" spans="1:21" ht="14.4" hidden="1" x14ac:dyDescent="0.3">
      <c r="A88" s="27">
        <v>5</v>
      </c>
      <c r="B88" s="263">
        <f>'Salary Record'!C1223</f>
        <v>0</v>
      </c>
      <c r="C88" s="142"/>
      <c r="D88" s="135"/>
      <c r="E88" s="29">
        <f>'Salary Record'!K1222</f>
        <v>0</v>
      </c>
      <c r="F88" s="29">
        <f>'Salary Record'!C1228</f>
        <v>0</v>
      </c>
      <c r="G88" s="29">
        <f>'Salary Record'!C1229</f>
        <v>0</v>
      </c>
      <c r="H88" s="29">
        <f>'Salary Record'!I1227</f>
        <v>0</v>
      </c>
      <c r="I88" s="29">
        <f>'Salary Record'!I1226</f>
        <v>0</v>
      </c>
      <c r="J88" s="23">
        <f>'Salary Record'!K1227</f>
        <v>0</v>
      </c>
      <c r="K88" s="23">
        <f>'Salary Record'!K1228</f>
        <v>0</v>
      </c>
      <c r="L88" s="11">
        <f>'Salary Record'!G1226</f>
        <v>0</v>
      </c>
      <c r="M88" s="25">
        <f>'Salary Record'!G1227</f>
        <v>0</v>
      </c>
      <c r="N88" s="26">
        <f>'Salary Record'!G1228</f>
        <v>0</v>
      </c>
      <c r="O88" s="25">
        <f>'Salary Record'!G1229</f>
        <v>0</v>
      </c>
      <c r="P88" s="26">
        <f>'Salary Record'!G1230</f>
        <v>0</v>
      </c>
      <c r="Q88" s="33">
        <f>'Salary Record'!K1230</f>
        <v>0</v>
      </c>
      <c r="R88" s="33">
        <v>10000</v>
      </c>
      <c r="S88" s="33">
        <f t="shared" si="2"/>
        <v>-10000</v>
      </c>
      <c r="T88" s="256"/>
      <c r="U88" s="10"/>
    </row>
    <row r="89" spans="1:21" ht="14.4" hidden="1" x14ac:dyDescent="0.3">
      <c r="A89" s="27">
        <v>9</v>
      </c>
      <c r="B89" s="250">
        <f>'Salary Record'!C295</f>
        <v>0</v>
      </c>
      <c r="C89" s="141"/>
      <c r="D89" s="137"/>
      <c r="E89" s="15">
        <f>'Salary Record'!K294</f>
        <v>0</v>
      </c>
      <c r="F89" s="15">
        <f>'Salary Record'!C300</f>
        <v>0</v>
      </c>
      <c r="G89" s="29">
        <f>'Salary Record'!C301</f>
        <v>0</v>
      </c>
      <c r="H89" s="15">
        <f>'Salary Record'!I299</f>
        <v>0</v>
      </c>
      <c r="I89" s="15">
        <f>'Salary Record'!I298</f>
        <v>0</v>
      </c>
      <c r="J89" s="104">
        <f>'Salary Record'!K299</f>
        <v>0</v>
      </c>
      <c r="K89" s="104">
        <f>'Salary Record'!K300</f>
        <v>0</v>
      </c>
      <c r="L89" s="105">
        <f>'Salary Record'!G298</f>
        <v>0</v>
      </c>
      <c r="M89" s="126">
        <f>'Salary Record'!G299</f>
        <v>0</v>
      </c>
      <c r="N89" s="127">
        <f>'Salary Record'!G300</f>
        <v>0</v>
      </c>
      <c r="O89" s="126">
        <f>'Salary Record'!G301</f>
        <v>0</v>
      </c>
      <c r="P89" s="127">
        <f>'Salary Record'!G302</f>
        <v>0</v>
      </c>
      <c r="Q89" s="195">
        <f>'Salary Record'!K302</f>
        <v>0</v>
      </c>
      <c r="R89" s="33"/>
      <c r="S89" s="33">
        <f>Q89-R89</f>
        <v>0</v>
      </c>
      <c r="T89" s="256"/>
    </row>
    <row r="90" spans="1:21" ht="14.4" hidden="1" x14ac:dyDescent="0.3">
      <c r="A90" s="27">
        <v>3</v>
      </c>
      <c r="B90" s="250">
        <f>'Salary Record'!C201</f>
        <v>0</v>
      </c>
      <c r="C90" s="153"/>
      <c r="D90" s="149"/>
      <c r="E90" s="25">
        <f>'Salary Record'!K200</f>
        <v>0</v>
      </c>
      <c r="F90" s="25">
        <f>'Salary Record'!C206</f>
        <v>0</v>
      </c>
      <c r="G90" s="34">
        <f>'Salary Record'!C207</f>
        <v>0</v>
      </c>
      <c r="H90" s="25">
        <f>'Salary Record'!I205</f>
        <v>12</v>
      </c>
      <c r="I90" s="25">
        <f>'Salary Record'!I204</f>
        <v>28</v>
      </c>
      <c r="J90" s="23">
        <f>'Salary Record'!K205</f>
        <v>0</v>
      </c>
      <c r="K90" s="23">
        <f>'Salary Record'!K206</f>
        <v>0</v>
      </c>
      <c r="L90" s="11">
        <f>'Salary Record'!G204</f>
        <v>0</v>
      </c>
      <c r="M90" s="25">
        <f>'Salary Record'!G205</f>
        <v>0</v>
      </c>
      <c r="N90" s="26">
        <f>'Salary Record'!G206</f>
        <v>0</v>
      </c>
      <c r="O90" s="25">
        <f>'Salary Record'!G207</f>
        <v>0</v>
      </c>
      <c r="P90" s="26">
        <f>'Salary Record'!G208</f>
        <v>0</v>
      </c>
      <c r="Q90" s="33">
        <f>'Salary Record'!K208</f>
        <v>0</v>
      </c>
      <c r="R90" s="33"/>
      <c r="S90" s="33">
        <f>Q90-R90</f>
        <v>0</v>
      </c>
      <c r="T90" s="256"/>
    </row>
    <row r="91" spans="1:21" ht="15.6" hidden="1" x14ac:dyDescent="0.3">
      <c r="A91" s="21">
        <v>3</v>
      </c>
      <c r="B91" s="28" t="str">
        <f>'Salary Record'!C1430</f>
        <v>Imran S/O Feroz</v>
      </c>
      <c r="C91" s="142"/>
      <c r="D91" s="135"/>
      <c r="E91" s="15">
        <f>'Salary Record'!K1429</f>
        <v>25000</v>
      </c>
      <c r="F91" s="15">
        <f>'Salary Record'!C1435</f>
        <v>0</v>
      </c>
      <c r="G91" s="29">
        <f>'Salary Record'!C1436</f>
        <v>0</v>
      </c>
      <c r="H91" s="15">
        <f>'Salary Record'!I1434</f>
        <v>18</v>
      </c>
      <c r="I91" s="15">
        <f>'Salary Record'!I1433</f>
        <v>31</v>
      </c>
      <c r="J91" s="23">
        <f>'Salary Record'!K1434</f>
        <v>1814.516129032258</v>
      </c>
      <c r="K91" s="15">
        <f>'Salary Record'!K1435</f>
        <v>26814.516129032258</v>
      </c>
      <c r="L91" s="11">
        <f>'Salary Record'!G1433</f>
        <v>0</v>
      </c>
      <c r="M91" s="25">
        <f>'Salary Record'!G1434</f>
        <v>0</v>
      </c>
      <c r="N91" s="26">
        <f>'Salary Record'!G1435</f>
        <v>0</v>
      </c>
      <c r="O91" s="25">
        <f>'Salary Record'!G1436</f>
        <v>0</v>
      </c>
      <c r="P91" s="26">
        <f>'Salary Record'!G1437</f>
        <v>0</v>
      </c>
      <c r="Q91" s="295">
        <f>'Salary Record'!K1437</f>
        <v>0</v>
      </c>
      <c r="R91" s="33"/>
      <c r="S91" s="33"/>
      <c r="T91" s="256"/>
      <c r="U91" s="10"/>
    </row>
    <row r="92" spans="1:21" ht="14.4" hidden="1" x14ac:dyDescent="0.3">
      <c r="A92" s="21">
        <v>7</v>
      </c>
      <c r="B92" s="28">
        <f>'Salary Record'!C853</f>
        <v>0</v>
      </c>
      <c r="C92" s="148"/>
      <c r="D92" s="149"/>
      <c r="E92" s="29">
        <f>'Salary Record'!K852</f>
        <v>0</v>
      </c>
      <c r="F92" s="29">
        <f>'Salary Record'!C858</f>
        <v>0</v>
      </c>
      <c r="G92" s="29">
        <f>'Salary Record'!C859</f>
        <v>0</v>
      </c>
      <c r="H92" s="29">
        <f>'Salary Record'!I857</f>
        <v>0</v>
      </c>
      <c r="I92" s="29">
        <f>'Salary Record'!I856</f>
        <v>0</v>
      </c>
      <c r="J92" s="23">
        <f>'Salary Record'!K857</f>
        <v>0</v>
      </c>
      <c r="K92" s="23">
        <f>'Salary Record'!K858</f>
        <v>0</v>
      </c>
      <c r="L92" s="11">
        <f>'Salary Record'!G856</f>
        <v>0</v>
      </c>
      <c r="M92" s="25">
        <f>'Salary Record'!G857</f>
        <v>0</v>
      </c>
      <c r="N92" s="26" t="str">
        <f>'Salary Record'!G858</f>
        <v/>
      </c>
      <c r="O92" s="25">
        <f>'Salary Record'!G859</f>
        <v>0</v>
      </c>
      <c r="P92" s="26" t="str">
        <f>'Salary Record'!G860</f>
        <v/>
      </c>
      <c r="Q92" s="33">
        <f>'Salary Record'!K860</f>
        <v>0</v>
      </c>
      <c r="R92" s="33"/>
      <c r="S92" s="33"/>
      <c r="T92" s="256"/>
    </row>
    <row r="93" spans="1:21" ht="14.4" hidden="1" x14ac:dyDescent="0.3">
      <c r="A93" s="21">
        <v>9</v>
      </c>
      <c r="B93" s="250">
        <f>'Salary Record'!C1011</f>
        <v>0</v>
      </c>
      <c r="C93" s="148"/>
      <c r="D93" s="151"/>
      <c r="E93" s="11">
        <f>'Salary Record'!K1010</f>
        <v>0</v>
      </c>
      <c r="F93" s="11">
        <f>'Salary Record'!C1016</f>
        <v>0</v>
      </c>
      <c r="G93" s="31">
        <f>'Salary Record'!C1017</f>
        <v>0</v>
      </c>
      <c r="H93" s="11">
        <f>'Salary Record'!I1015</f>
        <v>0</v>
      </c>
      <c r="I93" s="11">
        <f>'Salary Record'!I1014</f>
        <v>0</v>
      </c>
      <c r="J93" s="23">
        <f>'Salary Record'!K1015</f>
        <v>0</v>
      </c>
      <c r="K93" s="15">
        <f>'Salary Record'!K1016</f>
        <v>0</v>
      </c>
      <c r="L93" s="11">
        <f>'Salary Record'!G1014</f>
        <v>0</v>
      </c>
      <c r="M93" s="11">
        <f>'Salary Record'!G1015</f>
        <v>0</v>
      </c>
      <c r="N93" s="11">
        <f>'Salary Record'!G1016</f>
        <v>0</v>
      </c>
      <c r="O93" s="11">
        <f>'Salary Record'!G1017</f>
        <v>0</v>
      </c>
      <c r="P93" s="11">
        <f>'Salary Record'!G1018</f>
        <v>0</v>
      </c>
      <c r="Q93" s="33">
        <f>'Salary Record'!K1018</f>
        <v>0</v>
      </c>
      <c r="R93" s="33"/>
      <c r="S93" s="33">
        <f>Q93-R93</f>
        <v>0</v>
      </c>
      <c r="T93" s="256"/>
      <c r="U93" s="10"/>
    </row>
    <row r="94" spans="1:21" ht="14.4" hidden="1" x14ac:dyDescent="0.3">
      <c r="A94" s="27">
        <v>16</v>
      </c>
      <c r="B94" s="247">
        <f>'Salary Record'!C419</f>
        <v>0</v>
      </c>
      <c r="C94" s="142"/>
      <c r="D94" s="135"/>
      <c r="E94" s="29">
        <f>'Salary Record'!K418</f>
        <v>0</v>
      </c>
      <c r="F94" s="29">
        <f>'Salary Record'!C424</f>
        <v>0</v>
      </c>
      <c r="G94" s="29">
        <f>'Salary Record'!C425</f>
        <v>0</v>
      </c>
      <c r="H94" s="29">
        <f>'Salary Record'!I423</f>
        <v>0</v>
      </c>
      <c r="I94" s="29">
        <f>'Salary Record'!I422</f>
        <v>0</v>
      </c>
      <c r="J94" s="23">
        <f>'Salary Record'!K423</f>
        <v>0</v>
      </c>
      <c r="K94" s="23">
        <f>'Salary Record'!K424</f>
        <v>0</v>
      </c>
      <c r="L94" s="11">
        <f>'Salary Record'!G422</f>
        <v>0</v>
      </c>
      <c r="M94" s="25">
        <f>'Salary Record'!G423</f>
        <v>0</v>
      </c>
      <c r="N94" s="26">
        <f>'Salary Record'!G424</f>
        <v>0</v>
      </c>
      <c r="O94" s="25">
        <f>'Salary Record'!G425</f>
        <v>0</v>
      </c>
      <c r="P94" s="26">
        <f>'Salary Record'!G426</f>
        <v>0</v>
      </c>
      <c r="Q94" s="244">
        <f>'Salary Record'!K426</f>
        <v>0</v>
      </c>
      <c r="R94" s="244"/>
      <c r="S94" s="244"/>
      <c r="T94" s="260"/>
      <c r="U94" s="10"/>
    </row>
    <row r="95" spans="1:21" ht="14.4" hidden="1" x14ac:dyDescent="0.3">
      <c r="A95" s="21">
        <v>7</v>
      </c>
      <c r="B95" s="250">
        <f>'Salary Record'!C403</f>
        <v>0</v>
      </c>
      <c r="C95" s="141"/>
      <c r="D95" s="137"/>
      <c r="E95" s="29">
        <f>'Salary Record'!K402</f>
        <v>0</v>
      </c>
      <c r="F95" s="29">
        <f>'Salary Record'!C408</f>
        <v>0</v>
      </c>
      <c r="G95" s="29">
        <f>'Salary Record'!C409</f>
        <v>0</v>
      </c>
      <c r="H95" s="29">
        <f>'Salary Record'!I407</f>
        <v>0</v>
      </c>
      <c r="I95" s="29">
        <f>'Salary Record'!I406</f>
        <v>31</v>
      </c>
      <c r="J95" s="104">
        <f>'Salary Record'!K407</f>
        <v>0</v>
      </c>
      <c r="K95" s="104">
        <f>'Salary Record'!K408</f>
        <v>0</v>
      </c>
      <c r="L95" s="105">
        <f>'Salary Record'!G406</f>
        <v>0</v>
      </c>
      <c r="M95" s="126">
        <f>'Salary Record'!G407</f>
        <v>0</v>
      </c>
      <c r="N95" s="127" t="str">
        <f>'Salary Record'!G408</f>
        <v/>
      </c>
      <c r="O95" s="126">
        <f>'Salary Record'!G409</f>
        <v>0</v>
      </c>
      <c r="P95" s="127" t="str">
        <f>'Salary Record'!G410</f>
        <v/>
      </c>
      <c r="Q95" s="195">
        <f>'Salary Record'!K410</f>
        <v>0</v>
      </c>
      <c r="R95" s="33">
        <v>0</v>
      </c>
      <c r="S95" s="33">
        <f>Q95-R95</f>
        <v>0</v>
      </c>
      <c r="T95" s="256"/>
    </row>
    <row r="96" spans="1:21" ht="14.4" hidden="1" x14ac:dyDescent="0.3">
      <c r="A96" s="21"/>
      <c r="B96" s="28"/>
      <c r="C96" s="171" t="s">
        <v>38</v>
      </c>
      <c r="D96" s="173">
        <f>SUM(Q22:Q67)</f>
        <v>1251393.1451612902</v>
      </c>
      <c r="E96" s="25">
        <f>'Salary Record'!K979</f>
        <v>0</v>
      </c>
      <c r="F96" s="25">
        <f>'Salary Record'!C985</f>
        <v>0</v>
      </c>
      <c r="G96" s="34">
        <f>'Salary Record'!C986</f>
        <v>0</v>
      </c>
      <c r="H96" s="25">
        <f>'Salary Record'!I984</f>
        <v>0</v>
      </c>
      <c r="I96" s="25">
        <f>'Salary Record'!I983</f>
        <v>0</v>
      </c>
      <c r="J96" s="23">
        <f>'Salary Record'!K984</f>
        <v>0</v>
      </c>
      <c r="K96" s="23">
        <f>'Salary Record'!K985</f>
        <v>0</v>
      </c>
      <c r="L96" s="11">
        <f>'Salary Record'!G983</f>
        <v>0</v>
      </c>
      <c r="M96" s="25">
        <f>'Salary Record'!G984</f>
        <v>0</v>
      </c>
      <c r="N96" s="26">
        <f>'Salary Record'!G985</f>
        <v>0</v>
      </c>
      <c r="O96" s="25">
        <f>'Salary Record'!G986</f>
        <v>0</v>
      </c>
      <c r="P96" s="26">
        <f>'Salary Record'!G987</f>
        <v>0</v>
      </c>
      <c r="Q96" s="33">
        <f>'Salary Record'!K987</f>
        <v>0</v>
      </c>
      <c r="R96" s="33"/>
      <c r="S96" s="33"/>
      <c r="T96" s="256"/>
    </row>
    <row r="97" spans="1:26" hidden="1" x14ac:dyDescent="0.25"/>
    <row r="98" spans="1:26" ht="14.4" hidden="1" x14ac:dyDescent="0.3">
      <c r="A98" s="21"/>
      <c r="B98" s="28">
        <f>'Salary Record'!C1446</f>
        <v>0</v>
      </c>
      <c r="C98" s="142"/>
      <c r="D98" s="135"/>
      <c r="E98" s="15">
        <f>'Salary Record'!K1445</f>
        <v>0</v>
      </c>
      <c r="F98" s="15">
        <f>'Salary Record'!C1451</f>
        <v>0</v>
      </c>
      <c r="G98" s="29">
        <f>'Salary Record'!C1452</f>
        <v>0</v>
      </c>
      <c r="H98" s="15">
        <f>'Salary Record'!I1450</f>
        <v>0</v>
      </c>
      <c r="I98" s="15">
        <f>'Salary Record'!I1449</f>
        <v>31</v>
      </c>
      <c r="J98" s="23">
        <f>'Salary Record'!K1450</f>
        <v>0</v>
      </c>
      <c r="K98" s="15">
        <f>'Salary Record'!K1451</f>
        <v>0</v>
      </c>
      <c r="L98" s="11" t="str">
        <f>'Salary Record'!G1449</f>
        <v/>
      </c>
      <c r="M98" s="25">
        <f>'Salary Record'!G1450</f>
        <v>0</v>
      </c>
      <c r="N98" s="26" t="str">
        <f>'Salary Record'!G1451</f>
        <v/>
      </c>
      <c r="O98" s="25">
        <f>'Salary Record'!G1452</f>
        <v>0</v>
      </c>
      <c r="P98" s="26" t="str">
        <f>'Salary Record'!G1453</f>
        <v/>
      </c>
      <c r="Q98" s="33">
        <f>'Salary Record'!K1453</f>
        <v>0</v>
      </c>
      <c r="R98" s="33"/>
      <c r="S98" s="33"/>
      <c r="T98" s="256"/>
    </row>
    <row r="99" spans="1:26" ht="15.6" x14ac:dyDescent="0.3">
      <c r="A99" s="341" t="s">
        <v>198</v>
      </c>
      <c r="B99" s="342"/>
      <c r="C99" s="342"/>
      <c r="D99" s="342"/>
      <c r="E99" s="342"/>
      <c r="F99" s="342"/>
      <c r="G99" s="342"/>
      <c r="H99" s="342"/>
      <c r="I99" s="342"/>
      <c r="J99" s="342"/>
      <c r="K99" s="342"/>
      <c r="L99" s="342"/>
      <c r="M99" s="342"/>
      <c r="N99" s="342"/>
      <c r="O99" s="342"/>
      <c r="P99" s="342"/>
      <c r="Q99" s="343"/>
      <c r="R99" s="289"/>
      <c r="S99" s="289"/>
      <c r="T99" s="257"/>
    </row>
    <row r="100" spans="1:26" ht="15.6" x14ac:dyDescent="0.3">
      <c r="A100" s="27">
        <v>1</v>
      </c>
      <c r="B100" s="335" t="str">
        <f>'Salary Record'!C168</f>
        <v>Zeeshan AC</v>
      </c>
      <c r="C100" s="153"/>
      <c r="D100" s="149"/>
      <c r="E100" s="30">
        <f>'Salary Record'!K167</f>
        <v>28000</v>
      </c>
      <c r="F100" s="15">
        <f>'Salary Record'!C173</f>
        <v>25</v>
      </c>
      <c r="G100" s="29">
        <f>'Salary Record'!C174</f>
        <v>6</v>
      </c>
      <c r="H100" s="15">
        <f>'Salary Record'!I172</f>
        <v>38</v>
      </c>
      <c r="I100" s="15">
        <f>'Salary Record'!I171</f>
        <v>31</v>
      </c>
      <c r="J100" s="23">
        <f>'Salary Record'!K172</f>
        <v>4903.2258064516127</v>
      </c>
      <c r="K100" s="15">
        <f>'Salary Record'!K173</f>
        <v>32903.225806451614</v>
      </c>
      <c r="L100" s="11">
        <f>'Salary Record'!G171</f>
        <v>15000</v>
      </c>
      <c r="M100" s="11">
        <f>'Salary Record'!G172</f>
        <v>0</v>
      </c>
      <c r="N100" s="11">
        <f>'Salary Record'!G173</f>
        <v>15000</v>
      </c>
      <c r="O100" s="11">
        <f>'Salary Record'!G174</f>
        <v>5000</v>
      </c>
      <c r="P100" s="11">
        <f>'Salary Record'!G175</f>
        <v>10000</v>
      </c>
      <c r="Q100" s="295">
        <f>'Salary Record'!K175</f>
        <v>27903.225806451614</v>
      </c>
      <c r="R100" s="33"/>
      <c r="S100" s="33"/>
      <c r="T100" s="256"/>
      <c r="U100" s="10"/>
    </row>
    <row r="101" spans="1:26" s="217" customFormat="1" ht="15.6" x14ac:dyDescent="0.3">
      <c r="A101" s="27">
        <v>2</v>
      </c>
      <c r="B101" s="336" t="str">
        <f>'Salary Record'!C1207</f>
        <v>Mujeeb Rehman</v>
      </c>
      <c r="C101" s="213"/>
      <c r="D101" s="215"/>
      <c r="E101" s="15">
        <f>'Salary Record'!K1206</f>
        <v>15000</v>
      </c>
      <c r="F101" s="15">
        <f>'Salary Record'!C1212</f>
        <v>29</v>
      </c>
      <c r="G101" s="29">
        <f>'Salary Record'!C1213</f>
        <v>2</v>
      </c>
      <c r="H101" s="133">
        <f>'Salary Record'!I1211</f>
        <v>50</v>
      </c>
      <c r="I101" s="15">
        <f>'Salary Record'!I1210</f>
        <v>29</v>
      </c>
      <c r="J101" s="29">
        <f>'Salary Record'!K1211</f>
        <v>3024.1935483870966</v>
      </c>
      <c r="K101" s="29">
        <f>'Salary Record'!K1212</f>
        <v>17056.451612903227</v>
      </c>
      <c r="L101" s="216">
        <f>'Salary Record'!G1210</f>
        <v>0</v>
      </c>
      <c r="M101" s="15">
        <f>'Salary Record'!G1211</f>
        <v>0</v>
      </c>
      <c r="N101" s="116">
        <f>'Salary Record'!G1212</f>
        <v>0</v>
      </c>
      <c r="O101" s="15">
        <f>'Salary Record'!G1213</f>
        <v>0</v>
      </c>
      <c r="P101" s="116">
        <f>'Salary Record'!G1214</f>
        <v>0</v>
      </c>
      <c r="Q101" s="33">
        <f>'Salary Record'!K1214</f>
        <v>17056.451612903227</v>
      </c>
      <c r="R101" s="33">
        <v>18000</v>
      </c>
      <c r="S101" s="33">
        <f>Q101-R101</f>
        <v>-943.54838709677279</v>
      </c>
      <c r="T101" s="256"/>
      <c r="V101" s="218"/>
    </row>
    <row r="102" spans="1:26" ht="15" customHeight="1" x14ac:dyDescent="0.3">
      <c r="A102" s="21">
        <v>3</v>
      </c>
      <c r="B102" s="28" t="s">
        <v>13</v>
      </c>
      <c r="C102" s="123" t="s">
        <v>106</v>
      </c>
      <c r="D102" s="124">
        <f>SUM(Q102:Q102)</f>
        <v>0</v>
      </c>
      <c r="E102" s="15">
        <f>'Salary Record'!K771</f>
        <v>30000</v>
      </c>
      <c r="F102" s="15">
        <f>'Salary Record'!C777</f>
        <v>0</v>
      </c>
      <c r="G102" s="29">
        <f>'Salary Record'!C778</f>
        <v>0</v>
      </c>
      <c r="H102" s="15">
        <f>'Salary Record'!I776</f>
        <v>0</v>
      </c>
      <c r="I102" s="15">
        <f>'Salary Record'!I775</f>
        <v>0</v>
      </c>
      <c r="J102" s="23">
        <f>'Salary Record'!K776</f>
        <v>0</v>
      </c>
      <c r="K102" s="15">
        <f>'Salary Record'!K777</f>
        <v>0</v>
      </c>
      <c r="L102" s="11">
        <f>'Salary Record'!G775</f>
        <v>43000</v>
      </c>
      <c r="M102" s="25">
        <f>'Salary Record'!G776</f>
        <v>0</v>
      </c>
      <c r="N102" s="26">
        <f>'Salary Record'!G777</f>
        <v>43000</v>
      </c>
      <c r="O102" s="15">
        <f>'Salary Record'!G778</f>
        <v>0</v>
      </c>
      <c r="P102" s="26">
        <f>'Salary Record'!G779</f>
        <v>43000</v>
      </c>
      <c r="Q102" s="295">
        <f>'Salary Record'!K779</f>
        <v>0</v>
      </c>
      <c r="R102" s="33"/>
      <c r="S102" s="33"/>
      <c r="T102" s="256"/>
      <c r="U102" s="10"/>
    </row>
    <row r="103" spans="1:26" ht="15.6" x14ac:dyDescent="0.3">
      <c r="A103" s="27">
        <v>4</v>
      </c>
      <c r="B103" s="28" t="str">
        <f>'Salary Record'!C1191</f>
        <v>Shaheryar</v>
      </c>
      <c r="C103" s="20"/>
      <c r="D103" s="117"/>
      <c r="E103" s="11">
        <f>'Salary Record'!K1190</f>
        <v>19000</v>
      </c>
      <c r="F103" s="11">
        <f>'Salary Record'!C1196</f>
        <v>0</v>
      </c>
      <c r="G103" s="31">
        <f>'Salary Record'!C1197</f>
        <v>0</v>
      </c>
      <c r="H103" s="11">
        <f>'Salary Record'!I1195</f>
        <v>0</v>
      </c>
      <c r="I103" s="11">
        <f>'Salary Record'!I1194</f>
        <v>0</v>
      </c>
      <c r="J103" s="23">
        <f>'Salary Record'!K1195</f>
        <v>0</v>
      </c>
      <c r="K103" s="23">
        <f>'Salary Record'!K1196</f>
        <v>0</v>
      </c>
      <c r="L103" s="11">
        <f>'Salary Record'!G1194</f>
        <v>7000</v>
      </c>
      <c r="M103" s="105">
        <f>'Salary Record'!G1195</f>
        <v>0</v>
      </c>
      <c r="N103" s="106">
        <f>'Salary Record'!G1196</f>
        <v>7000</v>
      </c>
      <c r="O103" s="105">
        <f>'Salary Record'!G1197</f>
        <v>0</v>
      </c>
      <c r="P103" s="106">
        <f>'Salary Record'!G1198</f>
        <v>7000</v>
      </c>
      <c r="Q103" s="296">
        <f>'Salary Record'!K1198</f>
        <v>0</v>
      </c>
      <c r="R103" s="33">
        <v>0</v>
      </c>
      <c r="S103" s="33">
        <f t="shared" ref="S103" si="3">Q103-R103</f>
        <v>0</v>
      </c>
      <c r="T103" s="256"/>
      <c r="U103" s="10"/>
      <c r="X103" s="2"/>
      <c r="Z103" s="2"/>
    </row>
    <row r="104" spans="1:26" ht="15.6" x14ac:dyDescent="0.3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298">
        <f>SUM(Q100:Q103)</f>
        <v>44959.677419354841</v>
      </c>
      <c r="R104" s="145">
        <f>SUM(R71:R103)</f>
        <v>80000</v>
      </c>
      <c r="S104" s="145">
        <f>SUM(S71:S103)</f>
        <v>-62943.548387096773</v>
      </c>
      <c r="T104" s="258"/>
      <c r="U104" s="10"/>
      <c r="W104" s="10"/>
    </row>
    <row r="105" spans="1:26" ht="20.399999999999999" customHeight="1" x14ac:dyDescent="0.3">
      <c r="A105" s="264"/>
      <c r="B105" s="264" t="s">
        <v>156</v>
      </c>
      <c r="C105" s="264"/>
      <c r="D105" s="264"/>
      <c r="E105" s="264"/>
      <c r="F105" s="264"/>
      <c r="G105" s="264"/>
      <c r="H105" s="264"/>
      <c r="I105" s="264"/>
      <c r="J105" s="264"/>
      <c r="K105" s="186"/>
      <c r="L105" s="186"/>
      <c r="M105" s="186"/>
      <c r="N105" s="186"/>
      <c r="O105" s="186"/>
      <c r="P105" s="293">
        <f>SUM(P4:P104)</f>
        <v>632230</v>
      </c>
      <c r="Q105" s="302">
        <f>SUM(Q4+Q5+Q104+Q78+Q68+Q62+Q54+Q46+Q30+Q22+Q18+Q11)</f>
        <v>1167603.8306451614</v>
      </c>
      <c r="R105" s="145">
        <f ca="1">SUM(R4+R5+R104+R78+R68+R62+R54+R46+R30+R22+R18+R11)</f>
        <v>107000</v>
      </c>
      <c r="S105" s="145">
        <f>SUM(S4+S5+S104+S78+S68+S62+S54+S46+S30+S22+S18+S11)</f>
        <v>6501.6129032258104</v>
      </c>
      <c r="T105" s="258"/>
      <c r="U105" s="10"/>
      <c r="W105" s="10"/>
    </row>
    <row r="106" spans="1:26" ht="15.6" x14ac:dyDescent="0.3">
      <c r="J106" s="170"/>
      <c r="K106" s="340" t="s">
        <v>117</v>
      </c>
      <c r="L106" s="340"/>
      <c r="M106" s="340"/>
      <c r="N106" s="340"/>
      <c r="O106" s="340"/>
      <c r="P106" s="340"/>
      <c r="Q106" s="161">
        <v>50000</v>
      </c>
      <c r="R106" s="161"/>
      <c r="S106" s="161"/>
      <c r="T106" s="261"/>
      <c r="U106" s="10">
        <f>Q66+Q77+Q76+Q75+Q74+Q73+Q32+Q35</f>
        <v>174270.16129032258</v>
      </c>
      <c r="X106" s="2"/>
      <c r="Y106" s="2"/>
      <c r="Z106" s="2"/>
    </row>
    <row r="107" spans="1:26" ht="20.399999999999999" x14ac:dyDescent="0.3">
      <c r="B107" s="358"/>
      <c r="C107" s="359"/>
      <c r="D107" s="359"/>
      <c r="E107" s="359"/>
      <c r="F107" s="359"/>
      <c r="G107" s="359"/>
      <c r="H107" s="359"/>
      <c r="I107" s="360"/>
      <c r="J107" s="170"/>
      <c r="K107" s="340" t="s">
        <v>96</v>
      </c>
      <c r="L107" s="340"/>
      <c r="M107" s="340"/>
      <c r="N107" s="340"/>
      <c r="O107" s="340"/>
      <c r="P107" s="340"/>
      <c r="Q107" s="301">
        <f>Q105-Q106</f>
        <v>1117603.8306451614</v>
      </c>
      <c r="R107" s="190"/>
      <c r="S107" s="292">
        <f>S105-S106</f>
        <v>6501.6129032258104</v>
      </c>
      <c r="T107" s="262"/>
      <c r="U107" s="10"/>
      <c r="X107" s="2"/>
      <c r="Y107" s="2"/>
      <c r="Z107" s="2"/>
    </row>
    <row r="108" spans="1:26" ht="21" x14ac:dyDescent="0.4">
      <c r="B108" s="344" t="s">
        <v>128</v>
      </c>
      <c r="C108" s="345"/>
      <c r="D108" s="345"/>
      <c r="E108" s="345"/>
      <c r="F108" s="345"/>
      <c r="G108" s="345"/>
      <c r="H108" s="345"/>
      <c r="I108" s="345"/>
      <c r="J108" s="345"/>
      <c r="K108" s="345"/>
      <c r="L108" s="345"/>
      <c r="M108"/>
      <c r="N108"/>
      <c r="O108"/>
      <c r="P108"/>
      <c r="T108"/>
      <c r="V108"/>
    </row>
    <row r="109" spans="1:26" ht="13.8" x14ac:dyDescent="0.25">
      <c r="B109" s="290" t="s">
        <v>129</v>
      </c>
      <c r="C109" s="291" t="s">
        <v>180</v>
      </c>
      <c r="D109" s="291" t="s">
        <v>178</v>
      </c>
      <c r="E109" s="291" t="s">
        <v>179</v>
      </c>
      <c r="F109" s="291" t="s">
        <v>194</v>
      </c>
      <c r="G109" s="291" t="s">
        <v>196</v>
      </c>
      <c r="H109" s="291" t="s">
        <v>199</v>
      </c>
      <c r="I109" s="291" t="s">
        <v>206</v>
      </c>
      <c r="J109" s="291" t="s">
        <v>251</v>
      </c>
      <c r="K109" s="291" t="s">
        <v>266</v>
      </c>
      <c r="L109" s="290" t="s">
        <v>138</v>
      </c>
      <c r="N109" s="19"/>
      <c r="P109" s="2"/>
      <c r="Q109" s="188"/>
      <c r="R109" s="2"/>
      <c r="S109" s="2"/>
      <c r="T109"/>
      <c r="V109"/>
    </row>
    <row r="110" spans="1:26" x14ac:dyDescent="0.25">
      <c r="B110" s="276" t="s">
        <v>130</v>
      </c>
      <c r="C110" s="277">
        <v>100000</v>
      </c>
      <c r="D110" s="278">
        <v>100000</v>
      </c>
      <c r="E110" s="278">
        <v>100000</v>
      </c>
      <c r="F110" s="278">
        <v>100000</v>
      </c>
      <c r="G110" s="278">
        <v>100000</v>
      </c>
      <c r="H110" s="278">
        <v>100000</v>
      </c>
      <c r="I110" s="278">
        <v>100000</v>
      </c>
      <c r="J110" s="278">
        <v>100000</v>
      </c>
      <c r="K110" s="278">
        <f>Q4+Q5</f>
        <v>100000</v>
      </c>
      <c r="L110" s="277">
        <f t="shared" ref="L110:L120" si="4">K110-J110</f>
        <v>0</v>
      </c>
      <c r="N110" s="19"/>
      <c r="P110" s="2"/>
      <c r="Q110" s="188"/>
      <c r="R110" s="2"/>
      <c r="S110" s="2"/>
      <c r="T110" s="10"/>
      <c r="V110"/>
    </row>
    <row r="111" spans="1:26" x14ac:dyDescent="0.25">
      <c r="B111" s="274" t="s">
        <v>41</v>
      </c>
      <c r="C111" s="270">
        <v>60000</v>
      </c>
      <c r="D111" s="269">
        <v>60000</v>
      </c>
      <c r="E111" s="269">
        <v>60000</v>
      </c>
      <c r="F111" s="269">
        <v>60000</v>
      </c>
      <c r="G111" s="269">
        <v>60000</v>
      </c>
      <c r="H111" s="269">
        <v>60000</v>
      </c>
      <c r="I111" s="269">
        <v>60000</v>
      </c>
      <c r="J111" s="269">
        <v>60000</v>
      </c>
      <c r="K111" s="269">
        <f>Q11</f>
        <v>60000</v>
      </c>
      <c r="L111" s="277">
        <f t="shared" si="4"/>
        <v>0</v>
      </c>
      <c r="N111" s="188"/>
      <c r="P111" s="2"/>
      <c r="Q111" s="188"/>
      <c r="R111" s="2"/>
      <c r="S111" s="2"/>
      <c r="T111"/>
      <c r="V111"/>
    </row>
    <row r="112" spans="1:26" x14ac:dyDescent="0.25">
      <c r="B112" s="273" t="s">
        <v>39</v>
      </c>
      <c r="C112" s="268">
        <v>73206</v>
      </c>
      <c r="D112" s="269">
        <v>87000</v>
      </c>
      <c r="E112" s="269">
        <v>65000</v>
      </c>
      <c r="F112" s="269">
        <v>67000</v>
      </c>
      <c r="G112" s="269">
        <v>65000</v>
      </c>
      <c r="H112" s="269">
        <v>66000</v>
      </c>
      <c r="I112" s="269">
        <v>88000</v>
      </c>
      <c r="J112" s="269">
        <v>103489.58333333333</v>
      </c>
      <c r="K112" s="269">
        <f>Q18</f>
        <v>87822.580645161288</v>
      </c>
      <c r="L112" s="277">
        <f t="shared" si="4"/>
        <v>-15667.002688172041</v>
      </c>
      <c r="N112" s="188"/>
      <c r="P112" s="2"/>
      <c r="Q112" s="188"/>
      <c r="R112" s="2">
        <f>Q104+Q78+Q68+Q62+Q54+Q46+Q30+Q22+Q18+Q5</f>
        <v>1057603.8306451612</v>
      </c>
      <c r="S112" s="2"/>
      <c r="T112"/>
      <c r="V112"/>
    </row>
    <row r="113" spans="2:22" x14ac:dyDescent="0.25">
      <c r="B113" s="273" t="s">
        <v>131</v>
      </c>
      <c r="C113" s="268">
        <v>147448.27586206896</v>
      </c>
      <c r="D113" s="269">
        <v>116709.67741935482</v>
      </c>
      <c r="E113" s="269">
        <v>32250</v>
      </c>
      <c r="F113" s="269">
        <v>32250</v>
      </c>
      <c r="G113" s="269">
        <v>32250</v>
      </c>
      <c r="H113" s="269">
        <v>32250</v>
      </c>
      <c r="I113" s="269">
        <v>32250</v>
      </c>
      <c r="J113" s="269">
        <v>29300</v>
      </c>
      <c r="K113" s="269">
        <f>Q22</f>
        <v>31750</v>
      </c>
      <c r="L113" s="277">
        <f t="shared" si="4"/>
        <v>2450</v>
      </c>
      <c r="M113" s="188"/>
      <c r="N113" s="19"/>
      <c r="P113" s="2"/>
      <c r="Q113" s="188"/>
      <c r="R113" s="2"/>
      <c r="S113" s="2"/>
      <c r="T113"/>
      <c r="V113"/>
    </row>
    <row r="114" spans="2:22" ht="13.8" x14ac:dyDescent="0.25">
      <c r="B114" s="273" t="s">
        <v>132</v>
      </c>
      <c r="C114" s="268">
        <v>132799.31034482759</v>
      </c>
      <c r="D114" s="269">
        <v>63387.096774193546</v>
      </c>
      <c r="E114" s="269">
        <v>41481.25</v>
      </c>
      <c r="F114" s="269">
        <v>53254.032258064515</v>
      </c>
      <c r="G114" s="269">
        <v>42143.75</v>
      </c>
      <c r="H114" s="269">
        <v>30919.354838709678</v>
      </c>
      <c r="I114" s="269">
        <v>35761.088709677424</v>
      </c>
      <c r="J114" s="269">
        <v>99415.625</v>
      </c>
      <c r="K114" s="269">
        <f>Q30</f>
        <v>97959.677419354834</v>
      </c>
      <c r="L114" s="277">
        <f t="shared" si="4"/>
        <v>-1455.9475806451665</v>
      </c>
      <c r="M114" s="188"/>
      <c r="N114" s="19"/>
      <c r="O114" s="211"/>
      <c r="P114" s="211"/>
      <c r="Q114" s="211"/>
      <c r="R114" s="211"/>
      <c r="S114" s="2"/>
      <c r="T114"/>
      <c r="V114"/>
    </row>
    <row r="115" spans="2:22" x14ac:dyDescent="0.25">
      <c r="B115" s="273" t="s">
        <v>40</v>
      </c>
      <c r="C115" s="268">
        <v>372668.96551724145</v>
      </c>
      <c r="D115" s="269">
        <v>306071.05846774194</v>
      </c>
      <c r="E115" s="269">
        <v>205928.33333333331</v>
      </c>
      <c r="F115" s="269">
        <v>255428.46774193548</v>
      </c>
      <c r="G115" s="269">
        <v>285739.58333333343</v>
      </c>
      <c r="H115" s="269">
        <v>169628.98387096776</v>
      </c>
      <c r="I115" s="269">
        <v>214618.54838709679</v>
      </c>
      <c r="J115" s="269">
        <v>263865.91666666669</v>
      </c>
      <c r="K115" s="269">
        <f>Q46</f>
        <v>288039.31451612909</v>
      </c>
      <c r="L115" s="277">
        <f t="shared" si="4"/>
        <v>24173.397849462403</v>
      </c>
      <c r="M115" s="188"/>
      <c r="N115" s="19"/>
      <c r="P115" s="2"/>
      <c r="Q115" s="188"/>
      <c r="R115" s="2"/>
      <c r="S115" s="2"/>
      <c r="T115"/>
      <c r="V115"/>
    </row>
    <row r="116" spans="2:22" x14ac:dyDescent="0.25">
      <c r="B116" s="273" t="s">
        <v>133</v>
      </c>
      <c r="C116" s="268">
        <v>120506.03448275861</v>
      </c>
      <c r="D116" s="269">
        <v>131841.12903225809</v>
      </c>
      <c r="E116" s="269">
        <v>104362.49999999999</v>
      </c>
      <c r="F116" s="269">
        <v>104752.41935483871</v>
      </c>
      <c r="G116" s="269">
        <v>113883.33333333334</v>
      </c>
      <c r="H116" s="269">
        <v>105737.90322580645</v>
      </c>
      <c r="I116" s="269">
        <v>103883.06451612903</v>
      </c>
      <c r="J116" s="269">
        <v>109841.66666666667</v>
      </c>
      <c r="K116" s="269">
        <f>Q54</f>
        <v>117032.25806451612</v>
      </c>
      <c r="L116" s="277">
        <f t="shared" si="4"/>
        <v>7190.59139784945</v>
      </c>
      <c r="M116" s="188"/>
      <c r="N116" s="19"/>
      <c r="P116" s="2"/>
      <c r="Q116" s="188"/>
      <c r="R116" s="2"/>
      <c r="S116" s="2"/>
      <c r="V116"/>
    </row>
    <row r="117" spans="2:22" x14ac:dyDescent="0.25">
      <c r="B117" s="273" t="s">
        <v>134</v>
      </c>
      <c r="C117" s="268">
        <v>93330.732758620696</v>
      </c>
      <c r="D117" s="269">
        <v>87991.93548387097</v>
      </c>
      <c r="E117" s="269">
        <v>61687.5</v>
      </c>
      <c r="F117" s="269">
        <v>72469.354838709682</v>
      </c>
      <c r="G117" s="269">
        <v>92054.166666666672</v>
      </c>
      <c r="H117" s="269">
        <v>92983.870967741939</v>
      </c>
      <c r="I117" s="269">
        <v>95745.967741935485</v>
      </c>
      <c r="J117" s="269">
        <v>91266.666666666657</v>
      </c>
      <c r="K117" s="269">
        <f>Q62</f>
        <v>82338.709677419363</v>
      </c>
      <c r="L117" s="277">
        <f t="shared" si="4"/>
        <v>-8927.9569892472937</v>
      </c>
      <c r="M117" s="188"/>
      <c r="N117" s="19"/>
      <c r="O117" s="10"/>
      <c r="P117" s="10"/>
      <c r="Q117" s="279"/>
      <c r="R117" s="10"/>
      <c r="S117" s="2"/>
      <c r="V117"/>
    </row>
    <row r="118" spans="2:22" x14ac:dyDescent="0.25">
      <c r="B118" s="273" t="s">
        <v>135</v>
      </c>
      <c r="C118" s="268">
        <v>47469.310344827587</v>
      </c>
      <c r="D118" s="269">
        <v>29145.16129032258</v>
      </c>
      <c r="E118" s="269">
        <v>27083.333333333332</v>
      </c>
      <c r="F118" s="269">
        <v>28830.645161290322</v>
      </c>
      <c r="G118" s="269">
        <v>27083.333333333332</v>
      </c>
      <c r="H118" s="269">
        <v>29145.16129032258</v>
      </c>
      <c r="I118" s="269">
        <v>45596.774193548386</v>
      </c>
      <c r="J118" s="269">
        <v>45641.666666666672</v>
      </c>
      <c r="K118" s="269">
        <f>Q68</f>
        <v>48903.225806451621</v>
      </c>
      <c r="L118" s="277">
        <f t="shared" si="4"/>
        <v>3261.5591397849494</v>
      </c>
      <c r="M118" s="188"/>
      <c r="N118" s="19"/>
      <c r="P118" s="2"/>
      <c r="Q118" s="188"/>
      <c r="R118" s="2"/>
      <c r="S118" s="10"/>
      <c r="T118"/>
      <c r="V118"/>
    </row>
    <row r="119" spans="2:22" x14ac:dyDescent="0.25">
      <c r="B119" s="273" t="s">
        <v>136</v>
      </c>
      <c r="C119" s="268">
        <v>160366.37931034484</v>
      </c>
      <c r="D119" s="268">
        <v>169366.93548387097</v>
      </c>
      <c r="E119" s="268">
        <v>177360</v>
      </c>
      <c r="F119" s="268">
        <v>201414.11290322582</v>
      </c>
      <c r="G119" s="268">
        <v>185683.33333333334</v>
      </c>
      <c r="H119" s="268">
        <v>178671.93548387097</v>
      </c>
      <c r="I119" s="268">
        <v>186343.54838709679</v>
      </c>
      <c r="J119" s="268">
        <v>183710</v>
      </c>
      <c r="K119" s="268">
        <f>Q78</f>
        <v>208798.38709677421</v>
      </c>
      <c r="L119" s="277">
        <f t="shared" si="4"/>
        <v>25088.387096774211</v>
      </c>
      <c r="N119" s="19"/>
      <c r="P119" s="2"/>
      <c r="Q119" s="188"/>
      <c r="R119" s="2"/>
      <c r="S119" s="10"/>
      <c r="V119"/>
    </row>
    <row r="120" spans="2:22" ht="44.4" customHeight="1" x14ac:dyDescent="0.25">
      <c r="B120" s="275" t="s">
        <v>175</v>
      </c>
      <c r="C120" s="271">
        <v>214942.75862068965</v>
      </c>
      <c r="D120" s="268">
        <v>204628.70967741933</v>
      </c>
      <c r="E120" s="268">
        <v>91566.666666666672</v>
      </c>
      <c r="F120" s="268">
        <v>100387.09677419355</v>
      </c>
      <c r="G120" s="268">
        <v>41733.333333333336</v>
      </c>
      <c r="H120" s="268">
        <v>2580.6451612903224</v>
      </c>
      <c r="I120" s="268">
        <v>34870.967741935485</v>
      </c>
      <c r="J120" s="268">
        <v>61920.833333333336</v>
      </c>
      <c r="K120" s="268">
        <f>Q104</f>
        <v>44959.677419354841</v>
      </c>
      <c r="L120" s="277">
        <f t="shared" si="4"/>
        <v>-16961.155913978495</v>
      </c>
      <c r="N120"/>
      <c r="O120" s="10"/>
      <c r="P120" s="10"/>
      <c r="Q120" s="279"/>
      <c r="R120" s="10"/>
      <c r="S120" s="10"/>
      <c r="V120"/>
    </row>
    <row r="121" spans="2:22" ht="13.8" x14ac:dyDescent="0.25">
      <c r="B121" s="273" t="s">
        <v>137</v>
      </c>
      <c r="C121" s="272">
        <f t="shared" ref="C121:L121" si="5">SUM(C110:C120)</f>
        <v>1522737.7672413792</v>
      </c>
      <c r="D121" s="272">
        <f t="shared" si="5"/>
        <v>1356141.7036290322</v>
      </c>
      <c r="E121" s="272">
        <f t="shared" si="5"/>
        <v>966719.58333333326</v>
      </c>
      <c r="F121" s="272">
        <f t="shared" si="5"/>
        <v>1075786.1290322579</v>
      </c>
      <c r="G121" s="272">
        <f>SUM(G110:G120)</f>
        <v>1045570.8333333336</v>
      </c>
      <c r="H121" s="272">
        <f>SUM(H110:H120)</f>
        <v>867917.8548387097</v>
      </c>
      <c r="I121" s="272">
        <f>SUM(I110:I120)</f>
        <v>997069.95967741939</v>
      </c>
      <c r="J121" s="272">
        <f>SUM(J110:J120)</f>
        <v>1148451.9583333333</v>
      </c>
      <c r="K121" s="272">
        <f t="shared" si="5"/>
        <v>1167603.8306451614</v>
      </c>
      <c r="L121" s="272">
        <f t="shared" si="5"/>
        <v>19151.872311828018</v>
      </c>
      <c r="M121" s="10"/>
      <c r="N121"/>
      <c r="O121"/>
      <c r="P121"/>
      <c r="Q121" s="279"/>
      <c r="S121" s="2"/>
      <c r="T121"/>
      <c r="V121"/>
    </row>
    <row r="122" spans="2:22" x14ac:dyDescent="0.25">
      <c r="B122"/>
      <c r="C122"/>
      <c r="D122"/>
      <c r="E122"/>
      <c r="F122"/>
      <c r="G122"/>
      <c r="H122"/>
      <c r="I122"/>
      <c r="J122"/>
      <c r="K122"/>
      <c r="L122"/>
      <c r="M122" s="10"/>
      <c r="N122"/>
      <c r="O122" s="10"/>
      <c r="P122"/>
      <c r="U122" s="10"/>
    </row>
    <row r="123" spans="2:22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2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9"/>
      <c r="U124" s="10"/>
    </row>
    <row r="125" spans="2:22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2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2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10"/>
    </row>
    <row r="128" spans="2:22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10"/>
      <c r="U128" s="2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0"/>
      <c r="P129" s="2"/>
      <c r="U129" s="10"/>
    </row>
    <row r="130" spans="2:22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89">
        <f>SUM(O108:O127)</f>
        <v>0</v>
      </c>
      <c r="P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0"/>
      <c r="R133" s="10"/>
      <c r="S133" s="10"/>
      <c r="T133" s="279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U134" s="2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U135" s="2"/>
      <c r="V135"/>
    </row>
    <row r="136" spans="2:22" x14ac:dyDescent="0.25">
      <c r="J136"/>
      <c r="K136"/>
      <c r="L136"/>
      <c r="M136"/>
      <c r="N136"/>
      <c r="O136"/>
      <c r="P136"/>
      <c r="U136" s="10"/>
      <c r="V136"/>
    </row>
    <row r="137" spans="2:22" x14ac:dyDescent="0.25">
      <c r="J137"/>
      <c r="K137"/>
      <c r="L137"/>
      <c r="M137"/>
      <c r="N137"/>
      <c r="O137"/>
      <c r="P137"/>
      <c r="V137"/>
    </row>
    <row r="138" spans="2:22" x14ac:dyDescent="0.25">
      <c r="J138"/>
      <c r="K138"/>
      <c r="L138"/>
      <c r="M138"/>
      <c r="N138"/>
      <c r="O138"/>
      <c r="P138"/>
      <c r="U138" s="10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J141"/>
      <c r="K141"/>
      <c r="L141"/>
      <c r="M141"/>
      <c r="N141"/>
      <c r="O141"/>
      <c r="P141"/>
      <c r="V141"/>
    </row>
    <row r="142" spans="2:22" x14ac:dyDescent="0.25">
      <c r="K142"/>
      <c r="L142"/>
      <c r="M142"/>
      <c r="N142"/>
      <c r="O142"/>
      <c r="P142"/>
    </row>
    <row r="143" spans="2:22" x14ac:dyDescent="0.25">
      <c r="K143"/>
      <c r="L143"/>
      <c r="M143"/>
      <c r="N143"/>
      <c r="P143"/>
    </row>
    <row r="144" spans="2:22" x14ac:dyDescent="0.25">
      <c r="P144"/>
    </row>
    <row r="145" spans="16:21" x14ac:dyDescent="0.25">
      <c r="P145" s="3">
        <f>Q62+Q11</f>
        <v>142338.70967741936</v>
      </c>
    </row>
    <row r="146" spans="16:21" x14ac:dyDescent="0.25">
      <c r="P146" s="3">
        <v>14580</v>
      </c>
    </row>
    <row r="147" spans="16:21" x14ac:dyDescent="0.25">
      <c r="P147" s="3">
        <v>20000</v>
      </c>
      <c r="U147" s="10"/>
    </row>
    <row r="148" spans="16:21" x14ac:dyDescent="0.25">
      <c r="P148" s="3">
        <v>4150</v>
      </c>
      <c r="U148" s="2"/>
    </row>
    <row r="149" spans="16:21" x14ac:dyDescent="0.25">
      <c r="U149" s="2"/>
    </row>
    <row r="150" spans="16:21" x14ac:dyDescent="0.25">
      <c r="U150" s="10"/>
    </row>
    <row r="152" spans="16:21" x14ac:dyDescent="0.25">
      <c r="U152" s="10"/>
    </row>
  </sheetData>
  <autoFilter ref="A3:Z107"/>
  <mergeCells count="27">
    <mergeCell ref="B108:L108"/>
    <mergeCell ref="N1:O2"/>
    <mergeCell ref="A1:M2"/>
    <mergeCell ref="P1:P2"/>
    <mergeCell ref="A6:Q6"/>
    <mergeCell ref="C7:C10"/>
    <mergeCell ref="D7:D10"/>
    <mergeCell ref="A99:Q99"/>
    <mergeCell ref="A11:P11"/>
    <mergeCell ref="A18:P18"/>
    <mergeCell ref="A12:Q12"/>
    <mergeCell ref="A31:Q31"/>
    <mergeCell ref="B107:I107"/>
    <mergeCell ref="A46:P46"/>
    <mergeCell ref="A19:Q19"/>
    <mergeCell ref="A22:P22"/>
    <mergeCell ref="A23:Q23"/>
    <mergeCell ref="A30:P30"/>
    <mergeCell ref="A47:Q47"/>
    <mergeCell ref="A54:P54"/>
    <mergeCell ref="A55:Q55"/>
    <mergeCell ref="A62:P62"/>
    <mergeCell ref="K107:P107"/>
    <mergeCell ref="K106:P106"/>
    <mergeCell ref="A63:Q63"/>
    <mergeCell ref="A68:P68"/>
    <mergeCell ref="A69:Q69"/>
  </mergeCells>
  <phoneticPr fontId="5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30" max="16" man="1"/>
    <brk id="62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3"/>
  <sheetViews>
    <sheetView tabSelected="1" view="pageBreakPreview" topLeftCell="A1207" zoomScale="60" zoomScaleNormal="60" workbookViewId="0">
      <selection activeCell="K1248" sqref="K1248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0.6640625" style="4" customWidth="1"/>
    <col min="7" max="7" width="12.1093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2.44140625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93" t="s">
        <v>71</v>
      </c>
      <c r="D1" s="393"/>
      <c r="E1" s="393"/>
      <c r="F1" s="393"/>
      <c r="G1" s="393"/>
      <c r="H1" s="393"/>
      <c r="I1" s="393"/>
      <c r="J1" s="18" t="s">
        <v>57</v>
      </c>
      <c r="K1" s="17">
        <v>2020</v>
      </c>
      <c r="L1" s="17"/>
      <c r="R1" s="107">
        <f>K16+K32+K48+K64+K80+K96+K112+K473+K129+K144+K159+K175+K583+K208+K940+K224+K240+K256+K286+K302+K394+K410+K426+K489+K1405+K506+K567+K613+K348+K712+K364+K521+K631+K924+K648+K664+K696+K728+K271+K763+K779+K811+K909+K828+K844+K1421+K987+K1018+K1034+K1050+K1066+K333+K876+K1295+K1131+K598+K892+K379+K457+K680+K1198+K1214+K1230+K441+K1247+K1279+K1310+K1357+K1373+K1437+K1469+K1389+K536+K1325+K1341</f>
        <v>1167603.8306451614</v>
      </c>
    </row>
    <row r="2" spans="1:27" ht="18" x14ac:dyDescent="0.35">
      <c r="J2" s="16" t="s">
        <v>65</v>
      </c>
      <c r="K2" s="4">
        <v>31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69" t="s">
        <v>45</v>
      </c>
      <c r="B6" s="370"/>
      <c r="C6" s="370"/>
      <c r="D6" s="370"/>
      <c r="E6" s="370"/>
      <c r="F6" s="370"/>
      <c r="G6" s="370"/>
      <c r="H6" s="370"/>
      <c r="I6" s="370"/>
      <c r="J6" s="370"/>
      <c r="K6" s="370"/>
      <c r="L6" s="371"/>
      <c r="M6" s="112"/>
      <c r="N6" s="81"/>
      <c r="O6" s="372" t="s">
        <v>47</v>
      </c>
      <c r="P6" s="373"/>
      <c r="Q6" s="373"/>
      <c r="R6" s="374"/>
      <c r="S6" s="82"/>
      <c r="T6" s="372" t="s">
        <v>48</v>
      </c>
      <c r="U6" s="373"/>
      <c r="V6" s="373"/>
      <c r="W6" s="373"/>
      <c r="X6" s="373"/>
      <c r="Y6" s="392"/>
      <c r="Z6" s="110"/>
      <c r="AA6" s="42"/>
    </row>
    <row r="7" spans="1:27" s="43" customFormat="1" ht="21" customHeight="1" x14ac:dyDescent="0.25">
      <c r="A7" s="44"/>
      <c r="B7" s="45"/>
      <c r="C7" s="375" t="s">
        <v>101</v>
      </c>
      <c r="D7" s="375"/>
      <c r="E7" s="375"/>
      <c r="F7" s="375"/>
      <c r="G7" s="46" t="str">
        <f>$J$1</f>
        <v>October</v>
      </c>
      <c r="H7" s="376">
        <f>$K$1</f>
        <v>2020</v>
      </c>
      <c r="I7" s="376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>
        <v>31</v>
      </c>
      <c r="Q8" s="89"/>
      <c r="R8" s="89">
        <f>15-Q8</f>
        <v>15</v>
      </c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>
        <v>28</v>
      </c>
      <c r="Q9" s="89"/>
      <c r="R9" s="89" t="str">
        <f>IF(Q9="","",R8-Q9)</f>
        <v/>
      </c>
      <c r="S9" s="93"/>
      <c r="T9" s="89" t="s">
        <v>76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46</v>
      </c>
      <c r="C10" s="60"/>
      <c r="D10" s="45"/>
      <c r="E10" s="45"/>
      <c r="F10" s="366" t="s">
        <v>48</v>
      </c>
      <c r="G10" s="366"/>
      <c r="H10" s="45"/>
      <c r="I10" s="366" t="s">
        <v>49</v>
      </c>
      <c r="J10" s="366"/>
      <c r="K10" s="366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67" t="s">
        <v>47</v>
      </c>
      <c r="C12" s="368"/>
      <c r="D12" s="45"/>
      <c r="E12" s="45"/>
      <c r="F12" s="63" t="s">
        <v>69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31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61" t="s">
        <v>74</v>
      </c>
      <c r="J14" s="362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61" t="s">
        <v>75</v>
      </c>
      <c r="J15" s="362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63" t="s">
        <v>68</v>
      </c>
      <c r="J16" s="364"/>
      <c r="K16" s="72">
        <f>K14-K15</f>
        <v>50000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400"/>
      <c r="C18" s="400"/>
      <c r="D18" s="400"/>
      <c r="E18" s="400"/>
      <c r="F18" s="400"/>
      <c r="G18" s="400"/>
      <c r="H18" s="400"/>
      <c r="I18" s="400"/>
      <c r="J18" s="400"/>
      <c r="K18" s="400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104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69" t="s">
        <v>45</v>
      </c>
      <c r="B22" s="370"/>
      <c r="C22" s="370"/>
      <c r="D22" s="370"/>
      <c r="E22" s="370"/>
      <c r="F22" s="370"/>
      <c r="G22" s="370"/>
      <c r="H22" s="370"/>
      <c r="I22" s="370"/>
      <c r="J22" s="370"/>
      <c r="K22" s="370"/>
      <c r="L22" s="371"/>
      <c r="M22" s="42"/>
      <c r="N22" s="81"/>
      <c r="O22" s="372" t="s">
        <v>47</v>
      </c>
      <c r="P22" s="373"/>
      <c r="Q22" s="373"/>
      <c r="R22" s="374"/>
      <c r="S22" s="82"/>
      <c r="T22" s="372" t="s">
        <v>48</v>
      </c>
      <c r="U22" s="373"/>
      <c r="V22" s="373"/>
      <c r="W22" s="373"/>
      <c r="X22" s="373"/>
      <c r="Y22" s="374"/>
      <c r="Z22" s="83"/>
      <c r="AA22" s="42"/>
    </row>
    <row r="23" spans="1:27" s="43" customFormat="1" ht="21" customHeight="1" x14ac:dyDescent="0.25">
      <c r="A23" s="44"/>
      <c r="B23" s="45"/>
      <c r="C23" s="375" t="s">
        <v>101</v>
      </c>
      <c r="D23" s="375"/>
      <c r="E23" s="375"/>
      <c r="F23" s="375"/>
      <c r="G23" s="46" t="str">
        <f>$J$1</f>
        <v>October</v>
      </c>
      <c r="H23" s="376">
        <f>$K$1</f>
        <v>2020</v>
      </c>
      <c r="I23" s="376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>
        <v>31</v>
      </c>
      <c r="Q24" s="89"/>
      <c r="R24" s="89">
        <f>15-Q24</f>
        <v>15</v>
      </c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76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46</v>
      </c>
      <c r="C26" s="60"/>
      <c r="D26" s="45"/>
      <c r="E26" s="45"/>
      <c r="F26" s="366" t="s">
        <v>48</v>
      </c>
      <c r="G26" s="366"/>
      <c r="H26" s="45"/>
      <c r="I26" s="366" t="s">
        <v>49</v>
      </c>
      <c r="J26" s="366"/>
      <c r="K26" s="366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67" t="s">
        <v>47</v>
      </c>
      <c r="C28" s="368"/>
      <c r="D28" s="45"/>
      <c r="E28" s="45"/>
      <c r="F28" s="63" t="s">
        <v>69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31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61" t="s">
        <v>74</v>
      </c>
      <c r="J30" s="362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61" t="s">
        <v>75</v>
      </c>
      <c r="J31" s="362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63" t="s">
        <v>68</v>
      </c>
      <c r="J32" s="364"/>
      <c r="K32" s="72">
        <f>K30-K31</f>
        <v>50000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69" t="s">
        <v>45</v>
      </c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1"/>
      <c r="M38" s="42"/>
      <c r="N38" s="81"/>
      <c r="O38" s="372" t="s">
        <v>47</v>
      </c>
      <c r="P38" s="373"/>
      <c r="Q38" s="373"/>
      <c r="R38" s="374"/>
      <c r="S38" s="82"/>
      <c r="T38" s="372" t="s">
        <v>48</v>
      </c>
      <c r="U38" s="373"/>
      <c r="V38" s="373"/>
      <c r="W38" s="373"/>
      <c r="X38" s="373"/>
      <c r="Y38" s="374"/>
      <c r="Z38" s="83"/>
      <c r="AA38" s="42"/>
    </row>
    <row r="39" spans="1:27" s="43" customFormat="1" ht="21" customHeight="1" x14ac:dyDescent="0.25">
      <c r="A39" s="44"/>
      <c r="B39" s="45"/>
      <c r="C39" s="375" t="s">
        <v>101</v>
      </c>
      <c r="D39" s="375"/>
      <c r="E39" s="375"/>
      <c r="F39" s="375"/>
      <c r="G39" s="46" t="str">
        <f>$J$1</f>
        <v>October</v>
      </c>
      <c r="H39" s="376">
        <f>$K$1</f>
        <v>2020</v>
      </c>
      <c r="I39" s="376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50</v>
      </c>
      <c r="P40" s="89">
        <v>29</v>
      </c>
      <c r="Q40" s="89">
        <v>2</v>
      </c>
      <c r="R40" s="89">
        <f>15-Q40</f>
        <v>13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76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46</v>
      </c>
      <c r="C42" s="60"/>
      <c r="D42" s="45"/>
      <c r="E42" s="45"/>
      <c r="F42" s="366" t="s">
        <v>48</v>
      </c>
      <c r="G42" s="366"/>
      <c r="H42" s="45"/>
      <c r="I42" s="366" t="s">
        <v>49</v>
      </c>
      <c r="J42" s="366"/>
      <c r="K42" s="366"/>
      <c r="L42" s="61"/>
      <c r="M42" s="45"/>
      <c r="N42" s="88"/>
      <c r="O42" s="89" t="s">
        <v>51</v>
      </c>
      <c r="P42" s="89">
        <v>31</v>
      </c>
      <c r="Q42" s="89">
        <v>0</v>
      </c>
      <c r="R42" s="89">
        <f t="shared" si="6"/>
        <v>12</v>
      </c>
      <c r="S42" s="93"/>
      <c r="T42" s="89" t="s">
        <v>51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>
        <v>30</v>
      </c>
      <c r="Q43" s="89">
        <v>0</v>
      </c>
      <c r="R43" s="89">
        <f t="shared" si="6"/>
        <v>12</v>
      </c>
      <c r="S43" s="93"/>
      <c r="T43" s="89" t="s">
        <v>52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67" t="s">
        <v>47</v>
      </c>
      <c r="C44" s="368"/>
      <c r="D44" s="45"/>
      <c r="E44" s="45"/>
      <c r="F44" s="63" t="s">
        <v>69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31</v>
      </c>
      <c r="J44" s="65" t="s">
        <v>66</v>
      </c>
      <c r="K44" s="66">
        <f>K40/$K$2*I44</f>
        <v>35000</v>
      </c>
      <c r="L44" s="67"/>
      <c r="M44" s="45"/>
      <c r="N44" s="88"/>
      <c r="O44" s="89" t="s">
        <v>53</v>
      </c>
      <c r="P44" s="89">
        <v>30</v>
      </c>
      <c r="Q44" s="89">
        <v>1</v>
      </c>
      <c r="R44" s="89">
        <f t="shared" si="6"/>
        <v>11</v>
      </c>
      <c r="S44" s="93"/>
      <c r="T44" s="89" t="s">
        <v>53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>
        <v>29</v>
      </c>
      <c r="Q45" s="89">
        <v>1</v>
      </c>
      <c r="R45" s="89">
        <f t="shared" si="6"/>
        <v>10</v>
      </c>
      <c r="S45" s="93"/>
      <c r="T45" s="89" t="s">
        <v>54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45"/>
      <c r="E46" s="45"/>
      <c r="F46" s="63" t="s">
        <v>70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61" t="s">
        <v>74</v>
      </c>
      <c r="J46" s="362"/>
      <c r="K46" s="68">
        <f>K44+K45</f>
        <v>35000</v>
      </c>
      <c r="L46" s="69"/>
      <c r="M46" s="45"/>
      <c r="N46" s="88"/>
      <c r="O46" s="89" t="s">
        <v>55</v>
      </c>
      <c r="P46" s="89">
        <v>30</v>
      </c>
      <c r="Q46" s="89">
        <v>1</v>
      </c>
      <c r="R46" s="89">
        <f t="shared" si="6"/>
        <v>9</v>
      </c>
      <c r="S46" s="93"/>
      <c r="T46" s="89" t="s">
        <v>55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61" t="s">
        <v>75</v>
      </c>
      <c r="J47" s="362"/>
      <c r="K47" s="58">
        <f>G47</f>
        <v>0</v>
      </c>
      <c r="L47" s="70"/>
      <c r="M47" s="45"/>
      <c r="N47" s="88"/>
      <c r="O47" s="89" t="s">
        <v>56</v>
      </c>
      <c r="P47" s="89">
        <v>30</v>
      </c>
      <c r="Q47" s="89">
        <v>1</v>
      </c>
      <c r="R47" s="89">
        <f t="shared" si="6"/>
        <v>8</v>
      </c>
      <c r="S47" s="93"/>
      <c r="T47" s="89" t="s">
        <v>56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45"/>
      <c r="E48" s="45"/>
      <c r="F48" s="63" t="s">
        <v>72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63" t="s">
        <v>68</v>
      </c>
      <c r="J48" s="364"/>
      <c r="K48" s="72">
        <f>K46-K47</f>
        <v>35000</v>
      </c>
      <c r="L48" s="73"/>
      <c r="M48" s="45"/>
      <c r="N48" s="88"/>
      <c r="O48" s="89" t="s">
        <v>61</v>
      </c>
      <c r="P48" s="89">
        <v>29</v>
      </c>
      <c r="Q48" s="89">
        <v>1</v>
      </c>
      <c r="R48" s="89">
        <f t="shared" si="6"/>
        <v>7</v>
      </c>
      <c r="S48" s="93"/>
      <c r="T48" s="89" t="s">
        <v>61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>
        <v>0</v>
      </c>
      <c r="S49" s="93"/>
      <c r="T49" s="89" t="s">
        <v>57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65" t="s">
        <v>103</v>
      </c>
      <c r="C50" s="365"/>
      <c r="D50" s="365"/>
      <c r="E50" s="365"/>
      <c r="F50" s="365"/>
      <c r="G50" s="365"/>
      <c r="H50" s="365"/>
      <c r="I50" s="365"/>
      <c r="J50" s="365"/>
      <c r="K50" s="365"/>
      <c r="L50" s="61"/>
      <c r="M50" s="45"/>
      <c r="N50" s="88"/>
      <c r="O50" s="89" t="s">
        <v>62</v>
      </c>
      <c r="P50" s="89"/>
      <c r="Q50" s="89"/>
      <c r="R50" s="89">
        <v>0</v>
      </c>
      <c r="S50" s="93"/>
      <c r="T50" s="89" t="s">
        <v>62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65"/>
      <c r="C51" s="365"/>
      <c r="D51" s="365"/>
      <c r="E51" s="365"/>
      <c r="F51" s="365"/>
      <c r="G51" s="365"/>
      <c r="H51" s="365"/>
      <c r="I51" s="365"/>
      <c r="J51" s="365"/>
      <c r="K51" s="365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394" t="s">
        <v>45</v>
      </c>
      <c r="B54" s="395"/>
      <c r="C54" s="395"/>
      <c r="D54" s="395"/>
      <c r="E54" s="395"/>
      <c r="F54" s="395"/>
      <c r="G54" s="395"/>
      <c r="H54" s="395"/>
      <c r="I54" s="395"/>
      <c r="J54" s="395"/>
      <c r="K54" s="395"/>
      <c r="L54" s="396"/>
      <c r="M54" s="42"/>
      <c r="N54" s="92"/>
      <c r="O54" s="397" t="s">
        <v>47</v>
      </c>
      <c r="P54" s="398"/>
      <c r="Q54" s="398"/>
      <c r="R54" s="399"/>
      <c r="S54" s="93"/>
      <c r="T54" s="397" t="s">
        <v>48</v>
      </c>
      <c r="U54" s="398"/>
      <c r="V54" s="398"/>
      <c r="W54" s="398"/>
      <c r="X54" s="398"/>
      <c r="Y54" s="399"/>
      <c r="Z54" s="110"/>
      <c r="AA54" s="42"/>
    </row>
    <row r="55" spans="1:27" s="43" customFormat="1" ht="21" customHeight="1" x14ac:dyDescent="0.25">
      <c r="A55" s="44"/>
      <c r="B55" s="45"/>
      <c r="C55" s="375" t="s">
        <v>101</v>
      </c>
      <c r="D55" s="375"/>
      <c r="E55" s="375"/>
      <c r="F55" s="375"/>
      <c r="G55" s="46" t="str">
        <f>$J$1</f>
        <v>October</v>
      </c>
      <c r="H55" s="376">
        <f>$K$1</f>
        <v>2020</v>
      </c>
      <c r="I55" s="376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252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>
        <v>29</v>
      </c>
      <c r="Q57" s="89">
        <v>0</v>
      </c>
      <c r="R57" s="89"/>
      <c r="S57" s="93"/>
      <c r="T57" s="89" t="s">
        <v>76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46</v>
      </c>
      <c r="C58" s="60"/>
      <c r="D58" s="45"/>
      <c r="E58" s="45"/>
      <c r="F58" s="366" t="s">
        <v>48</v>
      </c>
      <c r="G58" s="366"/>
      <c r="H58" s="45"/>
      <c r="I58" s="366" t="s">
        <v>49</v>
      </c>
      <c r="J58" s="366"/>
      <c r="K58" s="366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67" t="s">
        <v>47</v>
      </c>
      <c r="C60" s="368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6000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2">
        <f>Y59</f>
        <v>1000</v>
      </c>
      <c r="V60" s="91"/>
      <c r="W60" s="162">
        <f t="shared" si="10"/>
        <v>1000</v>
      </c>
      <c r="X60" s="91"/>
      <c r="Y60" s="162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2">
        <f>Y60</f>
        <v>1000</v>
      </c>
      <c r="V61" s="91"/>
      <c r="W61" s="162">
        <f t="shared" si="10"/>
        <v>1000</v>
      </c>
      <c r="X61" s="91"/>
      <c r="Y61" s="162">
        <f t="shared" si="11"/>
        <v>1000</v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62"/>
      <c r="I62" s="361" t="s">
        <v>74</v>
      </c>
      <c r="J62" s="362"/>
      <c r="K62" s="68">
        <f>K60+K61</f>
        <v>6000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61" t="s">
        <v>75</v>
      </c>
      <c r="J63" s="362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73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72</v>
      </c>
      <c r="G64" s="58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45"/>
      <c r="I64" s="363" t="s">
        <v>68</v>
      </c>
      <c r="J64" s="364"/>
      <c r="K64" s="72">
        <f>K62-K63</f>
        <v>6000</v>
      </c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65" t="s">
        <v>103</v>
      </c>
      <c r="C66" s="365"/>
      <c r="D66" s="365"/>
      <c r="E66" s="365"/>
      <c r="F66" s="365"/>
      <c r="G66" s="365"/>
      <c r="H66" s="365"/>
      <c r="I66" s="365"/>
      <c r="J66" s="365"/>
      <c r="K66" s="365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65"/>
      <c r="C67" s="365"/>
      <c r="D67" s="365"/>
      <c r="E67" s="365"/>
      <c r="F67" s="365"/>
      <c r="G67" s="365"/>
      <c r="H67" s="365"/>
      <c r="I67" s="365"/>
      <c r="J67" s="365"/>
      <c r="K67" s="365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394" t="s">
        <v>45</v>
      </c>
      <c r="B70" s="395"/>
      <c r="C70" s="395"/>
      <c r="D70" s="395"/>
      <c r="E70" s="395"/>
      <c r="F70" s="395"/>
      <c r="G70" s="395"/>
      <c r="H70" s="395"/>
      <c r="I70" s="395"/>
      <c r="J70" s="395"/>
      <c r="K70" s="395"/>
      <c r="L70" s="396"/>
      <c r="M70" s="42"/>
      <c r="N70" s="92"/>
      <c r="O70" s="397" t="s">
        <v>47</v>
      </c>
      <c r="P70" s="398"/>
      <c r="Q70" s="398"/>
      <c r="R70" s="399"/>
      <c r="S70" s="93"/>
      <c r="T70" s="397" t="s">
        <v>48</v>
      </c>
      <c r="U70" s="398"/>
      <c r="V70" s="398"/>
      <c r="W70" s="398"/>
      <c r="X70" s="398"/>
      <c r="Y70" s="399"/>
      <c r="Z70" s="110"/>
      <c r="AA70" s="42"/>
    </row>
    <row r="71" spans="1:27" s="43" customFormat="1" ht="21" customHeight="1" x14ac:dyDescent="0.25">
      <c r="A71" s="44"/>
      <c r="B71" s="45"/>
      <c r="C71" s="375" t="s">
        <v>101</v>
      </c>
      <c r="D71" s="375"/>
      <c r="E71" s="375"/>
      <c r="F71" s="375"/>
      <c r="G71" s="46" t="str">
        <f>$J$1</f>
        <v>October</v>
      </c>
      <c r="H71" s="376">
        <f>$K$1</f>
        <v>2020</v>
      </c>
      <c r="I71" s="376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46</v>
      </c>
      <c r="C74" s="60"/>
      <c r="D74" s="45"/>
      <c r="E74" s="45"/>
      <c r="F74" s="366" t="s">
        <v>48</v>
      </c>
      <c r="G74" s="366"/>
      <c r="H74" s="45"/>
      <c r="I74" s="366" t="s">
        <v>49</v>
      </c>
      <c r="J74" s="366"/>
      <c r="K74" s="366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67" t="s">
        <v>47</v>
      </c>
      <c r="C76" s="368"/>
      <c r="D76" s="45"/>
      <c r="E76" s="45"/>
      <c r="F76" s="63" t="s">
        <v>69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31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61" t="s">
        <v>74</v>
      </c>
      <c r="J78" s="362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61" t="s">
        <v>75</v>
      </c>
      <c r="J79" s="362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63" t="s">
        <v>68</v>
      </c>
      <c r="J80" s="364"/>
      <c r="K80" s="72">
        <f>K78-K79</f>
        <v>10000</v>
      </c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65" t="s">
        <v>103</v>
      </c>
      <c r="C82" s="365"/>
      <c r="D82" s="365"/>
      <c r="E82" s="365"/>
      <c r="F82" s="365"/>
      <c r="G82" s="365"/>
      <c r="H82" s="365"/>
      <c r="I82" s="365"/>
      <c r="J82" s="365"/>
      <c r="K82" s="365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65"/>
      <c r="C83" s="365"/>
      <c r="D83" s="365"/>
      <c r="E83" s="365"/>
      <c r="F83" s="365"/>
      <c r="G83" s="365"/>
      <c r="H83" s="365"/>
      <c r="I83" s="365"/>
      <c r="J83" s="365"/>
      <c r="K83" s="365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69" t="s">
        <v>45</v>
      </c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1"/>
      <c r="M86" s="42"/>
      <c r="N86" s="81"/>
      <c r="O86" s="372" t="s">
        <v>47</v>
      </c>
      <c r="P86" s="373"/>
      <c r="Q86" s="373"/>
      <c r="R86" s="374"/>
      <c r="S86" s="82"/>
      <c r="T86" s="372" t="s">
        <v>48</v>
      </c>
      <c r="U86" s="373"/>
      <c r="V86" s="373"/>
      <c r="W86" s="373"/>
      <c r="X86" s="373"/>
      <c r="Y86" s="374"/>
      <c r="Z86" s="83"/>
      <c r="AA86" s="42"/>
    </row>
    <row r="87" spans="1:27" s="43" customFormat="1" ht="21" customHeight="1" x14ac:dyDescent="0.25">
      <c r="A87" s="44"/>
      <c r="B87" s="45"/>
      <c r="C87" s="375" t="s">
        <v>101</v>
      </c>
      <c r="D87" s="375"/>
      <c r="E87" s="375"/>
      <c r="F87" s="375"/>
      <c r="G87" s="46" t="str">
        <f>$J$1</f>
        <v>October</v>
      </c>
      <c r="H87" s="376">
        <f>$K$1</f>
        <v>2020</v>
      </c>
      <c r="I87" s="376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46</v>
      </c>
      <c r="C90" s="60"/>
      <c r="D90" s="45"/>
      <c r="E90" s="45"/>
      <c r="F90" s="366" t="s">
        <v>48</v>
      </c>
      <c r="G90" s="366"/>
      <c r="H90" s="45"/>
      <c r="I90" s="366" t="s">
        <v>49</v>
      </c>
      <c r="J90" s="366"/>
      <c r="K90" s="366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67" t="s">
        <v>47</v>
      </c>
      <c r="C92" s="368"/>
      <c r="D92" s="45"/>
      <c r="E92" s="45"/>
      <c r="F92" s="63" t="s">
        <v>69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31</v>
      </c>
      <c r="J92" s="65" t="s">
        <v>66</v>
      </c>
      <c r="K92" s="66">
        <f>K88/$K$2*I92</f>
        <v>15000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61" t="s">
        <v>74</v>
      </c>
      <c r="J94" s="362"/>
      <c r="K94" s="68">
        <f>K92+K93</f>
        <v>15000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61" t="s">
        <v>75</v>
      </c>
      <c r="J95" s="362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73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72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63" t="s">
        <v>68</v>
      </c>
      <c r="J96" s="364"/>
      <c r="K96" s="72">
        <f>K94-K95</f>
        <v>15000</v>
      </c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65" t="s">
        <v>103</v>
      </c>
      <c r="C98" s="365"/>
      <c r="D98" s="365"/>
      <c r="E98" s="365"/>
      <c r="F98" s="365"/>
      <c r="G98" s="365"/>
      <c r="H98" s="365"/>
      <c r="I98" s="365"/>
      <c r="J98" s="365"/>
      <c r="K98" s="365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65"/>
      <c r="C99" s="365"/>
      <c r="D99" s="365"/>
      <c r="E99" s="365"/>
      <c r="F99" s="365"/>
      <c r="G99" s="365"/>
      <c r="H99" s="365"/>
      <c r="I99" s="365"/>
      <c r="J99" s="365"/>
      <c r="K99" s="365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69" t="s">
        <v>45</v>
      </c>
      <c r="B102" s="370"/>
      <c r="C102" s="370"/>
      <c r="D102" s="370"/>
      <c r="E102" s="370"/>
      <c r="F102" s="370"/>
      <c r="G102" s="370"/>
      <c r="H102" s="370"/>
      <c r="I102" s="370"/>
      <c r="J102" s="370"/>
      <c r="K102" s="370"/>
      <c r="L102" s="371"/>
      <c r="M102" s="42"/>
      <c r="N102" s="81"/>
      <c r="O102" s="372" t="s">
        <v>47</v>
      </c>
      <c r="P102" s="373"/>
      <c r="Q102" s="373"/>
      <c r="R102" s="374"/>
      <c r="S102" s="82"/>
      <c r="T102" s="372" t="s">
        <v>48</v>
      </c>
      <c r="U102" s="373"/>
      <c r="V102" s="373"/>
      <c r="W102" s="373"/>
      <c r="X102" s="373"/>
      <c r="Y102" s="374"/>
      <c r="Z102" s="83"/>
      <c r="AA102" s="42"/>
    </row>
    <row r="103" spans="1:27" s="43" customFormat="1" ht="21" customHeight="1" x14ac:dyDescent="0.25">
      <c r="A103" s="44"/>
      <c r="B103" s="45"/>
      <c r="C103" s="375" t="s">
        <v>101</v>
      </c>
      <c r="D103" s="375"/>
      <c r="E103" s="375"/>
      <c r="F103" s="375"/>
      <c r="G103" s="46" t="str">
        <f>$J$1</f>
        <v>October</v>
      </c>
      <c r="H103" s="376">
        <f>$K$1</f>
        <v>2020</v>
      </c>
      <c r="I103" s="376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46</v>
      </c>
      <c r="C106" s="60"/>
      <c r="D106" s="45"/>
      <c r="E106" s="45"/>
      <c r="F106" s="366" t="s">
        <v>48</v>
      </c>
      <c r="G106" s="366"/>
      <c r="H106" s="45"/>
      <c r="I106" s="366" t="s">
        <v>49</v>
      </c>
      <c r="J106" s="366"/>
      <c r="K106" s="366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67" t="s">
        <v>47</v>
      </c>
      <c r="C108" s="368"/>
      <c r="D108" s="45"/>
      <c r="E108" s="45"/>
      <c r="F108" s="63" t="s">
        <v>69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31</v>
      </c>
      <c r="J108" s="65" t="s">
        <v>66</v>
      </c>
      <c r="K108" s="66">
        <f>K104/$K$2*I108</f>
        <v>15000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61" t="s">
        <v>74</v>
      </c>
      <c r="J110" s="362"/>
      <c r="K110" s="68">
        <f>K108+K109</f>
        <v>15000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61" t="s">
        <v>75</v>
      </c>
      <c r="J111" s="362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73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72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63" t="s">
        <v>68</v>
      </c>
      <c r="J112" s="364"/>
      <c r="K112" s="72">
        <f>K110-K111</f>
        <v>15000</v>
      </c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65" t="s">
        <v>103</v>
      </c>
      <c r="C114" s="365"/>
      <c r="D114" s="365"/>
      <c r="E114" s="365"/>
      <c r="F114" s="365"/>
      <c r="G114" s="365"/>
      <c r="H114" s="365"/>
      <c r="I114" s="365"/>
      <c r="J114" s="365"/>
      <c r="K114" s="365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80" t="s">
        <v>45</v>
      </c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42"/>
      <c r="N119" s="81"/>
      <c r="O119" s="372" t="s">
        <v>47</v>
      </c>
      <c r="P119" s="373"/>
      <c r="Q119" s="373"/>
      <c r="R119" s="374"/>
      <c r="S119" s="82"/>
      <c r="T119" s="372" t="s">
        <v>48</v>
      </c>
      <c r="U119" s="373"/>
      <c r="V119" s="373"/>
      <c r="W119" s="373"/>
      <c r="X119" s="373"/>
      <c r="Y119" s="374"/>
      <c r="Z119" s="83"/>
      <c r="AA119" s="42"/>
    </row>
    <row r="120" spans="1:27" s="43" customFormat="1" ht="21" customHeight="1" x14ac:dyDescent="0.25">
      <c r="A120" s="44"/>
      <c r="B120" s="45"/>
      <c r="C120" s="375" t="s">
        <v>101</v>
      </c>
      <c r="D120" s="375"/>
      <c r="E120" s="375"/>
      <c r="F120" s="375"/>
      <c r="G120" s="46" t="str">
        <f>$J$1</f>
        <v>October</v>
      </c>
      <c r="H120" s="376">
        <f>$K$1</f>
        <v>2020</v>
      </c>
      <c r="I120" s="376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1000</v>
      </c>
      <c r="V121" s="91"/>
      <c r="W121" s="91">
        <f>V121+U121</f>
        <v>1000</v>
      </c>
      <c r="X121" s="91"/>
      <c r="Y121" s="91">
        <f>W121-X121</f>
        <v>1000</v>
      </c>
      <c r="Z121" s="87"/>
      <c r="AA121" s="45"/>
    </row>
    <row r="122" spans="1:27" s="43" customFormat="1" ht="21" customHeight="1" x14ac:dyDescent="0.25">
      <c r="A122" s="44"/>
      <c r="B122" s="45" t="s">
        <v>0</v>
      </c>
      <c r="C122" s="55" t="s">
        <v>141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2">
        <f>Y121</f>
        <v>1000</v>
      </c>
      <c r="V122" s="91"/>
      <c r="W122" s="91">
        <f>V122+U122</f>
        <v>1000</v>
      </c>
      <c r="X122" s="91"/>
      <c r="Y122" s="162">
        <f>IF(W122="","",W122-X122)</f>
        <v>1000</v>
      </c>
      <c r="Z122" s="94"/>
      <c r="AA122" s="42"/>
    </row>
    <row r="123" spans="1:27" s="43" customFormat="1" ht="21" customHeight="1" x14ac:dyDescent="0.25">
      <c r="A123" s="44"/>
      <c r="B123" s="59" t="s">
        <v>46</v>
      </c>
      <c r="C123" s="60"/>
      <c r="D123" s="45"/>
      <c r="E123" s="45"/>
      <c r="F123" s="366" t="s">
        <v>48</v>
      </c>
      <c r="G123" s="366"/>
      <c r="H123" s="45"/>
      <c r="I123" s="366" t="s">
        <v>49</v>
      </c>
      <c r="J123" s="366"/>
      <c r="K123" s="366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2">
        <f>Y122</f>
        <v>1000</v>
      </c>
      <c r="V123" s="91">
        <v>15000</v>
      </c>
      <c r="W123" s="91">
        <f>V123+U123</f>
        <v>16000</v>
      </c>
      <c r="X123" s="91"/>
      <c r="Y123" s="162">
        <f t="shared" ref="Y123:Y132" si="22">IF(W123="","",W123-X123)</f>
        <v>16000</v>
      </c>
      <c r="Z123" s="94"/>
      <c r="AA123" s="45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2">
        <f>Y123</f>
        <v>16000</v>
      </c>
      <c r="V124" s="91"/>
      <c r="W124" s="162">
        <f t="shared" ref="W124:W132" si="23">IF(U124="","",U124+V124)</f>
        <v>16000</v>
      </c>
      <c r="X124" s="91">
        <v>16000</v>
      </c>
      <c r="Y124" s="162">
        <f t="shared" si="22"/>
        <v>0</v>
      </c>
      <c r="Z124" s="94"/>
      <c r="AA124" s="45"/>
    </row>
    <row r="125" spans="1:27" s="43" customFormat="1" ht="21" customHeight="1" x14ac:dyDescent="0.25">
      <c r="A125" s="44"/>
      <c r="B125" s="367" t="s">
        <v>47</v>
      </c>
      <c r="C125" s="368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2"/>
      <c r="I125" s="64">
        <f>IF(C129&gt;=C128,$K$2,C127+C129)</f>
        <v>31</v>
      </c>
      <c r="J125" s="65" t="s">
        <v>66</v>
      </c>
      <c r="K125" s="66">
        <f>K121/$K$2*I125</f>
        <v>16000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2">
        <f t="shared" ref="U125:U129" si="24">Y124</f>
        <v>0</v>
      </c>
      <c r="V125" s="91">
        <v>15000</v>
      </c>
      <c r="W125" s="162">
        <f t="shared" si="23"/>
        <v>15000</v>
      </c>
      <c r="X125" s="91">
        <v>15000</v>
      </c>
      <c r="Y125" s="162">
        <f t="shared" si="22"/>
        <v>0</v>
      </c>
      <c r="Z125" s="94"/>
      <c r="AA125" s="45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17000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2">
        <f t="shared" si="24"/>
        <v>0</v>
      </c>
      <c r="V126" s="91">
        <v>5000</v>
      </c>
      <c r="W126" s="162">
        <f t="shared" si="23"/>
        <v>5000</v>
      </c>
      <c r="X126" s="91">
        <v>1000</v>
      </c>
      <c r="Y126" s="162">
        <f t="shared" si="22"/>
        <v>4000</v>
      </c>
      <c r="Z126" s="94"/>
      <c r="AA126" s="45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17000</v>
      </c>
      <c r="H127" s="62"/>
      <c r="I127" s="361" t="s">
        <v>74</v>
      </c>
      <c r="J127" s="362"/>
      <c r="K127" s="68">
        <f>K125+K126</f>
        <v>16000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2">
        <f>Y126</f>
        <v>4000</v>
      </c>
      <c r="V127" s="91"/>
      <c r="W127" s="162">
        <f t="shared" si="23"/>
        <v>4000</v>
      </c>
      <c r="X127" s="91">
        <f>1000+3000</f>
        <v>4000</v>
      </c>
      <c r="Y127" s="162">
        <f t="shared" si="22"/>
        <v>0</v>
      </c>
      <c r="Z127" s="94"/>
      <c r="AA127" s="45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16000</v>
      </c>
      <c r="H128" s="62"/>
      <c r="I128" s="361" t="s">
        <v>75</v>
      </c>
      <c r="J128" s="362"/>
      <c r="K128" s="58">
        <f>G128</f>
        <v>16000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2">
        <f>Y127</f>
        <v>0</v>
      </c>
      <c r="V128" s="91"/>
      <c r="W128" s="162">
        <f t="shared" si="23"/>
        <v>0</v>
      </c>
      <c r="X128" s="91"/>
      <c r="Y128" s="162">
        <f t="shared" si="22"/>
        <v>0</v>
      </c>
      <c r="Z128" s="94"/>
      <c r="AA128" s="45"/>
    </row>
    <row r="129" spans="1:27" s="43" customFormat="1" ht="21" customHeight="1" x14ac:dyDescent="0.25">
      <c r="A129" s="44"/>
      <c r="B129" s="71" t="s">
        <v>73</v>
      </c>
      <c r="C129" s="54" t="str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/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1000</v>
      </c>
      <c r="H129" s="45"/>
      <c r="I129" s="363" t="s">
        <v>68</v>
      </c>
      <c r="J129" s="364"/>
      <c r="K129" s="72">
        <f>K127-K128</f>
        <v>0</v>
      </c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2">
        <f t="shared" si="24"/>
        <v>0</v>
      </c>
      <c r="V129" s="91"/>
      <c r="W129" s="162">
        <f t="shared" si="23"/>
        <v>0</v>
      </c>
      <c r="X129" s="91"/>
      <c r="Y129" s="162">
        <f t="shared" si="22"/>
        <v>0</v>
      </c>
      <c r="Z129" s="94"/>
      <c r="AA129" s="45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2">
        <f>Y129</f>
        <v>0</v>
      </c>
      <c r="V130" s="91">
        <v>17000</v>
      </c>
      <c r="W130" s="162">
        <f t="shared" si="23"/>
        <v>17000</v>
      </c>
      <c r="X130" s="91">
        <v>16000</v>
      </c>
      <c r="Y130" s="162">
        <f t="shared" si="22"/>
        <v>1000</v>
      </c>
      <c r="Z130" s="94"/>
      <c r="AA130" s="45"/>
    </row>
    <row r="131" spans="1:27" s="43" customFormat="1" ht="21" customHeight="1" x14ac:dyDescent="0.25">
      <c r="A131" s="44"/>
      <c r="B131" s="365" t="s">
        <v>103</v>
      </c>
      <c r="C131" s="365"/>
      <c r="D131" s="365"/>
      <c r="E131" s="365"/>
      <c r="F131" s="365"/>
      <c r="G131" s="365"/>
      <c r="H131" s="365"/>
      <c r="I131" s="365"/>
      <c r="J131" s="365"/>
      <c r="K131" s="365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2"/>
      <c r="V131" s="91"/>
      <c r="W131" s="162" t="str">
        <f t="shared" si="23"/>
        <v/>
      </c>
      <c r="X131" s="91"/>
      <c r="Y131" s="162" t="str">
        <f t="shared" si="22"/>
        <v/>
      </c>
      <c r="Z131" s="94"/>
      <c r="AA131" s="45"/>
    </row>
    <row r="132" spans="1:27" s="43" customFormat="1" ht="21" customHeight="1" x14ac:dyDescent="0.25">
      <c r="A132" s="44"/>
      <c r="B132" s="365"/>
      <c r="C132" s="365"/>
      <c r="D132" s="365"/>
      <c r="E132" s="365"/>
      <c r="F132" s="365"/>
      <c r="G132" s="365"/>
      <c r="H132" s="365"/>
      <c r="I132" s="365"/>
      <c r="J132" s="365"/>
      <c r="K132" s="365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2" t="str">
        <f>Y131</f>
        <v/>
      </c>
      <c r="V132" s="91"/>
      <c r="W132" s="162" t="str">
        <f t="shared" si="23"/>
        <v/>
      </c>
      <c r="X132" s="91"/>
      <c r="Y132" s="162" t="str">
        <f t="shared" si="22"/>
        <v/>
      </c>
      <c r="Z132" s="94"/>
      <c r="AA132" s="45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5">
      <c r="A134" s="380" t="s">
        <v>45</v>
      </c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42"/>
      <c r="N134" s="81"/>
      <c r="O134" s="372" t="s">
        <v>47</v>
      </c>
      <c r="P134" s="373"/>
      <c r="Q134" s="373"/>
      <c r="R134" s="374"/>
      <c r="S134" s="82"/>
      <c r="T134" s="372" t="s">
        <v>48</v>
      </c>
      <c r="U134" s="373"/>
      <c r="V134" s="373"/>
      <c r="W134" s="373"/>
      <c r="X134" s="373"/>
      <c r="Y134" s="374"/>
      <c r="Z134" s="83"/>
      <c r="AA134" s="42"/>
    </row>
    <row r="135" spans="1:27" s="43" customFormat="1" ht="21" customHeight="1" x14ac:dyDescent="0.25">
      <c r="A135" s="44"/>
      <c r="B135" s="45"/>
      <c r="C135" s="375" t="s">
        <v>101</v>
      </c>
      <c r="D135" s="375"/>
      <c r="E135" s="375"/>
      <c r="F135" s="375"/>
      <c r="G135" s="46" t="str">
        <f>$J$1</f>
        <v>October</v>
      </c>
      <c r="H135" s="376">
        <f>$K$1</f>
        <v>2020</v>
      </c>
      <c r="I135" s="376"/>
      <c r="J135" s="230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31000</v>
      </c>
      <c r="L136" s="53"/>
      <c r="M136" s="45"/>
      <c r="N136" s="88"/>
      <c r="O136" s="89" t="s">
        <v>50</v>
      </c>
      <c r="P136" s="89">
        <v>31</v>
      </c>
      <c r="Q136" s="89">
        <v>0</v>
      </c>
      <c r="R136" s="89">
        <f>15-Q136</f>
        <v>15</v>
      </c>
      <c r="S136" s="90"/>
      <c r="T136" s="89" t="s">
        <v>50</v>
      </c>
      <c r="U136" s="91">
        <v>3100</v>
      </c>
      <c r="V136" s="91">
        <v>1000</v>
      </c>
      <c r="W136" s="91">
        <f>V136+U136</f>
        <v>4100</v>
      </c>
      <c r="X136" s="91">
        <v>2000</v>
      </c>
      <c r="Y136" s="91">
        <f>W136-X136</f>
        <v>2100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94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>
        <v>28</v>
      </c>
      <c r="Q137" s="89">
        <v>1</v>
      </c>
      <c r="R137" s="89">
        <f>IF(Q137="","",R136-Q137)</f>
        <v>14</v>
      </c>
      <c r="S137" s="93"/>
      <c r="T137" s="89" t="s">
        <v>76</v>
      </c>
      <c r="U137" s="162">
        <f t="shared" ref="U137:U144" si="25">Y136</f>
        <v>2100</v>
      </c>
      <c r="V137" s="91">
        <v>500</v>
      </c>
      <c r="W137" s="162">
        <f>IF(U137="","",U137+V137)</f>
        <v>2600</v>
      </c>
      <c r="X137" s="91">
        <v>600</v>
      </c>
      <c r="Y137" s="162">
        <f>IF(W137="","",W137-X137)</f>
        <v>2000</v>
      </c>
      <c r="Z137" s="94"/>
      <c r="AA137" s="42"/>
    </row>
    <row r="138" spans="1:27" s="43" customFormat="1" ht="21" customHeight="1" x14ac:dyDescent="0.25">
      <c r="A138" s="44"/>
      <c r="B138" s="59" t="s">
        <v>46</v>
      </c>
      <c r="C138" s="60"/>
      <c r="D138" s="45"/>
      <c r="E138" s="45"/>
      <c r="F138" s="366" t="s">
        <v>48</v>
      </c>
      <c r="G138" s="366"/>
      <c r="H138" s="45"/>
      <c r="I138" s="366" t="s">
        <v>49</v>
      </c>
      <c r="J138" s="366"/>
      <c r="K138" s="366"/>
      <c r="L138" s="61"/>
      <c r="M138" s="45"/>
      <c r="N138" s="88"/>
      <c r="O138" s="89" t="s">
        <v>51</v>
      </c>
      <c r="P138" s="89">
        <v>31</v>
      </c>
      <c r="Q138" s="89">
        <v>0</v>
      </c>
      <c r="R138" s="89">
        <f t="shared" ref="R138:R147" si="26">IF(Q138="","",R137-Q138)</f>
        <v>14</v>
      </c>
      <c r="S138" s="93"/>
      <c r="T138" s="89" t="s">
        <v>51</v>
      </c>
      <c r="U138" s="162">
        <f t="shared" si="25"/>
        <v>2000</v>
      </c>
      <c r="V138" s="91"/>
      <c r="W138" s="162">
        <f t="shared" ref="W138:W147" si="27">IF(U138="","",U138+V138)</f>
        <v>2000</v>
      </c>
      <c r="X138" s="91">
        <v>1000</v>
      </c>
      <c r="Y138" s="162">
        <f t="shared" ref="Y138:Y147" si="28">IF(W138="","",W138-X138)</f>
        <v>1000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>
        <v>21</v>
      </c>
      <c r="Q139" s="89">
        <v>10</v>
      </c>
      <c r="R139" s="89">
        <f t="shared" si="26"/>
        <v>4</v>
      </c>
      <c r="S139" s="93"/>
      <c r="T139" s="89" t="s">
        <v>52</v>
      </c>
      <c r="U139" s="162">
        <f t="shared" si="25"/>
        <v>1000</v>
      </c>
      <c r="V139" s="91"/>
      <c r="W139" s="162">
        <f t="shared" si="27"/>
        <v>1000</v>
      </c>
      <c r="X139" s="91">
        <v>1000</v>
      </c>
      <c r="Y139" s="162">
        <f t="shared" si="28"/>
        <v>0</v>
      </c>
      <c r="Z139" s="94"/>
      <c r="AA139" s="45"/>
    </row>
    <row r="140" spans="1:27" s="43" customFormat="1" ht="21" customHeight="1" x14ac:dyDescent="0.25">
      <c r="A140" s="44"/>
      <c r="B140" s="367" t="s">
        <v>47</v>
      </c>
      <c r="C140" s="368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500</v>
      </c>
      <c r="H140" s="62"/>
      <c r="I140" s="308">
        <f>IF(C144&gt;0,$K$2,C142)</f>
        <v>31</v>
      </c>
      <c r="J140" s="65" t="s">
        <v>66</v>
      </c>
      <c r="K140" s="66">
        <f>K136/$K$2*I140</f>
        <v>31000</v>
      </c>
      <c r="L140" s="67"/>
      <c r="M140" s="45"/>
      <c r="N140" s="88"/>
      <c r="O140" s="89" t="s">
        <v>53</v>
      </c>
      <c r="P140" s="89">
        <v>30</v>
      </c>
      <c r="Q140" s="89">
        <v>1</v>
      </c>
      <c r="R140" s="89">
        <f t="shared" si="26"/>
        <v>3</v>
      </c>
      <c r="S140" s="93"/>
      <c r="T140" s="89" t="s">
        <v>53</v>
      </c>
      <c r="U140" s="162">
        <f t="shared" si="25"/>
        <v>0</v>
      </c>
      <c r="V140" s="91"/>
      <c r="W140" s="162">
        <f t="shared" si="27"/>
        <v>0</v>
      </c>
      <c r="X140" s="91"/>
      <c r="Y140" s="162">
        <f t="shared" si="28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500</v>
      </c>
      <c r="H141" s="62"/>
      <c r="I141" s="191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>
        <v>29</v>
      </c>
      <c r="Q141" s="89">
        <v>1</v>
      </c>
      <c r="R141" s="89">
        <f t="shared" si="26"/>
        <v>2</v>
      </c>
      <c r="S141" s="93"/>
      <c r="T141" s="89" t="s">
        <v>54</v>
      </c>
      <c r="U141" s="162">
        <f t="shared" si="25"/>
        <v>0</v>
      </c>
      <c r="V141" s="91">
        <v>1000</v>
      </c>
      <c r="W141" s="162">
        <f t="shared" si="27"/>
        <v>1000</v>
      </c>
      <c r="X141" s="91">
        <v>1000</v>
      </c>
      <c r="Y141" s="162">
        <f t="shared" si="28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31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1000</v>
      </c>
      <c r="H142" s="62"/>
      <c r="I142" s="361" t="s">
        <v>74</v>
      </c>
      <c r="J142" s="362"/>
      <c r="K142" s="68">
        <f>K140+K141</f>
        <v>31000</v>
      </c>
      <c r="L142" s="69"/>
      <c r="M142" s="45"/>
      <c r="N142" s="88"/>
      <c r="O142" s="89" t="s">
        <v>55</v>
      </c>
      <c r="P142" s="89">
        <v>30</v>
      </c>
      <c r="Q142" s="89">
        <v>1</v>
      </c>
      <c r="R142" s="89">
        <f t="shared" si="26"/>
        <v>1</v>
      </c>
      <c r="S142" s="93"/>
      <c r="T142" s="89" t="s">
        <v>55</v>
      </c>
      <c r="U142" s="162">
        <f t="shared" si="25"/>
        <v>0</v>
      </c>
      <c r="V142" s="91"/>
      <c r="W142" s="162">
        <f t="shared" si="27"/>
        <v>0</v>
      </c>
      <c r="X142" s="91"/>
      <c r="Y142" s="162">
        <f t="shared" si="28"/>
        <v>0</v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500</v>
      </c>
      <c r="H143" s="62"/>
      <c r="I143" s="361" t="s">
        <v>75</v>
      </c>
      <c r="J143" s="362"/>
      <c r="K143" s="58">
        <f>G143</f>
        <v>500</v>
      </c>
      <c r="L143" s="70"/>
      <c r="M143" s="45"/>
      <c r="N143" s="88"/>
      <c r="O143" s="89" t="s">
        <v>56</v>
      </c>
      <c r="P143" s="89">
        <v>30</v>
      </c>
      <c r="Q143" s="89">
        <v>1</v>
      </c>
      <c r="R143" s="89">
        <f t="shared" si="26"/>
        <v>0</v>
      </c>
      <c r="S143" s="93"/>
      <c r="T143" s="89" t="s">
        <v>56</v>
      </c>
      <c r="U143" s="162">
        <f t="shared" si="25"/>
        <v>0</v>
      </c>
      <c r="V143" s="91"/>
      <c r="W143" s="162">
        <f t="shared" si="27"/>
        <v>0</v>
      </c>
      <c r="X143" s="91"/>
      <c r="Y143" s="162">
        <f t="shared" si="28"/>
        <v>0</v>
      </c>
      <c r="Z143" s="94"/>
      <c r="AA143" s="45"/>
    </row>
    <row r="144" spans="1:27" s="43" customFormat="1" ht="21" customHeight="1" x14ac:dyDescent="0.25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500</v>
      </c>
      <c r="H144" s="45"/>
      <c r="I144" s="363" t="s">
        <v>68</v>
      </c>
      <c r="J144" s="364"/>
      <c r="K144" s="72">
        <f>K142-K143</f>
        <v>30500</v>
      </c>
      <c r="L144" s="73"/>
      <c r="M144" s="45"/>
      <c r="N144" s="88"/>
      <c r="O144" s="89" t="s">
        <v>61</v>
      </c>
      <c r="P144" s="89">
        <v>27</v>
      </c>
      <c r="Q144" s="89">
        <v>3</v>
      </c>
      <c r="R144" s="89">
        <v>0</v>
      </c>
      <c r="S144" s="93"/>
      <c r="T144" s="89" t="s">
        <v>61</v>
      </c>
      <c r="U144" s="162">
        <f t="shared" si="25"/>
        <v>0</v>
      </c>
      <c r="V144" s="91">
        <v>500</v>
      </c>
      <c r="W144" s="162">
        <f t="shared" si="27"/>
        <v>500</v>
      </c>
      <c r="X144" s="91"/>
      <c r="Y144" s="162">
        <f t="shared" si="28"/>
        <v>500</v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57</v>
      </c>
      <c r="P145" s="89">
        <v>31</v>
      </c>
      <c r="Q145" s="89">
        <v>0</v>
      </c>
      <c r="R145" s="89">
        <f t="shared" si="26"/>
        <v>0</v>
      </c>
      <c r="S145" s="93"/>
      <c r="T145" s="89" t="s">
        <v>57</v>
      </c>
      <c r="U145" s="162">
        <f>Y144</f>
        <v>500</v>
      </c>
      <c r="V145" s="91">
        <v>500</v>
      </c>
      <c r="W145" s="162">
        <f t="shared" si="27"/>
        <v>1000</v>
      </c>
      <c r="X145" s="91">
        <v>500</v>
      </c>
      <c r="Y145" s="162">
        <f t="shared" si="28"/>
        <v>500</v>
      </c>
      <c r="Z145" s="94"/>
      <c r="AA145" s="45"/>
    </row>
    <row r="146" spans="1:27" s="43" customFormat="1" ht="21" customHeight="1" x14ac:dyDescent="0.25">
      <c r="A146" s="44"/>
      <c r="B146" s="365" t="s">
        <v>103</v>
      </c>
      <c r="C146" s="365"/>
      <c r="D146" s="365"/>
      <c r="E146" s="365"/>
      <c r="F146" s="365"/>
      <c r="G146" s="365"/>
      <c r="H146" s="365"/>
      <c r="I146" s="365"/>
      <c r="J146" s="365"/>
      <c r="K146" s="365"/>
      <c r="L146" s="61"/>
      <c r="M146" s="45"/>
      <c r="N146" s="88"/>
      <c r="O146" s="89" t="s">
        <v>62</v>
      </c>
      <c r="P146" s="89"/>
      <c r="Q146" s="89"/>
      <c r="R146" s="89" t="str">
        <f t="shared" si="26"/>
        <v/>
      </c>
      <c r="S146" s="93"/>
      <c r="T146" s="89" t="s">
        <v>62</v>
      </c>
      <c r="U146" s="162"/>
      <c r="V146" s="91"/>
      <c r="W146" s="162" t="str">
        <f t="shared" si="27"/>
        <v/>
      </c>
      <c r="X146" s="91"/>
      <c r="Y146" s="162" t="str">
        <f t="shared" si="28"/>
        <v/>
      </c>
      <c r="Z146" s="94"/>
      <c r="AA146" s="45"/>
    </row>
    <row r="147" spans="1:27" s="43" customFormat="1" ht="21" customHeight="1" x14ac:dyDescent="0.25">
      <c r="A147" s="44"/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61"/>
      <c r="M147" s="45"/>
      <c r="N147" s="88"/>
      <c r="O147" s="89" t="s">
        <v>63</v>
      </c>
      <c r="P147" s="89"/>
      <c r="Q147" s="89"/>
      <c r="R147" s="89" t="str">
        <f t="shared" si="26"/>
        <v/>
      </c>
      <c r="S147" s="93"/>
      <c r="T147" s="89" t="s">
        <v>63</v>
      </c>
      <c r="U147" s="162"/>
      <c r="V147" s="91"/>
      <c r="W147" s="162" t="str">
        <f t="shared" si="27"/>
        <v/>
      </c>
      <c r="X147" s="91"/>
      <c r="Y147" s="162" t="str">
        <f t="shared" si="28"/>
        <v/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69" t="s">
        <v>45</v>
      </c>
      <c r="B149" s="370"/>
      <c r="C149" s="370"/>
      <c r="D149" s="370"/>
      <c r="E149" s="370"/>
      <c r="F149" s="370"/>
      <c r="G149" s="370"/>
      <c r="H149" s="370"/>
      <c r="I149" s="370"/>
      <c r="J149" s="370"/>
      <c r="K149" s="370"/>
      <c r="L149" s="371"/>
      <c r="M149" s="42"/>
      <c r="N149" s="81"/>
      <c r="O149" s="372" t="s">
        <v>47</v>
      </c>
      <c r="P149" s="373"/>
      <c r="Q149" s="373"/>
      <c r="R149" s="374"/>
      <c r="S149" s="82"/>
      <c r="T149" s="372" t="s">
        <v>48</v>
      </c>
      <c r="U149" s="373"/>
      <c r="V149" s="373"/>
      <c r="W149" s="373"/>
      <c r="X149" s="373"/>
      <c r="Y149" s="374"/>
      <c r="Z149" s="83"/>
      <c r="AA149" s="42"/>
    </row>
    <row r="150" spans="1:27" s="43" customFormat="1" ht="21" customHeight="1" x14ac:dyDescent="0.25">
      <c r="A150" s="44"/>
      <c r="B150" s="45"/>
      <c r="C150" s="375" t="s">
        <v>101</v>
      </c>
      <c r="D150" s="375"/>
      <c r="E150" s="375"/>
      <c r="F150" s="375"/>
      <c r="G150" s="46" t="str">
        <f>$J$1</f>
        <v>October</v>
      </c>
      <c r="H150" s="376">
        <f>$K$1</f>
        <v>2020</v>
      </c>
      <c r="I150" s="376"/>
      <c r="J150" s="45"/>
      <c r="K150" s="47"/>
      <c r="L150" s="48"/>
      <c r="M150" s="47"/>
      <c r="N150" s="84"/>
      <c r="O150" s="85" t="s">
        <v>58</v>
      </c>
      <c r="P150" s="85" t="s">
        <v>7</v>
      </c>
      <c r="Q150" s="85" t="s">
        <v>6</v>
      </c>
      <c r="R150" s="85" t="s">
        <v>59</v>
      </c>
      <c r="S150" s="86"/>
      <c r="T150" s="85" t="s">
        <v>58</v>
      </c>
      <c r="U150" s="85" t="s">
        <v>60</v>
      </c>
      <c r="V150" s="85" t="s">
        <v>23</v>
      </c>
      <c r="W150" s="85" t="s">
        <v>22</v>
      </c>
      <c r="X150" s="85" t="s">
        <v>24</v>
      </c>
      <c r="Y150" s="85" t="s">
        <v>64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20000</v>
      </c>
      <c r="L151" s="53"/>
      <c r="M151" s="45"/>
      <c r="N151" s="88"/>
      <c r="O151" s="89" t="s">
        <v>50</v>
      </c>
      <c r="P151" s="89"/>
      <c r="Q151" s="89"/>
      <c r="R151" s="89"/>
      <c r="S151" s="90"/>
      <c r="T151" s="89" t="s">
        <v>50</v>
      </c>
      <c r="U151" s="91"/>
      <c r="V151" s="91"/>
      <c r="W151" s="91">
        <f>V151+U151</f>
        <v>0</v>
      </c>
      <c r="X151" s="91"/>
      <c r="Y151" s="91">
        <f>W151-X151</f>
        <v>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149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76</v>
      </c>
      <c r="P152" s="89"/>
      <c r="Q152" s="89"/>
      <c r="R152" s="89"/>
      <c r="S152" s="93"/>
      <c r="T152" s="89" t="s">
        <v>76</v>
      </c>
      <c r="U152" s="162">
        <f t="shared" ref="U152:U159" si="29">Y151</f>
        <v>0</v>
      </c>
      <c r="V152" s="91"/>
      <c r="W152" s="162">
        <f>IF(U152="","",U152+V152)</f>
        <v>0</v>
      </c>
      <c r="X152" s="91"/>
      <c r="Y152" s="162">
        <f>IF(W152="","",W152-X152)</f>
        <v>0</v>
      </c>
      <c r="Z152" s="94"/>
      <c r="AA152" s="42"/>
    </row>
    <row r="153" spans="1:27" s="43" customFormat="1" ht="21" customHeight="1" x14ac:dyDescent="0.25">
      <c r="A153" s="44"/>
      <c r="B153" s="59" t="s">
        <v>46</v>
      </c>
      <c r="C153" s="60"/>
      <c r="D153" s="45"/>
      <c r="E153" s="45"/>
      <c r="F153" s="366" t="s">
        <v>48</v>
      </c>
      <c r="G153" s="366"/>
      <c r="H153" s="45"/>
      <c r="I153" s="366" t="s">
        <v>49</v>
      </c>
      <c r="J153" s="366"/>
      <c r="K153" s="366"/>
      <c r="L153" s="61"/>
      <c r="M153" s="45"/>
      <c r="N153" s="88"/>
      <c r="O153" s="89" t="s">
        <v>51</v>
      </c>
      <c r="P153" s="89"/>
      <c r="Q153" s="89"/>
      <c r="R153" s="89"/>
      <c r="S153" s="93"/>
      <c r="T153" s="89" t="s">
        <v>51</v>
      </c>
      <c r="U153" s="162">
        <f t="shared" si="29"/>
        <v>0</v>
      </c>
      <c r="V153" s="91"/>
      <c r="W153" s="162">
        <f t="shared" ref="W153:W162" si="30">IF(U153="","",U153+V153)</f>
        <v>0</v>
      </c>
      <c r="X153" s="91"/>
      <c r="Y153" s="162">
        <f t="shared" ref="Y153:Y162" si="31">IF(W153="","",W153-X153)</f>
        <v>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52</v>
      </c>
      <c r="P154" s="89"/>
      <c r="Q154" s="89"/>
      <c r="R154" s="89"/>
      <c r="S154" s="93"/>
      <c r="T154" s="89" t="s">
        <v>52</v>
      </c>
      <c r="U154" s="162">
        <f t="shared" si="29"/>
        <v>0</v>
      </c>
      <c r="V154" s="91"/>
      <c r="W154" s="162">
        <f t="shared" si="30"/>
        <v>0</v>
      </c>
      <c r="X154" s="91"/>
      <c r="Y154" s="162">
        <f t="shared" si="31"/>
        <v>0</v>
      </c>
      <c r="Z154" s="94"/>
      <c r="AA154" s="45"/>
    </row>
    <row r="155" spans="1:27" s="43" customFormat="1" ht="21" customHeight="1" x14ac:dyDescent="0.25">
      <c r="A155" s="44"/>
      <c r="B155" s="367" t="s">
        <v>47</v>
      </c>
      <c r="C155" s="368"/>
      <c r="D155" s="45"/>
      <c r="E155" s="45"/>
      <c r="F155" s="63" t="s">
        <v>69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0</v>
      </c>
      <c r="H155" s="62"/>
      <c r="I155" s="64">
        <f>K2</f>
        <v>31</v>
      </c>
      <c r="J155" s="65" t="s">
        <v>66</v>
      </c>
      <c r="K155" s="66">
        <f>K151/$K$2*I155</f>
        <v>20000</v>
      </c>
      <c r="L155" s="67"/>
      <c r="M155" s="45"/>
      <c r="N155" s="88"/>
      <c r="O155" s="89" t="s">
        <v>53</v>
      </c>
      <c r="P155" s="89"/>
      <c r="Q155" s="89"/>
      <c r="R155" s="89" t="str">
        <f>IF(Q155="","",R154-Q155)</f>
        <v/>
      </c>
      <c r="S155" s="93"/>
      <c r="T155" s="89" t="s">
        <v>53</v>
      </c>
      <c r="U155" s="162">
        <f t="shared" si="29"/>
        <v>0</v>
      </c>
      <c r="V155" s="91"/>
      <c r="W155" s="162">
        <f t="shared" si="30"/>
        <v>0</v>
      </c>
      <c r="X155" s="91"/>
      <c r="Y155" s="162">
        <f t="shared" si="31"/>
        <v>0</v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23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64"/>
      <c r="J156" s="65" t="s">
        <v>67</v>
      </c>
      <c r="K156" s="68">
        <f>K151/$K$2/8*I156</f>
        <v>0</v>
      </c>
      <c r="L156" s="69"/>
      <c r="M156" s="45"/>
      <c r="N156" s="88"/>
      <c r="O156" s="89" t="s">
        <v>54</v>
      </c>
      <c r="P156" s="89"/>
      <c r="Q156" s="89"/>
      <c r="R156" s="89" t="str">
        <f>IF(Q156="","",R155-Q156)</f>
        <v/>
      </c>
      <c r="S156" s="93"/>
      <c r="T156" s="89" t="s">
        <v>54</v>
      </c>
      <c r="U156" s="162">
        <f t="shared" si="29"/>
        <v>0</v>
      </c>
      <c r="V156" s="91"/>
      <c r="W156" s="162">
        <f t="shared" si="30"/>
        <v>0</v>
      </c>
      <c r="X156" s="91"/>
      <c r="Y156" s="162">
        <f t="shared" si="31"/>
        <v>0</v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0</v>
      </c>
      <c r="D157" s="45"/>
      <c r="E157" s="45"/>
      <c r="F157" s="63" t="s">
        <v>70</v>
      </c>
      <c r="G157" s="58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>0</v>
      </c>
      <c r="H157" s="62"/>
      <c r="I157" s="361" t="s">
        <v>74</v>
      </c>
      <c r="J157" s="362"/>
      <c r="K157" s="68">
        <f>K155+K156</f>
        <v>20000</v>
      </c>
      <c r="L157" s="69"/>
      <c r="M157" s="45"/>
      <c r="N157" s="88"/>
      <c r="O157" s="89" t="s">
        <v>55</v>
      </c>
      <c r="P157" s="89"/>
      <c r="Q157" s="89"/>
      <c r="R157" s="89" t="str">
        <f>IF(Q157="","",R156-Q157)</f>
        <v/>
      </c>
      <c r="S157" s="93"/>
      <c r="T157" s="89" t="s">
        <v>55</v>
      </c>
      <c r="U157" s="162">
        <f t="shared" si="29"/>
        <v>0</v>
      </c>
      <c r="V157" s="91"/>
      <c r="W157" s="162">
        <f t="shared" si="30"/>
        <v>0</v>
      </c>
      <c r="X157" s="91"/>
      <c r="Y157" s="162">
        <f t="shared" si="31"/>
        <v>0</v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0</v>
      </c>
      <c r="D158" s="45"/>
      <c r="E158" s="45"/>
      <c r="F158" s="63" t="s">
        <v>24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61" t="s">
        <v>75</v>
      </c>
      <c r="J158" s="362"/>
      <c r="K158" s="58">
        <f>G158</f>
        <v>0</v>
      </c>
      <c r="L158" s="70"/>
      <c r="M158" s="45"/>
      <c r="N158" s="88"/>
      <c r="O158" s="89" t="s">
        <v>56</v>
      </c>
      <c r="P158" s="89"/>
      <c r="Q158" s="89"/>
      <c r="R158" s="89" t="str">
        <f>IF(Q158="","",R157-Q158)</f>
        <v/>
      </c>
      <c r="S158" s="93"/>
      <c r="T158" s="89" t="s">
        <v>56</v>
      </c>
      <c r="U158" s="162">
        <f t="shared" si="29"/>
        <v>0</v>
      </c>
      <c r="V158" s="91"/>
      <c r="W158" s="162">
        <f>V158+U158</f>
        <v>0</v>
      </c>
      <c r="X158" s="91"/>
      <c r="Y158" s="162">
        <f t="shared" si="31"/>
        <v>0</v>
      </c>
      <c r="Z158" s="94"/>
      <c r="AA158" s="45"/>
    </row>
    <row r="159" spans="1:27" s="43" customFormat="1" ht="21" customHeight="1" x14ac:dyDescent="0.25">
      <c r="A159" s="44"/>
      <c r="B159" s="71" t="s">
        <v>73</v>
      </c>
      <c r="C159" s="5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0</v>
      </c>
      <c r="D159" s="45"/>
      <c r="E159" s="45"/>
      <c r="F159" s="63" t="s">
        <v>72</v>
      </c>
      <c r="G159" s="58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>0</v>
      </c>
      <c r="H159" s="45"/>
      <c r="I159" s="363" t="s">
        <v>68</v>
      </c>
      <c r="J159" s="364"/>
      <c r="K159" s="72">
        <f>K157-K158</f>
        <v>20000</v>
      </c>
      <c r="L159" s="73"/>
      <c r="M159" s="45"/>
      <c r="N159" s="88"/>
      <c r="O159" s="89" t="s">
        <v>61</v>
      </c>
      <c r="P159" s="89"/>
      <c r="Q159" s="89"/>
      <c r="R159" s="89"/>
      <c r="S159" s="93"/>
      <c r="T159" s="89" t="s">
        <v>61</v>
      </c>
      <c r="U159" s="162">
        <f t="shared" si="29"/>
        <v>0</v>
      </c>
      <c r="V159" s="91"/>
      <c r="W159" s="162">
        <f t="shared" si="30"/>
        <v>0</v>
      </c>
      <c r="X159" s="91"/>
      <c r="Y159" s="162">
        <f t="shared" si="31"/>
        <v>0</v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61"/>
      <c r="M160" s="45"/>
      <c r="N160" s="88"/>
      <c r="O160" s="89" t="s">
        <v>57</v>
      </c>
      <c r="P160" s="89"/>
      <c r="Q160" s="89"/>
      <c r="R160" s="89"/>
      <c r="S160" s="93"/>
      <c r="T160" s="89" t="s">
        <v>57</v>
      </c>
      <c r="U160" s="162">
        <f>IF($J$1="October",Y159,"")</f>
        <v>0</v>
      </c>
      <c r="V160" s="91"/>
      <c r="W160" s="162">
        <f t="shared" si="30"/>
        <v>0</v>
      </c>
      <c r="X160" s="91"/>
      <c r="Y160" s="162">
        <f t="shared" si="31"/>
        <v>0</v>
      </c>
      <c r="Z160" s="94"/>
      <c r="AA160" s="45"/>
    </row>
    <row r="161" spans="1:27" s="43" customFormat="1" ht="21" customHeight="1" x14ac:dyDescent="0.25">
      <c r="A161" s="44"/>
      <c r="B161" s="365" t="s">
        <v>103</v>
      </c>
      <c r="C161" s="365"/>
      <c r="D161" s="365"/>
      <c r="E161" s="365"/>
      <c r="F161" s="365"/>
      <c r="G161" s="365"/>
      <c r="H161" s="365"/>
      <c r="I161" s="365"/>
      <c r="J161" s="365"/>
      <c r="K161" s="365"/>
      <c r="L161" s="61"/>
      <c r="M161" s="45"/>
      <c r="N161" s="88"/>
      <c r="O161" s="89" t="s">
        <v>62</v>
      </c>
      <c r="P161" s="89"/>
      <c r="Q161" s="89"/>
      <c r="R161" s="89"/>
      <c r="S161" s="93"/>
      <c r="T161" s="89" t="s">
        <v>62</v>
      </c>
      <c r="U161" s="162" t="str">
        <f>IF($J$1="November",Y160,"")</f>
        <v/>
      </c>
      <c r="V161" s="91"/>
      <c r="W161" s="162" t="str">
        <f t="shared" si="30"/>
        <v/>
      </c>
      <c r="X161" s="91"/>
      <c r="Y161" s="162" t="str">
        <f t="shared" si="31"/>
        <v/>
      </c>
      <c r="Z161" s="94"/>
      <c r="AA161" s="45"/>
    </row>
    <row r="162" spans="1:27" s="43" customFormat="1" ht="21" customHeight="1" x14ac:dyDescent="0.25">
      <c r="A162" s="44"/>
      <c r="B162" s="365"/>
      <c r="C162" s="365"/>
      <c r="D162" s="365"/>
      <c r="E162" s="365"/>
      <c r="F162" s="365"/>
      <c r="G162" s="365"/>
      <c r="H162" s="365"/>
      <c r="I162" s="365"/>
      <c r="J162" s="365"/>
      <c r="K162" s="365"/>
      <c r="L162" s="61"/>
      <c r="M162" s="45"/>
      <c r="N162" s="88"/>
      <c r="O162" s="89" t="s">
        <v>63</v>
      </c>
      <c r="P162" s="89"/>
      <c r="Q162" s="89"/>
      <c r="R162" s="89"/>
      <c r="S162" s="93"/>
      <c r="T162" s="89" t="s">
        <v>63</v>
      </c>
      <c r="U162" s="162" t="str">
        <f>IF($J$1="December",Y161,"")</f>
        <v/>
      </c>
      <c r="V162" s="91"/>
      <c r="W162" s="162" t="str">
        <f t="shared" si="30"/>
        <v/>
      </c>
      <c r="X162" s="91"/>
      <c r="Y162" s="162" t="str">
        <f t="shared" si="31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5" customFormat="1" ht="21" customHeight="1" thickBot="1" x14ac:dyDescent="0.3"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 spans="1:27" s="43" customFormat="1" ht="21" customHeight="1" x14ac:dyDescent="0.25">
      <c r="A165" s="383" t="s">
        <v>45</v>
      </c>
      <c r="B165" s="384"/>
      <c r="C165" s="384"/>
      <c r="D165" s="384"/>
      <c r="E165" s="384"/>
      <c r="F165" s="384"/>
      <c r="G165" s="384"/>
      <c r="H165" s="384"/>
      <c r="I165" s="384"/>
      <c r="J165" s="384"/>
      <c r="K165" s="384"/>
      <c r="L165" s="385"/>
      <c r="M165" s="42"/>
      <c r="N165" s="81"/>
      <c r="O165" s="372" t="s">
        <v>47</v>
      </c>
      <c r="P165" s="373"/>
      <c r="Q165" s="373"/>
      <c r="R165" s="374"/>
      <c r="S165" s="82"/>
      <c r="T165" s="372" t="s">
        <v>48</v>
      </c>
      <c r="U165" s="373"/>
      <c r="V165" s="373"/>
      <c r="W165" s="373"/>
      <c r="X165" s="373"/>
      <c r="Y165" s="374"/>
      <c r="Z165" s="83"/>
      <c r="AA165" s="42"/>
    </row>
    <row r="166" spans="1:27" s="43" customFormat="1" ht="21" customHeight="1" x14ac:dyDescent="0.25">
      <c r="A166" s="44"/>
      <c r="B166" s="45"/>
      <c r="C166" s="375" t="s">
        <v>101</v>
      </c>
      <c r="D166" s="375"/>
      <c r="E166" s="375"/>
      <c r="F166" s="375"/>
      <c r="G166" s="46" t="str">
        <f>$J$1</f>
        <v>October</v>
      </c>
      <c r="H166" s="376">
        <f>$K$1</f>
        <v>2020</v>
      </c>
      <c r="I166" s="376"/>
      <c r="J166" s="45"/>
      <c r="K166" s="47"/>
      <c r="L166" s="48"/>
      <c r="M166" s="47"/>
      <c r="N166" s="84"/>
      <c r="O166" s="85" t="s">
        <v>58</v>
      </c>
      <c r="P166" s="85" t="s">
        <v>7</v>
      </c>
      <c r="Q166" s="85" t="s">
        <v>6</v>
      </c>
      <c r="R166" s="85" t="s">
        <v>59</v>
      </c>
      <c r="S166" s="86"/>
      <c r="T166" s="85" t="s">
        <v>58</v>
      </c>
      <c r="U166" s="85" t="s">
        <v>60</v>
      </c>
      <c r="V166" s="85" t="s">
        <v>23</v>
      </c>
      <c r="W166" s="85" t="s">
        <v>22</v>
      </c>
      <c r="X166" s="85" t="s">
        <v>24</v>
      </c>
      <c r="Y166" s="85" t="s">
        <v>64</v>
      </c>
      <c r="Z166" s="87"/>
      <c r="AA166" s="47"/>
    </row>
    <row r="167" spans="1:27" s="43" customFormat="1" ht="21" customHeight="1" x14ac:dyDescent="0.25">
      <c r="A167" s="44"/>
      <c r="B167" s="45"/>
      <c r="C167" s="45"/>
      <c r="D167" s="50"/>
      <c r="E167" s="50"/>
      <c r="F167" s="50"/>
      <c r="G167" s="50"/>
      <c r="H167" s="50"/>
      <c r="I167" s="45"/>
      <c r="J167" s="51" t="s">
        <v>1</v>
      </c>
      <c r="K167" s="52">
        <v>28000</v>
      </c>
      <c r="L167" s="53"/>
      <c r="M167" s="45"/>
      <c r="N167" s="88"/>
      <c r="O167" s="89" t="s">
        <v>50</v>
      </c>
      <c r="P167" s="89">
        <v>31</v>
      </c>
      <c r="Q167" s="89">
        <v>0</v>
      </c>
      <c r="R167" s="89">
        <v>0</v>
      </c>
      <c r="S167" s="90"/>
      <c r="T167" s="89" t="s">
        <v>50</v>
      </c>
      <c r="U167" s="91">
        <v>7000</v>
      </c>
      <c r="V167" s="91"/>
      <c r="W167" s="91">
        <f>V167+U167</f>
        <v>7000</v>
      </c>
      <c r="X167" s="91">
        <v>3000</v>
      </c>
      <c r="Y167" s="91">
        <f>W167-X167</f>
        <v>4000</v>
      </c>
      <c r="Z167" s="87"/>
      <c r="AA167" s="45"/>
    </row>
    <row r="168" spans="1:27" s="43" customFormat="1" ht="21" customHeight="1" x14ac:dyDescent="0.25">
      <c r="A168" s="44"/>
      <c r="B168" s="45" t="s">
        <v>0</v>
      </c>
      <c r="C168" s="55" t="s">
        <v>148</v>
      </c>
      <c r="D168" s="45"/>
      <c r="E168" s="45"/>
      <c r="F168" s="45"/>
      <c r="G168" s="45"/>
      <c r="H168" s="56"/>
      <c r="I168" s="50"/>
      <c r="J168" s="45"/>
      <c r="K168" s="45"/>
      <c r="L168" s="57"/>
      <c r="M168" s="42"/>
      <c r="N168" s="92"/>
      <c r="O168" s="89" t="s">
        <v>76</v>
      </c>
      <c r="P168" s="89">
        <v>29</v>
      </c>
      <c r="Q168" s="89">
        <v>0</v>
      </c>
      <c r="R168" s="89">
        <f>R167-Q168</f>
        <v>0</v>
      </c>
      <c r="S168" s="93"/>
      <c r="T168" s="89" t="s">
        <v>76</v>
      </c>
      <c r="U168" s="162">
        <f>Y167</f>
        <v>4000</v>
      </c>
      <c r="V168" s="91"/>
      <c r="W168" s="162">
        <f>IF(U168="","",U168+V168)</f>
        <v>4000</v>
      </c>
      <c r="X168" s="91">
        <v>2000</v>
      </c>
      <c r="Y168" s="162">
        <f>IF(W168="","",W168-X168)</f>
        <v>2000</v>
      </c>
      <c r="Z168" s="94"/>
      <c r="AA168" s="42"/>
    </row>
    <row r="169" spans="1:27" s="43" customFormat="1" ht="21" customHeight="1" x14ac:dyDescent="0.25">
      <c r="A169" s="44"/>
      <c r="B169" s="59" t="s">
        <v>46</v>
      </c>
      <c r="C169" s="60"/>
      <c r="D169" s="45"/>
      <c r="E169" s="45"/>
      <c r="F169" s="366" t="s">
        <v>48</v>
      </c>
      <c r="G169" s="366"/>
      <c r="H169" s="45"/>
      <c r="I169" s="366" t="s">
        <v>49</v>
      </c>
      <c r="J169" s="366"/>
      <c r="K169" s="366"/>
      <c r="L169" s="61"/>
      <c r="M169" s="45"/>
      <c r="N169" s="88"/>
      <c r="O169" s="89" t="s">
        <v>51</v>
      </c>
      <c r="P169" s="89">
        <v>31</v>
      </c>
      <c r="Q169" s="89">
        <v>0</v>
      </c>
      <c r="R169" s="89">
        <v>5</v>
      </c>
      <c r="S169" s="93"/>
      <c r="T169" s="89" t="s">
        <v>51</v>
      </c>
      <c r="U169" s="162">
        <f>Y168</f>
        <v>2000</v>
      </c>
      <c r="V169" s="91"/>
      <c r="W169" s="162">
        <f t="shared" ref="W169:W178" si="32">IF(U169="","",U169+V169)</f>
        <v>2000</v>
      </c>
      <c r="X169" s="91">
        <v>1300</v>
      </c>
      <c r="Y169" s="162">
        <f t="shared" ref="Y169:Y178" si="33">IF(W169="","",W169-X169)</f>
        <v>700</v>
      </c>
      <c r="Z169" s="94"/>
      <c r="AA169" s="45"/>
    </row>
    <row r="170" spans="1:27" s="43" customFormat="1" ht="21" customHeight="1" x14ac:dyDescent="0.25">
      <c r="A170" s="44"/>
      <c r="B170" s="45"/>
      <c r="C170" s="45"/>
      <c r="D170" s="45"/>
      <c r="E170" s="45"/>
      <c r="F170" s="45"/>
      <c r="G170" s="45"/>
      <c r="H170" s="62"/>
      <c r="L170" s="49"/>
      <c r="M170" s="45"/>
      <c r="N170" s="88"/>
      <c r="O170" s="89" t="s">
        <v>52</v>
      </c>
      <c r="P170" s="89">
        <v>22</v>
      </c>
      <c r="Q170" s="89">
        <v>8</v>
      </c>
      <c r="R170" s="89">
        <v>0</v>
      </c>
      <c r="S170" s="93"/>
      <c r="T170" s="89" t="s">
        <v>52</v>
      </c>
      <c r="U170" s="162">
        <f>Y169</f>
        <v>700</v>
      </c>
      <c r="V170" s="91"/>
      <c r="W170" s="162">
        <f t="shared" si="32"/>
        <v>700</v>
      </c>
      <c r="X170" s="91">
        <v>700</v>
      </c>
      <c r="Y170" s="162">
        <f t="shared" si="33"/>
        <v>0</v>
      </c>
      <c r="Z170" s="94"/>
      <c r="AA170" s="45"/>
    </row>
    <row r="171" spans="1:27" s="43" customFormat="1" ht="21" customHeight="1" x14ac:dyDescent="0.25">
      <c r="A171" s="44"/>
      <c r="B171" s="367" t="s">
        <v>47</v>
      </c>
      <c r="C171" s="368"/>
      <c r="D171" s="45"/>
      <c r="E171" s="45"/>
      <c r="F171" s="63" t="s">
        <v>69</v>
      </c>
      <c r="G171" s="58">
        <f>IF($J$1="January",U167,IF($J$1="February",U168,IF($J$1="March",U169,IF($J$1="April",U170,IF($J$1="May",U171,IF($J$1="June",U172,IF($J$1="July",U173,IF($J$1="August",U174,IF($J$1="August",U174,IF($J$1="September",U175,IF($J$1="October",U176,IF($J$1="November",U177,IF($J$1="December",U178)))))))))))))</f>
        <v>15000</v>
      </c>
      <c r="H171" s="62"/>
      <c r="I171" s="64">
        <f>IF(C175&gt;0,$K$2,C173)</f>
        <v>31</v>
      </c>
      <c r="J171" s="65" t="s">
        <v>66</v>
      </c>
      <c r="K171" s="66">
        <f>K167/$K$2*I171</f>
        <v>28000</v>
      </c>
      <c r="L171" s="67"/>
      <c r="M171" s="45"/>
      <c r="N171" s="88"/>
      <c r="O171" s="89" t="s">
        <v>53</v>
      </c>
      <c r="P171" s="89">
        <v>31</v>
      </c>
      <c r="Q171" s="89">
        <v>0</v>
      </c>
      <c r="R171" s="89">
        <v>0</v>
      </c>
      <c r="S171" s="93"/>
      <c r="T171" s="89" t="s">
        <v>53</v>
      </c>
      <c r="U171" s="162"/>
      <c r="V171" s="91"/>
      <c r="W171" s="162" t="str">
        <f t="shared" si="32"/>
        <v/>
      </c>
      <c r="X171" s="91"/>
      <c r="Y171" s="162" t="str">
        <f t="shared" si="33"/>
        <v/>
      </c>
      <c r="Z171" s="94"/>
      <c r="AA171" s="45"/>
    </row>
    <row r="172" spans="1:27" s="43" customFormat="1" ht="21" customHeight="1" x14ac:dyDescent="0.25">
      <c r="A172" s="44"/>
      <c r="B172" s="54"/>
      <c r="C172" s="54"/>
      <c r="D172" s="45"/>
      <c r="E172" s="45"/>
      <c r="F172" s="63" t="s">
        <v>23</v>
      </c>
      <c r="G172" s="58">
        <f>IF($J$1="January",V167,IF($J$1="February",V168,IF($J$1="March",V169,IF($J$1="April",V170,IF($J$1="May",V171,IF($J$1="June",V172,IF($J$1="July",V173,IF($J$1="August",V174,IF($J$1="August",V174,IF($J$1="September",V175,IF($J$1="October",V176,IF($J$1="November",V177,IF($J$1="December",V178)))))))))))))</f>
        <v>0</v>
      </c>
      <c r="H172" s="62"/>
      <c r="I172" s="64">
        <v>38</v>
      </c>
      <c r="J172" s="65" t="s">
        <v>67</v>
      </c>
      <c r="K172" s="68">
        <f>K167/$K$2/7*I172</f>
        <v>4903.2258064516127</v>
      </c>
      <c r="L172" s="69"/>
      <c r="M172" s="45"/>
      <c r="N172" s="88"/>
      <c r="O172" s="89" t="s">
        <v>54</v>
      </c>
      <c r="P172" s="89">
        <v>29</v>
      </c>
      <c r="Q172" s="89">
        <v>1</v>
      </c>
      <c r="R172" s="89">
        <v>0</v>
      </c>
      <c r="S172" s="93"/>
      <c r="T172" s="89" t="s">
        <v>54</v>
      </c>
      <c r="U172" s="162"/>
      <c r="V172" s="91"/>
      <c r="W172" s="162" t="str">
        <f t="shared" si="32"/>
        <v/>
      </c>
      <c r="X172" s="91"/>
      <c r="Y172" s="162" t="str">
        <f t="shared" si="33"/>
        <v/>
      </c>
      <c r="Z172" s="94"/>
      <c r="AA172" s="45"/>
    </row>
    <row r="173" spans="1:27" s="43" customFormat="1" ht="21" customHeight="1" x14ac:dyDescent="0.25">
      <c r="A173" s="44"/>
      <c r="B173" s="63" t="s">
        <v>7</v>
      </c>
      <c r="C173" s="54">
        <f>IF($J$1="January",P167,IF($J$1="February",P168,IF($J$1="March",P169,IF($J$1="April",P170,IF($J$1="May",P171,IF($J$1="June",P172,IF($J$1="July",P173,IF($J$1="August",P174,IF($J$1="August",P174,IF($J$1="September",P175,IF($J$1="October",P176,IF($J$1="November",P177,IF($J$1="December",P178)))))))))))))</f>
        <v>25</v>
      </c>
      <c r="D173" s="45"/>
      <c r="E173" s="45"/>
      <c r="F173" s="63" t="s">
        <v>70</v>
      </c>
      <c r="G173" s="58">
        <f>IF($J$1="January",W167,IF($J$1="February",W168,IF($J$1="March",W169,IF($J$1="April",W170,IF($J$1="May",W171,IF($J$1="June",W172,IF($J$1="July",W173,IF($J$1="August",W174,IF($J$1="August",W174,IF($J$1="September",W175,IF($J$1="October",W176,IF($J$1="November",W177,IF($J$1="December",W178)))))))))))))</f>
        <v>15000</v>
      </c>
      <c r="H173" s="62"/>
      <c r="I173" s="361" t="s">
        <v>74</v>
      </c>
      <c r="J173" s="362"/>
      <c r="K173" s="68">
        <f>K171+K172</f>
        <v>32903.225806451614</v>
      </c>
      <c r="L173" s="69"/>
      <c r="M173" s="45"/>
      <c r="N173" s="88"/>
      <c r="O173" s="89" t="s">
        <v>55</v>
      </c>
      <c r="P173" s="89">
        <v>28</v>
      </c>
      <c r="Q173" s="89">
        <v>3</v>
      </c>
      <c r="R173" s="89">
        <v>13</v>
      </c>
      <c r="S173" s="93"/>
      <c r="T173" s="89" t="s">
        <v>55</v>
      </c>
      <c r="U173" s="162"/>
      <c r="V173" s="91">
        <v>20060</v>
      </c>
      <c r="W173" s="162">
        <f>V173+U173</f>
        <v>20060</v>
      </c>
      <c r="X173" s="91">
        <v>60</v>
      </c>
      <c r="Y173" s="162">
        <f t="shared" si="33"/>
        <v>20000</v>
      </c>
      <c r="Z173" s="94"/>
      <c r="AA173" s="45"/>
    </row>
    <row r="174" spans="1:27" s="43" customFormat="1" ht="21" customHeight="1" x14ac:dyDescent="0.25">
      <c r="A174" s="44"/>
      <c r="B174" s="63" t="s">
        <v>6</v>
      </c>
      <c r="C174" s="54">
        <f>IF($J$1="January",Q167,IF($J$1="February",Q168,IF($J$1="March",Q169,IF($J$1="April",Q170,IF($J$1="May",Q171,IF($J$1="June",Q172,IF($J$1="July",Q173,IF($J$1="August",Q174,IF($J$1="August",Q174,IF($J$1="September",Q175,IF($J$1="October",Q176,IF($J$1="November",Q177,IF($J$1="December",Q178)))))))))))))</f>
        <v>6</v>
      </c>
      <c r="D174" s="45"/>
      <c r="E174" s="45"/>
      <c r="F174" s="63" t="s">
        <v>24</v>
      </c>
      <c r="G174" s="58">
        <f>IF($J$1="January",X167,IF($J$1="February",X168,IF($J$1="March",X169,IF($J$1="April",X170,IF($J$1="May",X171,IF($J$1="June",X172,IF($J$1="July",X173,IF($J$1="August",X174,IF($J$1="August",X174,IF($J$1="September",X175,IF($J$1="October",X176,IF($J$1="November",X177,IF($J$1="December",X178)))))))))))))</f>
        <v>5000</v>
      </c>
      <c r="H174" s="62"/>
      <c r="I174" s="361" t="s">
        <v>75</v>
      </c>
      <c r="J174" s="362"/>
      <c r="K174" s="58">
        <f>G174</f>
        <v>5000</v>
      </c>
      <c r="L174" s="70"/>
      <c r="M174" s="45"/>
      <c r="N174" s="88"/>
      <c r="O174" s="89" t="s">
        <v>56</v>
      </c>
      <c r="P174" s="89">
        <v>27</v>
      </c>
      <c r="Q174" s="89">
        <v>4</v>
      </c>
      <c r="R174" s="89">
        <v>13</v>
      </c>
      <c r="S174" s="93"/>
      <c r="T174" s="89" t="s">
        <v>56</v>
      </c>
      <c r="U174" s="162">
        <f>Y173</f>
        <v>20000</v>
      </c>
      <c r="V174" s="91"/>
      <c r="W174" s="162">
        <f t="shared" si="32"/>
        <v>20000</v>
      </c>
      <c r="X174" s="91">
        <v>5000</v>
      </c>
      <c r="Y174" s="162">
        <f t="shared" si="33"/>
        <v>15000</v>
      </c>
      <c r="Z174" s="94"/>
      <c r="AA174" s="45"/>
    </row>
    <row r="175" spans="1:27" s="43" customFormat="1" ht="21" customHeight="1" x14ac:dyDescent="0.25">
      <c r="A175" s="44"/>
      <c r="B175" s="71" t="s">
        <v>73</v>
      </c>
      <c r="C175" s="54">
        <f>IF($J$1="January",R167,IF($J$1="February",R168,IF($J$1="March",R169,IF($J$1="April",R170,IF($J$1="May",R171,IF($J$1="June",R172,IF($J$1="July",R173,IF($J$1="August",R174,IF($J$1="August",R174,IF($J$1="September",R175,IF($J$1="October",R176,IF($J$1="November",R177,IF($J$1="December",R178)))))))))))))</f>
        <v>13</v>
      </c>
      <c r="D175" s="45"/>
      <c r="E175" s="45"/>
      <c r="F175" s="63" t="s">
        <v>72</v>
      </c>
      <c r="G175" s="58">
        <f>IF($J$1="January",Y167,IF($J$1="February",Y168,IF($J$1="March",Y169,IF($J$1="April",Y170,IF($J$1="May",Y171,IF($J$1="June",Y172,IF($J$1="July",Y173,IF($J$1="August",Y174,IF($J$1="August",Y174,IF($J$1="September",Y175,IF($J$1="October",Y176,IF($J$1="November",Y177,IF($J$1="December",Y178)))))))))))))</f>
        <v>10000</v>
      </c>
      <c r="H175" s="45"/>
      <c r="I175" s="363" t="s">
        <v>68</v>
      </c>
      <c r="J175" s="364"/>
      <c r="K175" s="72">
        <f>K173-K174</f>
        <v>27903.225806451614</v>
      </c>
      <c r="L175" s="73"/>
      <c r="M175" s="45"/>
      <c r="N175" s="88"/>
      <c r="O175" s="89" t="s">
        <v>61</v>
      </c>
      <c r="P175" s="89">
        <v>30</v>
      </c>
      <c r="Q175" s="89">
        <v>0</v>
      </c>
      <c r="R175" s="89">
        <v>13</v>
      </c>
      <c r="S175" s="93"/>
      <c r="T175" s="89" t="s">
        <v>61</v>
      </c>
      <c r="U175" s="162">
        <f>Y174</f>
        <v>15000</v>
      </c>
      <c r="V175" s="91"/>
      <c r="W175" s="162">
        <f t="shared" si="32"/>
        <v>15000</v>
      </c>
      <c r="X175" s="91"/>
      <c r="Y175" s="162">
        <f t="shared" si="33"/>
        <v>15000</v>
      </c>
      <c r="Z175" s="94"/>
      <c r="AA175" s="45"/>
    </row>
    <row r="176" spans="1:27" s="43" customFormat="1" ht="21" customHeight="1" x14ac:dyDescent="0.25">
      <c r="A176" s="44"/>
      <c r="B176" s="45"/>
      <c r="C176" s="45"/>
      <c r="D176" s="45"/>
      <c r="E176" s="45"/>
      <c r="F176" s="45"/>
      <c r="G176" s="45"/>
      <c r="H176" s="45"/>
      <c r="I176" s="45"/>
      <c r="J176" s="45"/>
      <c r="K176" s="177"/>
      <c r="L176" s="61"/>
      <c r="M176" s="45"/>
      <c r="N176" s="88"/>
      <c r="O176" s="89" t="s">
        <v>57</v>
      </c>
      <c r="P176" s="89">
        <v>25</v>
      </c>
      <c r="Q176" s="89">
        <v>6</v>
      </c>
      <c r="R176" s="89">
        <v>13</v>
      </c>
      <c r="S176" s="93"/>
      <c r="T176" s="89" t="s">
        <v>57</v>
      </c>
      <c r="U176" s="162">
        <f>Y175</f>
        <v>15000</v>
      </c>
      <c r="V176" s="91"/>
      <c r="W176" s="162">
        <f t="shared" si="32"/>
        <v>15000</v>
      </c>
      <c r="X176" s="91">
        <v>5000</v>
      </c>
      <c r="Y176" s="162">
        <f t="shared" si="33"/>
        <v>10000</v>
      </c>
      <c r="Z176" s="94"/>
      <c r="AA176" s="45"/>
    </row>
    <row r="177" spans="1:27" s="43" customFormat="1" ht="21" customHeight="1" x14ac:dyDescent="0.25">
      <c r="A177" s="44"/>
      <c r="B177" s="365" t="s">
        <v>103</v>
      </c>
      <c r="C177" s="365"/>
      <c r="D177" s="365"/>
      <c r="E177" s="365"/>
      <c r="F177" s="365"/>
      <c r="G177" s="365"/>
      <c r="H177" s="365"/>
      <c r="I177" s="365"/>
      <c r="J177" s="365"/>
      <c r="K177" s="365"/>
      <c r="L177" s="61"/>
      <c r="M177" s="45"/>
      <c r="N177" s="88"/>
      <c r="O177" s="89" t="s">
        <v>62</v>
      </c>
      <c r="P177" s="89"/>
      <c r="Q177" s="89"/>
      <c r="R177" s="89">
        <v>0</v>
      </c>
      <c r="S177" s="93"/>
      <c r="T177" s="89" t="s">
        <v>62</v>
      </c>
      <c r="U177" s="162"/>
      <c r="V177" s="91"/>
      <c r="W177" s="162" t="str">
        <f t="shared" si="32"/>
        <v/>
      </c>
      <c r="X177" s="91"/>
      <c r="Y177" s="162" t="str">
        <f t="shared" si="33"/>
        <v/>
      </c>
      <c r="Z177" s="94"/>
      <c r="AA177" s="45"/>
    </row>
    <row r="178" spans="1:27" s="43" customFormat="1" ht="21" customHeight="1" x14ac:dyDescent="0.25">
      <c r="A178" s="44"/>
      <c r="B178" s="365"/>
      <c r="C178" s="365"/>
      <c r="D178" s="365"/>
      <c r="E178" s="365"/>
      <c r="F178" s="365"/>
      <c r="G178" s="365"/>
      <c r="H178" s="365"/>
      <c r="I178" s="365"/>
      <c r="J178" s="365"/>
      <c r="K178" s="365"/>
      <c r="L178" s="61"/>
      <c r="M178" s="45"/>
      <c r="N178" s="88"/>
      <c r="O178" s="89" t="s">
        <v>63</v>
      </c>
      <c r="P178" s="89"/>
      <c r="Q178" s="89"/>
      <c r="R178" s="89">
        <v>0</v>
      </c>
      <c r="S178" s="93"/>
      <c r="T178" s="89" t="s">
        <v>63</v>
      </c>
      <c r="U178" s="162"/>
      <c r="V178" s="91"/>
      <c r="W178" s="162" t="str">
        <f t="shared" si="32"/>
        <v/>
      </c>
      <c r="X178" s="91"/>
      <c r="Y178" s="162" t="str">
        <f t="shared" si="33"/>
        <v/>
      </c>
      <c r="Z178" s="94"/>
      <c r="AA178" s="45"/>
    </row>
    <row r="179" spans="1:27" s="43" customFormat="1" ht="21" customHeight="1" thickBot="1" x14ac:dyDescent="0.3">
      <c r="A179" s="74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6"/>
      <c r="N179" s="95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7"/>
    </row>
    <row r="180" spans="1:27" s="45" customFormat="1" ht="21" customHeight="1" x14ac:dyDescent="0.25"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 spans="1:27" s="45" customFormat="1" ht="21" customHeight="1" thickBot="1" x14ac:dyDescent="0.3"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 spans="1:27" s="43" customFormat="1" ht="21" customHeight="1" x14ac:dyDescent="0.25">
      <c r="A182" s="369" t="s">
        <v>45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1"/>
      <c r="M182" s="131"/>
      <c r="N182" s="81"/>
      <c r="O182" s="372" t="s">
        <v>47</v>
      </c>
      <c r="P182" s="373"/>
      <c r="Q182" s="373"/>
      <c r="R182" s="374"/>
      <c r="S182" s="82"/>
      <c r="T182" s="372" t="s">
        <v>48</v>
      </c>
      <c r="U182" s="373"/>
      <c r="V182" s="373"/>
      <c r="W182" s="373"/>
      <c r="X182" s="373"/>
      <c r="Y182" s="374"/>
      <c r="Z182" s="80"/>
    </row>
    <row r="183" spans="1:27" s="43" customFormat="1" ht="21" customHeight="1" x14ac:dyDescent="0.25">
      <c r="A183" s="44"/>
      <c r="B183" s="45"/>
      <c r="C183" s="375" t="s">
        <v>101</v>
      </c>
      <c r="D183" s="375"/>
      <c r="E183" s="375"/>
      <c r="F183" s="375"/>
      <c r="G183" s="46" t="str">
        <f>$J$1</f>
        <v>October</v>
      </c>
      <c r="H183" s="376">
        <f>$K$1</f>
        <v>2020</v>
      </c>
      <c r="I183" s="376"/>
      <c r="J183" s="45"/>
      <c r="K183" s="47"/>
      <c r="L183" s="48"/>
      <c r="M183" s="47"/>
      <c r="N183" s="84"/>
      <c r="O183" s="85" t="s">
        <v>58</v>
      </c>
      <c r="P183" s="85" t="s">
        <v>7</v>
      </c>
      <c r="Q183" s="85" t="s">
        <v>6</v>
      </c>
      <c r="R183" s="85" t="s">
        <v>59</v>
      </c>
      <c r="S183" s="86"/>
      <c r="T183" s="85" t="s">
        <v>58</v>
      </c>
      <c r="U183" s="85" t="s">
        <v>60</v>
      </c>
      <c r="V183" s="85" t="s">
        <v>23</v>
      </c>
      <c r="W183" s="85" t="s">
        <v>22</v>
      </c>
      <c r="X183" s="85" t="s">
        <v>24</v>
      </c>
      <c r="Y183" s="85" t="s">
        <v>64</v>
      </c>
      <c r="Z183" s="80"/>
    </row>
    <row r="184" spans="1:27" s="43" customFormat="1" ht="21" customHeight="1" x14ac:dyDescent="0.25">
      <c r="A184" s="44"/>
      <c r="B184" s="45"/>
      <c r="C184" s="45"/>
      <c r="D184" s="50"/>
      <c r="E184" s="50"/>
      <c r="F184" s="50"/>
      <c r="G184" s="50"/>
      <c r="H184" s="50"/>
      <c r="I184" s="45"/>
      <c r="J184" s="51" t="s">
        <v>1</v>
      </c>
      <c r="K184" s="52"/>
      <c r="L184" s="53"/>
      <c r="M184" s="45"/>
      <c r="N184" s="88"/>
      <c r="O184" s="89" t="s">
        <v>50</v>
      </c>
      <c r="P184" s="89"/>
      <c r="Q184" s="89"/>
      <c r="R184" s="89"/>
      <c r="S184" s="90"/>
      <c r="T184" s="89" t="s">
        <v>50</v>
      </c>
      <c r="U184" s="91"/>
      <c r="V184" s="91"/>
      <c r="W184" s="91">
        <f>V184+U184</f>
        <v>0</v>
      </c>
      <c r="X184" s="91"/>
      <c r="Y184" s="91">
        <f>W184-X184</f>
        <v>0</v>
      </c>
      <c r="Z184" s="80"/>
    </row>
    <row r="185" spans="1:27" s="43" customFormat="1" ht="21" customHeight="1" x14ac:dyDescent="0.25">
      <c r="A185" s="44"/>
      <c r="B185" s="45" t="s">
        <v>0</v>
      </c>
      <c r="C185" s="100"/>
      <c r="D185" s="45"/>
      <c r="E185" s="45"/>
      <c r="F185" s="45"/>
      <c r="G185" s="45"/>
      <c r="H185" s="56"/>
      <c r="I185" s="50"/>
      <c r="J185" s="45"/>
      <c r="K185" s="45"/>
      <c r="L185" s="57"/>
      <c r="M185" s="131"/>
      <c r="N185" s="92"/>
      <c r="O185" s="89" t="s">
        <v>76</v>
      </c>
      <c r="P185" s="89"/>
      <c r="Q185" s="89"/>
      <c r="R185" s="89"/>
      <c r="S185" s="93"/>
      <c r="T185" s="89" t="s">
        <v>76</v>
      </c>
      <c r="U185" s="162"/>
      <c r="V185" s="91"/>
      <c r="W185" s="162">
        <f>V185+U185</f>
        <v>0</v>
      </c>
      <c r="X185" s="91"/>
      <c r="Y185" s="162">
        <f>IF(W185="","",W185-X185)</f>
        <v>0</v>
      </c>
      <c r="Z185" s="80"/>
    </row>
    <row r="186" spans="1:27" s="43" customFormat="1" ht="21" customHeight="1" x14ac:dyDescent="0.25">
      <c r="A186" s="44"/>
      <c r="B186" s="59" t="s">
        <v>46</v>
      </c>
      <c r="C186" s="77"/>
      <c r="D186" s="45"/>
      <c r="E186" s="45"/>
      <c r="F186" s="366" t="s">
        <v>48</v>
      </c>
      <c r="G186" s="366"/>
      <c r="H186" s="45"/>
      <c r="I186" s="366" t="s">
        <v>49</v>
      </c>
      <c r="J186" s="366"/>
      <c r="K186" s="366"/>
      <c r="L186" s="61"/>
      <c r="M186" s="45"/>
      <c r="N186" s="88"/>
      <c r="O186" s="89" t="s">
        <v>51</v>
      </c>
      <c r="P186" s="89"/>
      <c r="Q186" s="89"/>
      <c r="R186" s="89" t="str">
        <f>IF(Q186="","",R185-Q186)</f>
        <v/>
      </c>
      <c r="S186" s="93"/>
      <c r="T186" s="89" t="s">
        <v>51</v>
      </c>
      <c r="U186" s="162"/>
      <c r="V186" s="91"/>
      <c r="W186" s="162" t="str">
        <f t="shared" ref="W186:W195" si="34">IF(U186="","",U186+V186)</f>
        <v/>
      </c>
      <c r="X186" s="91"/>
      <c r="Y186" s="162" t="str">
        <f t="shared" ref="Y186:Y195" si="35">IF(W186="","",W186-X186)</f>
        <v/>
      </c>
      <c r="Z186" s="80"/>
    </row>
    <row r="187" spans="1:27" s="43" customFormat="1" ht="21" customHeight="1" x14ac:dyDescent="0.25">
      <c r="A187" s="44"/>
      <c r="B187" s="45"/>
      <c r="C187" s="45"/>
      <c r="D187" s="45"/>
      <c r="E187" s="45"/>
      <c r="F187" s="45"/>
      <c r="G187" s="45"/>
      <c r="H187" s="62"/>
      <c r="L187" s="49"/>
      <c r="M187" s="45"/>
      <c r="N187" s="88"/>
      <c r="O187" s="89" t="s">
        <v>52</v>
      </c>
      <c r="P187" s="89"/>
      <c r="Q187" s="89"/>
      <c r="R187" s="89">
        <v>0</v>
      </c>
      <c r="S187" s="93"/>
      <c r="T187" s="89" t="s">
        <v>52</v>
      </c>
      <c r="U187" s="162" t="str">
        <f>IF($J$1="April",Y186,Y186)</f>
        <v/>
      </c>
      <c r="V187" s="91"/>
      <c r="W187" s="162" t="str">
        <f t="shared" si="34"/>
        <v/>
      </c>
      <c r="X187" s="91"/>
      <c r="Y187" s="162" t="str">
        <f t="shared" si="35"/>
        <v/>
      </c>
      <c r="Z187" s="80"/>
    </row>
    <row r="188" spans="1:27" s="43" customFormat="1" ht="21" customHeight="1" x14ac:dyDescent="0.25">
      <c r="A188" s="44"/>
      <c r="B188" s="367" t="s">
        <v>47</v>
      </c>
      <c r="C188" s="368"/>
      <c r="D188" s="45"/>
      <c r="E188" s="45"/>
      <c r="F188" s="63" t="s">
        <v>69</v>
      </c>
      <c r="G188" s="58" t="str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/>
      </c>
      <c r="H188" s="62"/>
      <c r="I188" s="64">
        <f>IF(C192&gt;=C191,$K$2,C190+C192)</f>
        <v>31</v>
      </c>
      <c r="J188" s="65" t="s">
        <v>66</v>
      </c>
      <c r="K188" s="66">
        <f>K184/$K$2*I188</f>
        <v>0</v>
      </c>
      <c r="L188" s="67"/>
      <c r="M188" s="45"/>
      <c r="N188" s="88"/>
      <c r="O188" s="89" t="s">
        <v>53</v>
      </c>
      <c r="P188" s="89"/>
      <c r="Q188" s="89"/>
      <c r="R188" s="89" t="str">
        <f t="shared" ref="R188:R193" si="36">IF(Q188="","",R187-Q188)</f>
        <v/>
      </c>
      <c r="S188" s="93"/>
      <c r="T188" s="89" t="s">
        <v>53</v>
      </c>
      <c r="U188" s="162" t="str">
        <f>IF($J$1="May",Y187,"")</f>
        <v/>
      </c>
      <c r="V188" s="91"/>
      <c r="W188" s="162" t="str">
        <f t="shared" si="34"/>
        <v/>
      </c>
      <c r="X188" s="91"/>
      <c r="Y188" s="162" t="str">
        <f t="shared" si="35"/>
        <v/>
      </c>
      <c r="Z188" s="80"/>
    </row>
    <row r="189" spans="1:27" s="43" customFormat="1" ht="21" customHeight="1" x14ac:dyDescent="0.25">
      <c r="A189" s="44"/>
      <c r="B189" s="54"/>
      <c r="C189" s="54"/>
      <c r="D189" s="45"/>
      <c r="E189" s="45"/>
      <c r="F189" s="63" t="s">
        <v>23</v>
      </c>
      <c r="G189" s="58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62"/>
      <c r="I189" s="64"/>
      <c r="J189" s="65" t="s">
        <v>67</v>
      </c>
      <c r="K189" s="68"/>
      <c r="L189" s="69"/>
      <c r="M189" s="45"/>
      <c r="N189" s="88"/>
      <c r="O189" s="89" t="s">
        <v>54</v>
      </c>
      <c r="P189" s="89"/>
      <c r="Q189" s="89"/>
      <c r="R189" s="89" t="str">
        <f t="shared" si="36"/>
        <v/>
      </c>
      <c r="S189" s="93"/>
      <c r="T189" s="89" t="s">
        <v>54</v>
      </c>
      <c r="U189" s="162" t="str">
        <f>IF($J$1="May",Y188,Y188)</f>
        <v/>
      </c>
      <c r="V189" s="91"/>
      <c r="W189" s="162" t="str">
        <f t="shared" si="34"/>
        <v/>
      </c>
      <c r="X189" s="91"/>
      <c r="Y189" s="162" t="str">
        <f t="shared" si="35"/>
        <v/>
      </c>
      <c r="Z189" s="80"/>
    </row>
    <row r="190" spans="1:27" s="43" customFormat="1" ht="21" customHeight="1" x14ac:dyDescent="0.25">
      <c r="A190" s="44"/>
      <c r="B190" s="63" t="s">
        <v>7</v>
      </c>
      <c r="C190" s="54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0</v>
      </c>
      <c r="D190" s="45"/>
      <c r="E190" s="45"/>
      <c r="F190" s="63" t="s">
        <v>70</v>
      </c>
      <c r="G190" s="58" t="str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/>
      </c>
      <c r="H190" s="62"/>
      <c r="I190" s="361" t="s">
        <v>74</v>
      </c>
      <c r="J190" s="362"/>
      <c r="K190" s="68">
        <f>K188+K189</f>
        <v>0</v>
      </c>
      <c r="L190" s="69"/>
      <c r="M190" s="45"/>
      <c r="N190" s="88"/>
      <c r="O190" s="89" t="s">
        <v>55</v>
      </c>
      <c r="P190" s="89"/>
      <c r="Q190" s="89"/>
      <c r="R190" s="89" t="str">
        <f t="shared" si="36"/>
        <v/>
      </c>
      <c r="S190" s="93"/>
      <c r="T190" s="89" t="s">
        <v>55</v>
      </c>
      <c r="U190" s="162" t="str">
        <f>IF($J$1="July",Y189,"")</f>
        <v/>
      </c>
      <c r="V190" s="91"/>
      <c r="W190" s="162" t="str">
        <f t="shared" si="34"/>
        <v/>
      </c>
      <c r="X190" s="91"/>
      <c r="Y190" s="162" t="str">
        <f t="shared" si="35"/>
        <v/>
      </c>
      <c r="Z190" s="80"/>
    </row>
    <row r="191" spans="1:27" s="43" customFormat="1" ht="21" customHeight="1" x14ac:dyDescent="0.25">
      <c r="A191" s="44"/>
      <c r="B191" s="63" t="s">
        <v>6</v>
      </c>
      <c r="C191" s="54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0</v>
      </c>
      <c r="D191" s="45"/>
      <c r="E191" s="45"/>
      <c r="F191" s="63" t="s">
        <v>24</v>
      </c>
      <c r="G191" s="58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62"/>
      <c r="I191" s="361" t="s">
        <v>75</v>
      </c>
      <c r="J191" s="362"/>
      <c r="K191" s="58">
        <f>G191</f>
        <v>0</v>
      </c>
      <c r="L191" s="70"/>
      <c r="M191" s="45"/>
      <c r="N191" s="88"/>
      <c r="O191" s="89" t="s">
        <v>56</v>
      </c>
      <c r="P191" s="89"/>
      <c r="Q191" s="89"/>
      <c r="R191" s="89" t="str">
        <f t="shared" si="36"/>
        <v/>
      </c>
      <c r="S191" s="93"/>
      <c r="T191" s="89" t="s">
        <v>56</v>
      </c>
      <c r="U191" s="162" t="str">
        <f>IF($J$1="August",Y190,"")</f>
        <v/>
      </c>
      <c r="V191" s="91"/>
      <c r="W191" s="162" t="str">
        <f t="shared" si="34"/>
        <v/>
      </c>
      <c r="X191" s="91"/>
      <c r="Y191" s="162" t="str">
        <f t="shared" si="35"/>
        <v/>
      </c>
      <c r="Z191" s="80"/>
    </row>
    <row r="192" spans="1:27" s="43" customFormat="1" ht="21" customHeight="1" x14ac:dyDescent="0.25">
      <c r="A192" s="44"/>
      <c r="B192" s="71" t="s">
        <v>73</v>
      </c>
      <c r="C192" s="54" t="str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/>
      </c>
      <c r="D192" s="45"/>
      <c r="E192" s="45"/>
      <c r="F192" s="63" t="s">
        <v>72</v>
      </c>
      <c r="G192" s="58" t="str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/>
      </c>
      <c r="H192" s="45"/>
      <c r="I192" s="363" t="s">
        <v>68</v>
      </c>
      <c r="J192" s="364"/>
      <c r="K192" s="72">
        <f>K190-K191</f>
        <v>0</v>
      </c>
      <c r="L192" s="73"/>
      <c r="M192" s="45"/>
      <c r="N192" s="88"/>
      <c r="O192" s="89" t="s">
        <v>61</v>
      </c>
      <c r="P192" s="89"/>
      <c r="Q192" s="89"/>
      <c r="R192" s="89" t="str">
        <f t="shared" si="36"/>
        <v/>
      </c>
      <c r="S192" s="93"/>
      <c r="T192" s="89" t="s">
        <v>61</v>
      </c>
      <c r="U192" s="162" t="str">
        <f>IF($J$1="Sept",Y191,"")</f>
        <v/>
      </c>
      <c r="V192" s="91"/>
      <c r="W192" s="162" t="str">
        <f t="shared" si="34"/>
        <v/>
      </c>
      <c r="X192" s="91"/>
      <c r="Y192" s="162" t="str">
        <f t="shared" si="35"/>
        <v/>
      </c>
      <c r="Z192" s="80"/>
    </row>
    <row r="193" spans="1:26" s="43" customFormat="1" ht="21" customHeight="1" x14ac:dyDescent="0.25">
      <c r="A193" s="44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61"/>
      <c r="M193" s="45"/>
      <c r="N193" s="88"/>
      <c r="O193" s="89" t="s">
        <v>57</v>
      </c>
      <c r="P193" s="89"/>
      <c r="Q193" s="89"/>
      <c r="R193" s="89" t="str">
        <f t="shared" si="36"/>
        <v/>
      </c>
      <c r="S193" s="93"/>
      <c r="T193" s="89" t="s">
        <v>57</v>
      </c>
      <c r="U193" s="162" t="str">
        <f>IF($J$1="October",Y192,"")</f>
        <v/>
      </c>
      <c r="V193" s="91"/>
      <c r="W193" s="162" t="str">
        <f t="shared" si="34"/>
        <v/>
      </c>
      <c r="X193" s="91"/>
      <c r="Y193" s="162" t="str">
        <f t="shared" si="35"/>
        <v/>
      </c>
      <c r="Z193" s="80"/>
    </row>
    <row r="194" spans="1:26" s="43" customFormat="1" ht="21" customHeight="1" x14ac:dyDescent="0.25">
      <c r="A194" s="44"/>
      <c r="B194" s="365" t="s">
        <v>103</v>
      </c>
      <c r="C194" s="365"/>
      <c r="D194" s="365"/>
      <c r="E194" s="365"/>
      <c r="F194" s="365"/>
      <c r="G194" s="365"/>
      <c r="H194" s="365"/>
      <c r="I194" s="365"/>
      <c r="J194" s="365"/>
      <c r="K194" s="365"/>
      <c r="L194" s="61"/>
      <c r="M194" s="45"/>
      <c r="N194" s="88"/>
      <c r="O194" s="89" t="s">
        <v>62</v>
      </c>
      <c r="P194" s="89"/>
      <c r="Q194" s="89"/>
      <c r="R194" s="89">
        <v>0</v>
      </c>
      <c r="S194" s="93"/>
      <c r="T194" s="89" t="s">
        <v>62</v>
      </c>
      <c r="U194" s="162" t="str">
        <f>IF($J$1="November",Y193,"")</f>
        <v/>
      </c>
      <c r="V194" s="91"/>
      <c r="W194" s="162" t="str">
        <f t="shared" si="34"/>
        <v/>
      </c>
      <c r="X194" s="91"/>
      <c r="Y194" s="162" t="str">
        <f t="shared" si="35"/>
        <v/>
      </c>
      <c r="Z194" s="80"/>
    </row>
    <row r="195" spans="1:26" s="43" customFormat="1" ht="21" customHeight="1" x14ac:dyDescent="0.25">
      <c r="A195" s="4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61"/>
      <c r="M195" s="45"/>
      <c r="N195" s="88"/>
      <c r="O195" s="89" t="s">
        <v>63</v>
      </c>
      <c r="P195" s="89"/>
      <c r="Q195" s="89"/>
      <c r="R195" s="89">
        <v>0</v>
      </c>
      <c r="S195" s="93"/>
      <c r="T195" s="89" t="s">
        <v>63</v>
      </c>
      <c r="U195" s="162" t="str">
        <f>IF($J$1="Dec",Y194,"")</f>
        <v/>
      </c>
      <c r="V195" s="91"/>
      <c r="W195" s="162" t="str">
        <f t="shared" si="34"/>
        <v/>
      </c>
      <c r="X195" s="91"/>
      <c r="Y195" s="162" t="str">
        <f t="shared" si="35"/>
        <v/>
      </c>
      <c r="Z195" s="80"/>
    </row>
    <row r="196" spans="1:26" s="43" customFormat="1" ht="21" customHeight="1" thickBot="1" x14ac:dyDescent="0.3">
      <c r="A196" s="74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6"/>
      <c r="N196" s="95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80"/>
    </row>
    <row r="197" spans="1:26" s="45" customFormat="1" ht="21" customHeight="1" thickBot="1" x14ac:dyDescent="0.3"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 spans="1:26" s="43" customFormat="1" ht="21" customHeight="1" x14ac:dyDescent="0.25">
      <c r="A198" s="383" t="s">
        <v>45</v>
      </c>
      <c r="B198" s="384"/>
      <c r="C198" s="384"/>
      <c r="D198" s="384"/>
      <c r="E198" s="384"/>
      <c r="F198" s="384"/>
      <c r="G198" s="384"/>
      <c r="H198" s="384"/>
      <c r="I198" s="384"/>
      <c r="J198" s="384"/>
      <c r="K198" s="384"/>
      <c r="L198" s="385"/>
      <c r="M198" s="131"/>
      <c r="N198" s="81"/>
      <c r="O198" s="372" t="s">
        <v>47</v>
      </c>
      <c r="P198" s="373"/>
      <c r="Q198" s="373"/>
      <c r="R198" s="374"/>
      <c r="S198" s="82"/>
      <c r="T198" s="372" t="s">
        <v>48</v>
      </c>
      <c r="U198" s="373"/>
      <c r="V198" s="373"/>
      <c r="W198" s="373"/>
      <c r="X198" s="373"/>
      <c r="Y198" s="374"/>
      <c r="Z198" s="80"/>
    </row>
    <row r="199" spans="1:26" s="43" customFormat="1" ht="21" customHeight="1" x14ac:dyDescent="0.25">
      <c r="A199" s="44"/>
      <c r="B199" s="45"/>
      <c r="C199" s="375" t="s">
        <v>101</v>
      </c>
      <c r="D199" s="375"/>
      <c r="E199" s="375"/>
      <c r="F199" s="375"/>
      <c r="G199" s="46" t="str">
        <f>$J$1</f>
        <v>October</v>
      </c>
      <c r="H199" s="376">
        <f>$K$1</f>
        <v>2020</v>
      </c>
      <c r="I199" s="376"/>
      <c r="J199" s="45"/>
      <c r="K199" s="47"/>
      <c r="L199" s="48"/>
      <c r="M199" s="47"/>
      <c r="N199" s="84"/>
      <c r="O199" s="85" t="s">
        <v>58</v>
      </c>
      <c r="P199" s="85" t="s">
        <v>7</v>
      </c>
      <c r="Q199" s="85" t="s">
        <v>6</v>
      </c>
      <c r="R199" s="85" t="s">
        <v>59</v>
      </c>
      <c r="S199" s="86"/>
      <c r="T199" s="85" t="s">
        <v>58</v>
      </c>
      <c r="U199" s="85" t="s">
        <v>60</v>
      </c>
      <c r="V199" s="85" t="s">
        <v>23</v>
      </c>
      <c r="W199" s="85" t="s">
        <v>22</v>
      </c>
      <c r="X199" s="85" t="s">
        <v>24</v>
      </c>
      <c r="Y199" s="85" t="s">
        <v>64</v>
      </c>
      <c r="Z199" s="80"/>
    </row>
    <row r="200" spans="1:26" s="43" customFormat="1" ht="21" customHeight="1" x14ac:dyDescent="0.25">
      <c r="A200" s="44"/>
      <c r="B200" s="45"/>
      <c r="C200" s="45"/>
      <c r="D200" s="50"/>
      <c r="E200" s="50"/>
      <c r="F200" s="50"/>
      <c r="G200" s="50"/>
      <c r="H200" s="50"/>
      <c r="I200" s="45"/>
      <c r="J200" s="51" t="s">
        <v>1</v>
      </c>
      <c r="K200" s="52"/>
      <c r="L200" s="53"/>
      <c r="M200" s="45"/>
      <c r="N200" s="88"/>
      <c r="O200" s="89" t="s">
        <v>50</v>
      </c>
      <c r="P200" s="89"/>
      <c r="Q200" s="89"/>
      <c r="R200" s="89">
        <f>5-Q200</f>
        <v>5</v>
      </c>
      <c r="S200" s="90"/>
      <c r="T200" s="89" t="s">
        <v>50</v>
      </c>
      <c r="U200" s="91"/>
      <c r="V200" s="91"/>
      <c r="W200" s="91">
        <f>V200+U200</f>
        <v>0</v>
      </c>
      <c r="X200" s="91"/>
      <c r="Y200" s="91">
        <f>W200-X200</f>
        <v>0</v>
      </c>
      <c r="Z200" s="80"/>
    </row>
    <row r="201" spans="1:26" s="43" customFormat="1" ht="21" customHeight="1" x14ac:dyDescent="0.25">
      <c r="A201" s="44"/>
      <c r="B201" s="45" t="s">
        <v>0</v>
      </c>
      <c r="C201" s="100"/>
      <c r="D201" s="45"/>
      <c r="E201" s="45"/>
      <c r="F201" s="45"/>
      <c r="G201" s="45"/>
      <c r="H201" s="56"/>
      <c r="I201" s="50"/>
      <c r="J201" s="45"/>
      <c r="K201" s="45"/>
      <c r="L201" s="57"/>
      <c r="M201" s="131"/>
      <c r="N201" s="92"/>
      <c r="O201" s="89" t="s">
        <v>76</v>
      </c>
      <c r="P201" s="89"/>
      <c r="Q201" s="89"/>
      <c r="R201" s="89">
        <f t="shared" ref="R201:R206" si="37">R200-Q201</f>
        <v>5</v>
      </c>
      <c r="S201" s="93"/>
      <c r="T201" s="89" t="s">
        <v>76</v>
      </c>
      <c r="U201" s="162">
        <f>Y200</f>
        <v>0</v>
      </c>
      <c r="V201" s="91"/>
      <c r="W201" s="162">
        <f>IF(U201="","",U201+V201)</f>
        <v>0</v>
      </c>
      <c r="X201" s="91"/>
      <c r="Y201" s="162">
        <f>IF(W201="","",W201-X201)</f>
        <v>0</v>
      </c>
      <c r="Z201" s="80"/>
    </row>
    <row r="202" spans="1:26" s="43" customFormat="1" ht="21" customHeight="1" x14ac:dyDescent="0.25">
      <c r="A202" s="44"/>
      <c r="B202" s="59" t="s">
        <v>46</v>
      </c>
      <c r="C202" s="77"/>
      <c r="D202" s="45"/>
      <c r="E202" s="45"/>
      <c r="F202" s="366" t="s">
        <v>48</v>
      </c>
      <c r="G202" s="366"/>
      <c r="H202" s="45"/>
      <c r="I202" s="366" t="s">
        <v>49</v>
      </c>
      <c r="J202" s="366"/>
      <c r="K202" s="366"/>
      <c r="L202" s="61"/>
      <c r="M202" s="45"/>
      <c r="N202" s="88"/>
      <c r="O202" s="89" t="s">
        <v>51</v>
      </c>
      <c r="P202" s="89"/>
      <c r="Q202" s="89"/>
      <c r="R202" s="89">
        <f t="shared" si="37"/>
        <v>5</v>
      </c>
      <c r="S202" s="93"/>
      <c r="T202" s="89" t="s">
        <v>51</v>
      </c>
      <c r="U202" s="162"/>
      <c r="V202" s="91"/>
      <c r="W202" s="162" t="str">
        <f t="shared" ref="W202:W211" si="38">IF(U202="","",U202+V202)</f>
        <v/>
      </c>
      <c r="X202" s="91"/>
      <c r="Y202" s="162" t="str">
        <f t="shared" ref="Y202:Y211" si="39">IF(W202="","",W202-X202)</f>
        <v/>
      </c>
      <c r="Z202" s="80"/>
    </row>
    <row r="203" spans="1:26" s="43" customFormat="1" ht="21" customHeight="1" x14ac:dyDescent="0.25">
      <c r="A203" s="44"/>
      <c r="B203" s="45"/>
      <c r="C203" s="45"/>
      <c r="D203" s="45"/>
      <c r="E203" s="45"/>
      <c r="F203" s="45"/>
      <c r="G203" s="45"/>
      <c r="H203" s="62"/>
      <c r="L203" s="49"/>
      <c r="M203" s="45"/>
      <c r="N203" s="88"/>
      <c r="O203" s="89" t="s">
        <v>52</v>
      </c>
      <c r="P203" s="89"/>
      <c r="Q203" s="89"/>
      <c r="R203" s="89">
        <f t="shared" si="37"/>
        <v>5</v>
      </c>
      <c r="S203" s="93"/>
      <c r="T203" s="89" t="s">
        <v>52</v>
      </c>
      <c r="U203" s="162"/>
      <c r="V203" s="91"/>
      <c r="W203" s="162" t="str">
        <f t="shared" si="38"/>
        <v/>
      </c>
      <c r="X203" s="91"/>
      <c r="Y203" s="162" t="str">
        <f t="shared" si="39"/>
        <v/>
      </c>
      <c r="Z203" s="80"/>
    </row>
    <row r="204" spans="1:26" s="43" customFormat="1" ht="21" customHeight="1" x14ac:dyDescent="0.25">
      <c r="A204" s="44"/>
      <c r="B204" s="367" t="s">
        <v>47</v>
      </c>
      <c r="C204" s="368"/>
      <c r="D204" s="45"/>
      <c r="E204" s="45"/>
      <c r="F204" s="63" t="s">
        <v>69</v>
      </c>
      <c r="G204" s="58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0</v>
      </c>
      <c r="H204" s="62"/>
      <c r="I204" s="64">
        <v>28</v>
      </c>
      <c r="J204" s="65" t="s">
        <v>66</v>
      </c>
      <c r="K204" s="66">
        <f>K200/$K$2*I204</f>
        <v>0</v>
      </c>
      <c r="L204" s="67"/>
      <c r="M204" s="45"/>
      <c r="N204" s="88"/>
      <c r="O204" s="89" t="s">
        <v>53</v>
      </c>
      <c r="P204" s="89"/>
      <c r="Q204" s="89"/>
      <c r="R204" s="89">
        <f t="shared" si="37"/>
        <v>5</v>
      </c>
      <c r="S204" s="93"/>
      <c r="T204" s="89" t="s">
        <v>53</v>
      </c>
      <c r="U204" s="162"/>
      <c r="V204" s="91"/>
      <c r="W204" s="91">
        <f>V204+U204</f>
        <v>0</v>
      </c>
      <c r="X204" s="91"/>
      <c r="Y204" s="162">
        <f t="shared" si="39"/>
        <v>0</v>
      </c>
      <c r="Z204" s="80"/>
    </row>
    <row r="205" spans="1:26" s="43" customFormat="1" ht="21" customHeight="1" x14ac:dyDescent="0.25">
      <c r="A205" s="44"/>
      <c r="B205" s="54"/>
      <c r="C205" s="54"/>
      <c r="D205" s="45"/>
      <c r="E205" s="45"/>
      <c r="F205" s="63" t="s">
        <v>23</v>
      </c>
      <c r="G205" s="58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62"/>
      <c r="I205" s="64">
        <v>12</v>
      </c>
      <c r="J205" s="65" t="s">
        <v>67</v>
      </c>
      <c r="K205" s="68">
        <f>K200/$K$2/8*I205</f>
        <v>0</v>
      </c>
      <c r="L205" s="69"/>
      <c r="M205" s="45"/>
      <c r="N205" s="88"/>
      <c r="O205" s="89" t="s">
        <v>54</v>
      </c>
      <c r="P205" s="89"/>
      <c r="Q205" s="89"/>
      <c r="R205" s="89">
        <f t="shared" si="37"/>
        <v>5</v>
      </c>
      <c r="S205" s="93"/>
      <c r="T205" s="89" t="s">
        <v>54</v>
      </c>
      <c r="U205" s="162">
        <f t="shared" ref="U205:U210" si="40">Y204</f>
        <v>0</v>
      </c>
      <c r="V205" s="91"/>
      <c r="W205" s="162">
        <f t="shared" si="38"/>
        <v>0</v>
      </c>
      <c r="X205" s="91"/>
      <c r="Y205" s="162">
        <f t="shared" si="39"/>
        <v>0</v>
      </c>
      <c r="Z205" s="80"/>
    </row>
    <row r="206" spans="1:26" s="43" customFormat="1" ht="21" customHeight="1" x14ac:dyDescent="0.25">
      <c r="A206" s="44"/>
      <c r="B206" s="63" t="s">
        <v>7</v>
      </c>
      <c r="C206" s="54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0</v>
      </c>
      <c r="D206" s="45"/>
      <c r="E206" s="45"/>
      <c r="F206" s="63" t="s">
        <v>70</v>
      </c>
      <c r="G206" s="58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0</v>
      </c>
      <c r="H206" s="62"/>
      <c r="I206" s="361" t="s">
        <v>74</v>
      </c>
      <c r="J206" s="362"/>
      <c r="K206" s="68">
        <f>K204+K205</f>
        <v>0</v>
      </c>
      <c r="L206" s="69"/>
      <c r="M206" s="45"/>
      <c r="N206" s="88"/>
      <c r="O206" s="89" t="s">
        <v>55</v>
      </c>
      <c r="P206" s="89"/>
      <c r="Q206" s="89"/>
      <c r="R206" s="89">
        <f t="shared" si="37"/>
        <v>5</v>
      </c>
      <c r="S206" s="93"/>
      <c r="T206" s="89" t="s">
        <v>55</v>
      </c>
      <c r="U206" s="162">
        <f t="shared" si="40"/>
        <v>0</v>
      </c>
      <c r="V206" s="91"/>
      <c r="W206" s="162">
        <f t="shared" si="38"/>
        <v>0</v>
      </c>
      <c r="X206" s="91"/>
      <c r="Y206" s="162">
        <f t="shared" si="39"/>
        <v>0</v>
      </c>
      <c r="Z206" s="80"/>
    </row>
    <row r="207" spans="1:26" s="43" customFormat="1" ht="21" customHeight="1" x14ac:dyDescent="0.25">
      <c r="A207" s="44"/>
      <c r="B207" s="63" t="s">
        <v>6</v>
      </c>
      <c r="C207" s="54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45"/>
      <c r="E207" s="45"/>
      <c r="F207" s="63" t="s">
        <v>24</v>
      </c>
      <c r="G207" s="58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0</v>
      </c>
      <c r="H207" s="62"/>
      <c r="I207" s="361" t="s">
        <v>75</v>
      </c>
      <c r="J207" s="362"/>
      <c r="K207" s="58">
        <f>G207</f>
        <v>0</v>
      </c>
      <c r="L207" s="70"/>
      <c r="M207" s="45"/>
      <c r="N207" s="88"/>
      <c r="O207" s="89" t="s">
        <v>56</v>
      </c>
      <c r="P207" s="89"/>
      <c r="Q207" s="89"/>
      <c r="R207" s="89">
        <v>0</v>
      </c>
      <c r="S207" s="93"/>
      <c r="T207" s="89" t="s">
        <v>56</v>
      </c>
      <c r="U207" s="162">
        <f t="shared" si="40"/>
        <v>0</v>
      </c>
      <c r="V207" s="91"/>
      <c r="W207" s="162">
        <f t="shared" si="38"/>
        <v>0</v>
      </c>
      <c r="X207" s="91"/>
      <c r="Y207" s="162">
        <f t="shared" si="39"/>
        <v>0</v>
      </c>
      <c r="Z207" s="80"/>
    </row>
    <row r="208" spans="1:26" s="43" customFormat="1" ht="21" customHeight="1" x14ac:dyDescent="0.25">
      <c r="A208" s="44"/>
      <c r="B208" s="71" t="s">
        <v>73</v>
      </c>
      <c r="C208" s="54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13</v>
      </c>
      <c r="D208" s="45"/>
      <c r="E208" s="45"/>
      <c r="F208" s="63" t="s">
        <v>72</v>
      </c>
      <c r="G208" s="58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0</v>
      </c>
      <c r="H208" s="45"/>
      <c r="I208" s="363" t="s">
        <v>68</v>
      </c>
      <c r="J208" s="364"/>
      <c r="K208" s="72">
        <f>K206-K207</f>
        <v>0</v>
      </c>
      <c r="L208" s="73"/>
      <c r="M208" s="45"/>
      <c r="N208" s="88"/>
      <c r="O208" s="89" t="s">
        <v>61</v>
      </c>
      <c r="P208" s="89"/>
      <c r="Q208" s="89"/>
      <c r="R208" s="89">
        <v>13</v>
      </c>
      <c r="S208" s="93"/>
      <c r="T208" s="89" t="s">
        <v>61</v>
      </c>
      <c r="U208" s="162">
        <f t="shared" si="40"/>
        <v>0</v>
      </c>
      <c r="V208" s="91"/>
      <c r="W208" s="162">
        <f t="shared" si="38"/>
        <v>0</v>
      </c>
      <c r="X208" s="91"/>
      <c r="Y208" s="162">
        <f t="shared" si="39"/>
        <v>0</v>
      </c>
      <c r="Z208" s="80"/>
    </row>
    <row r="209" spans="1:27" s="43" customFormat="1" ht="21" customHeight="1" x14ac:dyDescent="0.25">
      <c r="A209" s="44"/>
      <c r="B209" s="45"/>
      <c r="C209" s="45"/>
      <c r="D209" s="45"/>
      <c r="E209" s="45"/>
      <c r="F209" s="45"/>
      <c r="G209" s="45"/>
      <c r="H209" s="45"/>
      <c r="I209" s="45"/>
      <c r="J209" s="45"/>
      <c r="K209" s="177"/>
      <c r="L209" s="61"/>
      <c r="M209" s="45"/>
      <c r="N209" s="88"/>
      <c r="O209" s="89" t="s">
        <v>57</v>
      </c>
      <c r="P209" s="89"/>
      <c r="Q209" s="89"/>
      <c r="R209" s="89">
        <f t="shared" ref="R209:R211" si="41">R208-Q209</f>
        <v>13</v>
      </c>
      <c r="S209" s="93"/>
      <c r="T209" s="89" t="s">
        <v>57</v>
      </c>
      <c r="U209" s="162">
        <f t="shared" si="40"/>
        <v>0</v>
      </c>
      <c r="V209" s="91"/>
      <c r="W209" s="162">
        <f t="shared" si="38"/>
        <v>0</v>
      </c>
      <c r="X209" s="91"/>
      <c r="Y209" s="162">
        <f t="shared" si="39"/>
        <v>0</v>
      </c>
      <c r="Z209" s="80"/>
    </row>
    <row r="210" spans="1:27" s="43" customFormat="1" ht="21" customHeight="1" x14ac:dyDescent="0.25">
      <c r="A210" s="44"/>
      <c r="B210" s="365" t="s">
        <v>103</v>
      </c>
      <c r="C210" s="365"/>
      <c r="D210" s="365"/>
      <c r="E210" s="365"/>
      <c r="F210" s="365"/>
      <c r="G210" s="365"/>
      <c r="H210" s="365"/>
      <c r="I210" s="365"/>
      <c r="J210" s="365"/>
      <c r="K210" s="365"/>
      <c r="L210" s="61"/>
      <c r="M210" s="45"/>
      <c r="N210" s="88"/>
      <c r="O210" s="89" t="s">
        <v>62</v>
      </c>
      <c r="P210" s="89"/>
      <c r="Q210" s="89"/>
      <c r="R210" s="89">
        <f t="shared" si="41"/>
        <v>13</v>
      </c>
      <c r="S210" s="93"/>
      <c r="T210" s="89" t="s">
        <v>62</v>
      </c>
      <c r="U210" s="162">
        <f t="shared" si="40"/>
        <v>0</v>
      </c>
      <c r="V210" s="91"/>
      <c r="W210" s="162">
        <f t="shared" si="38"/>
        <v>0</v>
      </c>
      <c r="X210" s="91"/>
      <c r="Y210" s="162">
        <f t="shared" si="39"/>
        <v>0</v>
      </c>
      <c r="Z210" s="80"/>
    </row>
    <row r="211" spans="1:27" s="43" customFormat="1" ht="21" customHeight="1" x14ac:dyDescent="0.25">
      <c r="A211" s="44"/>
      <c r="B211" s="365"/>
      <c r="C211" s="365"/>
      <c r="D211" s="365"/>
      <c r="E211" s="365"/>
      <c r="F211" s="365"/>
      <c r="G211" s="365"/>
      <c r="H211" s="365"/>
      <c r="I211" s="365"/>
      <c r="J211" s="365"/>
      <c r="K211" s="365"/>
      <c r="L211" s="61"/>
      <c r="M211" s="45"/>
      <c r="N211" s="88"/>
      <c r="O211" s="89" t="s">
        <v>63</v>
      </c>
      <c r="P211" s="89"/>
      <c r="Q211" s="89"/>
      <c r="R211" s="89">
        <f t="shared" si="41"/>
        <v>13</v>
      </c>
      <c r="S211" s="93"/>
      <c r="T211" s="89" t="s">
        <v>63</v>
      </c>
      <c r="U211" s="162">
        <f>Y210</f>
        <v>0</v>
      </c>
      <c r="V211" s="91"/>
      <c r="W211" s="162">
        <f t="shared" si="38"/>
        <v>0</v>
      </c>
      <c r="X211" s="91"/>
      <c r="Y211" s="162">
        <f t="shared" si="39"/>
        <v>0</v>
      </c>
      <c r="Z211" s="80"/>
    </row>
    <row r="212" spans="1:27" s="43" customFormat="1" ht="21" customHeight="1" thickBot="1" x14ac:dyDescent="0.3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6"/>
      <c r="N212" s="95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80"/>
    </row>
    <row r="213" spans="1:27" s="45" customFormat="1" ht="21" customHeight="1" thickBot="1" x14ac:dyDescent="0.3"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 spans="1:27" s="43" customFormat="1" ht="21" customHeight="1" x14ac:dyDescent="0.25">
      <c r="A214" s="404" t="s">
        <v>45</v>
      </c>
      <c r="B214" s="405"/>
      <c r="C214" s="405"/>
      <c r="D214" s="405"/>
      <c r="E214" s="405"/>
      <c r="F214" s="405"/>
      <c r="G214" s="405"/>
      <c r="H214" s="405"/>
      <c r="I214" s="405"/>
      <c r="J214" s="405"/>
      <c r="K214" s="405"/>
      <c r="L214" s="406"/>
      <c r="M214" s="42"/>
      <c r="N214" s="81"/>
      <c r="O214" s="372" t="s">
        <v>47</v>
      </c>
      <c r="P214" s="373"/>
      <c r="Q214" s="373"/>
      <c r="R214" s="374"/>
      <c r="S214" s="82"/>
      <c r="T214" s="372" t="s">
        <v>48</v>
      </c>
      <c r="U214" s="373"/>
      <c r="V214" s="373"/>
      <c r="W214" s="373"/>
      <c r="X214" s="373"/>
      <c r="Y214" s="374"/>
      <c r="Z214" s="83"/>
      <c r="AA214" s="42"/>
    </row>
    <row r="215" spans="1:27" s="43" customFormat="1" ht="21" customHeight="1" x14ac:dyDescent="0.25">
      <c r="A215" s="44"/>
      <c r="B215" s="45"/>
      <c r="C215" s="375" t="s">
        <v>101</v>
      </c>
      <c r="D215" s="375"/>
      <c r="E215" s="375"/>
      <c r="F215" s="375"/>
      <c r="G215" s="46" t="str">
        <f>$J$1</f>
        <v>October</v>
      </c>
      <c r="H215" s="376">
        <f>$K$1</f>
        <v>2020</v>
      </c>
      <c r="I215" s="376"/>
      <c r="J215" s="45"/>
      <c r="K215" s="47"/>
      <c r="L215" s="48"/>
      <c r="M215" s="47"/>
      <c r="N215" s="84"/>
      <c r="O215" s="85" t="s">
        <v>58</v>
      </c>
      <c r="P215" s="85" t="s">
        <v>7</v>
      </c>
      <c r="Q215" s="85" t="s">
        <v>6</v>
      </c>
      <c r="R215" s="85" t="s">
        <v>59</v>
      </c>
      <c r="S215" s="86"/>
      <c r="T215" s="85" t="s">
        <v>58</v>
      </c>
      <c r="U215" s="85" t="s">
        <v>60</v>
      </c>
      <c r="V215" s="85" t="s">
        <v>23</v>
      </c>
      <c r="W215" s="85" t="s">
        <v>22</v>
      </c>
      <c r="X215" s="85" t="s">
        <v>24</v>
      </c>
      <c r="Y215" s="85" t="s">
        <v>64</v>
      </c>
      <c r="Z215" s="87"/>
      <c r="AA215" s="47"/>
    </row>
    <row r="216" spans="1:27" s="43" customFormat="1" ht="21" customHeight="1" x14ac:dyDescent="0.25">
      <c r="A216" s="44"/>
      <c r="B216" s="45"/>
      <c r="C216" s="45"/>
      <c r="D216" s="50"/>
      <c r="E216" s="50"/>
      <c r="F216" s="50"/>
      <c r="G216" s="50"/>
      <c r="H216" s="50"/>
      <c r="I216" s="45"/>
      <c r="J216" s="51" t="s">
        <v>1</v>
      </c>
      <c r="K216" s="52">
        <v>30000</v>
      </c>
      <c r="L216" s="53"/>
      <c r="M216" s="45"/>
      <c r="N216" s="88"/>
      <c r="O216" s="89" t="s">
        <v>50</v>
      </c>
      <c r="P216" s="89">
        <v>28</v>
      </c>
      <c r="Q216" s="89">
        <v>3</v>
      </c>
      <c r="R216" s="89">
        <f>15-Q216</f>
        <v>12</v>
      </c>
      <c r="S216" s="90"/>
      <c r="T216" s="89" t="s">
        <v>50</v>
      </c>
      <c r="U216" s="91"/>
      <c r="V216" s="91"/>
      <c r="W216" s="91">
        <f>V216+U216</f>
        <v>0</v>
      </c>
      <c r="X216" s="91"/>
      <c r="Y216" s="91">
        <f>W216-X216</f>
        <v>0</v>
      </c>
      <c r="Z216" s="87"/>
      <c r="AA216" s="45"/>
    </row>
    <row r="217" spans="1:27" s="43" customFormat="1" ht="21" customHeight="1" x14ac:dyDescent="0.25">
      <c r="A217" s="44"/>
      <c r="B217" s="45" t="s">
        <v>0</v>
      </c>
      <c r="C217" s="55" t="s">
        <v>99</v>
      </c>
      <c r="D217" s="45"/>
      <c r="E217" s="45"/>
      <c r="F217" s="45"/>
      <c r="G217" s="45"/>
      <c r="H217" s="56"/>
      <c r="I217" s="50"/>
      <c r="J217" s="45"/>
      <c r="K217" s="45"/>
      <c r="L217" s="57"/>
      <c r="M217" s="42"/>
      <c r="N217" s="92"/>
      <c r="O217" s="89" t="s">
        <v>76</v>
      </c>
      <c r="P217" s="89">
        <v>29</v>
      </c>
      <c r="Q217" s="89">
        <v>0</v>
      </c>
      <c r="R217" s="89">
        <f>R216-Q217</f>
        <v>12</v>
      </c>
      <c r="S217" s="93"/>
      <c r="T217" s="89" t="s">
        <v>76</v>
      </c>
      <c r="U217" s="162">
        <f t="shared" ref="U217:U218" si="42">Y216</f>
        <v>0</v>
      </c>
      <c r="V217" s="91">
        <v>5000</v>
      </c>
      <c r="W217" s="162">
        <f>IF(U217="","",U217+V217)</f>
        <v>5000</v>
      </c>
      <c r="X217" s="91"/>
      <c r="Y217" s="162">
        <f>IF(W217="","",W217-X217)</f>
        <v>5000</v>
      </c>
      <c r="Z217" s="94"/>
      <c r="AA217" s="42"/>
    </row>
    <row r="218" spans="1:27" s="43" customFormat="1" ht="21" customHeight="1" x14ac:dyDescent="0.25">
      <c r="A218" s="44"/>
      <c r="B218" s="59" t="s">
        <v>46</v>
      </c>
      <c r="C218" s="60" t="s">
        <v>100</v>
      </c>
      <c r="D218" s="45"/>
      <c r="E218" s="45"/>
      <c r="F218" s="366" t="s">
        <v>48</v>
      </c>
      <c r="G218" s="366"/>
      <c r="H218" s="45"/>
      <c r="I218" s="366" t="s">
        <v>49</v>
      </c>
      <c r="J218" s="366"/>
      <c r="K218" s="366"/>
      <c r="L218" s="61"/>
      <c r="M218" s="45"/>
      <c r="N218" s="88"/>
      <c r="O218" s="89" t="s">
        <v>51</v>
      </c>
      <c r="P218" s="89">
        <v>29</v>
      </c>
      <c r="Q218" s="89">
        <v>2</v>
      </c>
      <c r="R218" s="89">
        <f>R217-Q218</f>
        <v>10</v>
      </c>
      <c r="S218" s="93"/>
      <c r="T218" s="89" t="s">
        <v>51</v>
      </c>
      <c r="U218" s="162">
        <f t="shared" si="42"/>
        <v>5000</v>
      </c>
      <c r="V218" s="91"/>
      <c r="W218" s="162">
        <f t="shared" ref="W218:W227" si="43">IF(U218="","",U218+V218)</f>
        <v>5000</v>
      </c>
      <c r="X218" s="91"/>
      <c r="Y218" s="162">
        <f t="shared" ref="Y218:Y227" si="44">IF(W218="","",W218-X218)</f>
        <v>5000</v>
      </c>
      <c r="Z218" s="94"/>
      <c r="AA218" s="45"/>
    </row>
    <row r="219" spans="1:27" s="43" customFormat="1" ht="21" customHeight="1" x14ac:dyDescent="0.25">
      <c r="A219" s="44"/>
      <c r="B219" s="45"/>
      <c r="C219" s="45"/>
      <c r="D219" s="45"/>
      <c r="E219" s="45"/>
      <c r="F219" s="45"/>
      <c r="G219" s="45"/>
      <c r="H219" s="62"/>
      <c r="L219" s="49"/>
      <c r="M219" s="45"/>
      <c r="N219" s="88"/>
      <c r="O219" s="89" t="s">
        <v>52</v>
      </c>
      <c r="P219" s="89">
        <v>29</v>
      </c>
      <c r="Q219" s="89">
        <v>1</v>
      </c>
      <c r="R219" s="89">
        <f>R218-Q219</f>
        <v>9</v>
      </c>
      <c r="S219" s="93"/>
      <c r="T219" s="89" t="s">
        <v>52</v>
      </c>
      <c r="U219" s="162">
        <f t="shared" ref="U219:U224" si="45">Y218</f>
        <v>5000</v>
      </c>
      <c r="V219" s="91"/>
      <c r="W219" s="162">
        <f t="shared" si="43"/>
        <v>5000</v>
      </c>
      <c r="X219" s="91"/>
      <c r="Y219" s="162">
        <f t="shared" si="44"/>
        <v>5000</v>
      </c>
      <c r="Z219" s="94"/>
      <c r="AA219" s="45"/>
    </row>
    <row r="220" spans="1:27" s="43" customFormat="1" ht="21" customHeight="1" x14ac:dyDescent="0.25">
      <c r="A220" s="44"/>
      <c r="B220" s="367" t="s">
        <v>47</v>
      </c>
      <c r="C220" s="368"/>
      <c r="D220" s="45"/>
      <c r="E220" s="45"/>
      <c r="F220" s="63" t="s">
        <v>69</v>
      </c>
      <c r="G220" s="179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42600</v>
      </c>
      <c r="H220" s="62"/>
      <c r="I220" s="64">
        <f>IF(C224&gt;0,$K$2,C222)</f>
        <v>31</v>
      </c>
      <c r="J220" s="65" t="s">
        <v>66</v>
      </c>
      <c r="K220" s="66">
        <f>K216/$K$2*I220</f>
        <v>30000</v>
      </c>
      <c r="L220" s="67"/>
      <c r="M220" s="45"/>
      <c r="N220" s="88"/>
      <c r="O220" s="89" t="s">
        <v>53</v>
      </c>
      <c r="P220" s="89">
        <v>28</v>
      </c>
      <c r="Q220" s="89">
        <v>3</v>
      </c>
      <c r="R220" s="89">
        <f t="shared" ref="R220:R227" si="46">IF(Q220="","",R219-Q220)</f>
        <v>6</v>
      </c>
      <c r="S220" s="93"/>
      <c r="T220" s="89" t="s">
        <v>53</v>
      </c>
      <c r="U220" s="162">
        <f t="shared" si="45"/>
        <v>5000</v>
      </c>
      <c r="V220" s="91">
        <f>50000+1600</f>
        <v>51600</v>
      </c>
      <c r="W220" s="162">
        <f t="shared" si="43"/>
        <v>56600</v>
      </c>
      <c r="X220" s="91"/>
      <c r="Y220" s="162">
        <f t="shared" si="44"/>
        <v>56600</v>
      </c>
      <c r="Z220" s="94"/>
      <c r="AA220" s="45"/>
    </row>
    <row r="221" spans="1:27" s="43" customFormat="1" ht="21" customHeight="1" x14ac:dyDescent="0.25">
      <c r="A221" s="44"/>
      <c r="B221" s="54"/>
      <c r="C221" s="54"/>
      <c r="D221" s="45"/>
      <c r="E221" s="45"/>
      <c r="F221" s="63" t="s">
        <v>23</v>
      </c>
      <c r="G221" s="179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5000</v>
      </c>
      <c r="H221" s="62"/>
      <c r="I221" s="108">
        <v>25</v>
      </c>
      <c r="J221" s="65" t="s">
        <v>67</v>
      </c>
      <c r="K221" s="68">
        <f>K216/$K$2/8*I221</f>
        <v>3024.1935483870966</v>
      </c>
      <c r="L221" s="69"/>
      <c r="M221" s="45"/>
      <c r="N221" s="88"/>
      <c r="O221" s="89" t="s">
        <v>54</v>
      </c>
      <c r="P221" s="89">
        <v>30</v>
      </c>
      <c r="Q221" s="89">
        <v>0</v>
      </c>
      <c r="R221" s="89">
        <f t="shared" si="46"/>
        <v>6</v>
      </c>
      <c r="S221" s="93"/>
      <c r="T221" s="89" t="s">
        <v>54</v>
      </c>
      <c r="U221" s="162">
        <f t="shared" si="45"/>
        <v>56600</v>
      </c>
      <c r="V221" s="91"/>
      <c r="W221" s="162">
        <f t="shared" si="43"/>
        <v>56600</v>
      </c>
      <c r="X221" s="91">
        <v>5000</v>
      </c>
      <c r="Y221" s="162">
        <f t="shared" si="44"/>
        <v>51600</v>
      </c>
      <c r="Z221" s="94"/>
      <c r="AA221" s="45"/>
    </row>
    <row r="222" spans="1:27" s="43" customFormat="1" ht="21" customHeight="1" x14ac:dyDescent="0.25">
      <c r="A222" s="44"/>
      <c r="B222" s="63" t="s">
        <v>7</v>
      </c>
      <c r="C222" s="54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31</v>
      </c>
      <c r="D222" s="45"/>
      <c r="E222" s="45"/>
      <c r="F222" s="63" t="s">
        <v>70</v>
      </c>
      <c r="G222" s="179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47600</v>
      </c>
      <c r="H222" s="62"/>
      <c r="I222" s="361" t="s">
        <v>74</v>
      </c>
      <c r="J222" s="362"/>
      <c r="K222" s="68">
        <f>K220+K221</f>
        <v>33024.193548387098</v>
      </c>
      <c r="L222" s="69"/>
      <c r="M222" s="45"/>
      <c r="N222" s="88"/>
      <c r="O222" s="89" t="s">
        <v>55</v>
      </c>
      <c r="P222" s="89">
        <v>30</v>
      </c>
      <c r="Q222" s="89">
        <v>1</v>
      </c>
      <c r="R222" s="89">
        <f t="shared" si="46"/>
        <v>5</v>
      </c>
      <c r="S222" s="93"/>
      <c r="T222" s="89" t="s">
        <v>55</v>
      </c>
      <c r="U222" s="162">
        <f t="shared" si="45"/>
        <v>51600</v>
      </c>
      <c r="V222" s="91">
        <f>15000+800</f>
        <v>15800</v>
      </c>
      <c r="W222" s="162">
        <f t="shared" si="43"/>
        <v>67400</v>
      </c>
      <c r="X222" s="91">
        <v>20800</v>
      </c>
      <c r="Y222" s="162">
        <f t="shared" si="44"/>
        <v>46600</v>
      </c>
      <c r="Z222" s="94"/>
      <c r="AA222" s="45"/>
    </row>
    <row r="223" spans="1:27" s="43" customFormat="1" ht="21" customHeight="1" x14ac:dyDescent="0.25">
      <c r="A223" s="44"/>
      <c r="B223" s="63" t="s">
        <v>6</v>
      </c>
      <c r="C223" s="54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45"/>
      <c r="E223" s="45"/>
      <c r="F223" s="63" t="s">
        <v>24</v>
      </c>
      <c r="G223" s="179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5000</v>
      </c>
      <c r="H223" s="62"/>
      <c r="I223" s="361" t="s">
        <v>75</v>
      </c>
      <c r="J223" s="362"/>
      <c r="K223" s="58">
        <f>G223</f>
        <v>5000</v>
      </c>
      <c r="L223" s="70"/>
      <c r="M223" s="45"/>
      <c r="N223" s="88"/>
      <c r="O223" s="89" t="s">
        <v>56</v>
      </c>
      <c r="P223" s="89">
        <v>28</v>
      </c>
      <c r="Q223" s="89">
        <v>3</v>
      </c>
      <c r="R223" s="89">
        <f t="shared" si="46"/>
        <v>2</v>
      </c>
      <c r="S223" s="93"/>
      <c r="T223" s="89" t="s">
        <v>56</v>
      </c>
      <c r="U223" s="162">
        <f t="shared" si="45"/>
        <v>46600</v>
      </c>
      <c r="V223" s="91">
        <v>15000</v>
      </c>
      <c r="W223" s="162">
        <f t="shared" si="43"/>
        <v>61600</v>
      </c>
      <c r="X223" s="91">
        <v>15000</v>
      </c>
      <c r="Y223" s="162">
        <f t="shared" si="44"/>
        <v>46600</v>
      </c>
      <c r="Z223" s="94"/>
      <c r="AA223" s="45"/>
    </row>
    <row r="224" spans="1:27" s="43" customFormat="1" ht="21" customHeight="1" x14ac:dyDescent="0.25">
      <c r="A224" s="44"/>
      <c r="B224" s="71" t="s">
        <v>73</v>
      </c>
      <c r="C224" s="54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2</v>
      </c>
      <c r="D224" s="45"/>
      <c r="E224" s="45"/>
      <c r="F224" s="63" t="s">
        <v>72</v>
      </c>
      <c r="G224" s="179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42600</v>
      </c>
      <c r="H224" s="45"/>
      <c r="I224" s="363" t="s">
        <v>68</v>
      </c>
      <c r="J224" s="364"/>
      <c r="K224" s="72">
        <f>K222-K223</f>
        <v>28024.193548387098</v>
      </c>
      <c r="L224" s="73"/>
      <c r="M224" s="45"/>
      <c r="N224" s="88"/>
      <c r="O224" s="89" t="s">
        <v>61</v>
      </c>
      <c r="P224" s="89">
        <v>30</v>
      </c>
      <c r="Q224" s="89">
        <v>0</v>
      </c>
      <c r="R224" s="89">
        <f t="shared" si="46"/>
        <v>2</v>
      </c>
      <c r="S224" s="93"/>
      <c r="T224" s="89" t="s">
        <v>61</v>
      </c>
      <c r="U224" s="162">
        <f t="shared" si="45"/>
        <v>46600</v>
      </c>
      <c r="V224" s="91">
        <f>32+1000</f>
        <v>1032</v>
      </c>
      <c r="W224" s="162">
        <f t="shared" si="43"/>
        <v>47632</v>
      </c>
      <c r="X224" s="91">
        <v>5032</v>
      </c>
      <c r="Y224" s="162">
        <f t="shared" si="44"/>
        <v>42600</v>
      </c>
      <c r="Z224" s="94"/>
      <c r="AA224" s="45"/>
    </row>
    <row r="225" spans="1:27" s="43" customFormat="1" ht="21" customHeight="1" x14ac:dyDescent="0.25">
      <c r="A225" s="44"/>
      <c r="B225" s="45"/>
      <c r="C225" s="45"/>
      <c r="D225" s="45"/>
      <c r="E225" s="45"/>
      <c r="F225" s="45"/>
      <c r="G225" s="45"/>
      <c r="H225" s="45"/>
      <c r="I225" s="45"/>
      <c r="J225" s="62"/>
      <c r="K225" s="177"/>
      <c r="L225" s="61"/>
      <c r="M225" s="45"/>
      <c r="N225" s="88"/>
      <c r="O225" s="89" t="s">
        <v>57</v>
      </c>
      <c r="P225" s="89">
        <v>31</v>
      </c>
      <c r="Q225" s="89">
        <v>0</v>
      </c>
      <c r="R225" s="89">
        <f t="shared" si="46"/>
        <v>2</v>
      </c>
      <c r="S225" s="93"/>
      <c r="T225" s="89" t="s">
        <v>57</v>
      </c>
      <c r="U225" s="162">
        <f>Y224</f>
        <v>42600</v>
      </c>
      <c r="V225" s="91">
        <v>5000</v>
      </c>
      <c r="W225" s="162">
        <f t="shared" si="43"/>
        <v>47600</v>
      </c>
      <c r="X225" s="91">
        <v>5000</v>
      </c>
      <c r="Y225" s="162">
        <f t="shared" si="44"/>
        <v>42600</v>
      </c>
      <c r="Z225" s="94"/>
      <c r="AA225" s="45"/>
    </row>
    <row r="226" spans="1:27" s="43" customFormat="1" ht="21" customHeight="1" x14ac:dyDescent="0.25">
      <c r="A226" s="44"/>
      <c r="B226" s="365" t="s">
        <v>103</v>
      </c>
      <c r="C226" s="365"/>
      <c r="D226" s="365"/>
      <c r="E226" s="365"/>
      <c r="F226" s="365"/>
      <c r="G226" s="365"/>
      <c r="H226" s="365"/>
      <c r="I226" s="365"/>
      <c r="J226" s="365"/>
      <c r="K226" s="365"/>
      <c r="L226" s="61"/>
      <c r="M226" s="45"/>
      <c r="N226" s="88"/>
      <c r="O226" s="89" t="s">
        <v>62</v>
      </c>
      <c r="P226" s="89"/>
      <c r="Q226" s="89"/>
      <c r="R226" s="89">
        <v>0</v>
      </c>
      <c r="S226" s="93"/>
      <c r="T226" s="89" t="s">
        <v>62</v>
      </c>
      <c r="U226" s="162"/>
      <c r="V226" s="91"/>
      <c r="W226" s="162" t="str">
        <f t="shared" si="43"/>
        <v/>
      </c>
      <c r="X226" s="91"/>
      <c r="Y226" s="162" t="str">
        <f t="shared" si="44"/>
        <v/>
      </c>
      <c r="Z226" s="94"/>
      <c r="AA226" s="45"/>
    </row>
    <row r="227" spans="1:27" s="43" customFormat="1" ht="21" customHeight="1" x14ac:dyDescent="0.25">
      <c r="A227" s="44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61"/>
      <c r="M227" s="45"/>
      <c r="N227" s="88"/>
      <c r="O227" s="89" t="s">
        <v>63</v>
      </c>
      <c r="P227" s="89"/>
      <c r="Q227" s="89"/>
      <c r="R227" s="89" t="str">
        <f t="shared" si="46"/>
        <v/>
      </c>
      <c r="S227" s="93"/>
      <c r="T227" s="89" t="s">
        <v>63</v>
      </c>
      <c r="U227" s="162"/>
      <c r="V227" s="91"/>
      <c r="W227" s="162" t="str">
        <f t="shared" si="43"/>
        <v/>
      </c>
      <c r="X227" s="91"/>
      <c r="Y227" s="162" t="str">
        <f t="shared" si="44"/>
        <v/>
      </c>
      <c r="Z227" s="94"/>
      <c r="AA227" s="45"/>
    </row>
    <row r="228" spans="1:27" s="43" customFormat="1" ht="21" customHeight="1" thickBot="1" x14ac:dyDescent="0.3">
      <c r="A228" s="74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6"/>
      <c r="N228" s="95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7"/>
    </row>
    <row r="229" spans="1:27" s="45" customFormat="1" ht="21" customHeight="1" thickBot="1" x14ac:dyDescent="0.3"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 spans="1:27" s="43" customFormat="1" ht="21" customHeight="1" x14ac:dyDescent="0.25">
      <c r="A230" s="383" t="s">
        <v>45</v>
      </c>
      <c r="B230" s="384"/>
      <c r="C230" s="384"/>
      <c r="D230" s="384"/>
      <c r="E230" s="384"/>
      <c r="F230" s="384"/>
      <c r="G230" s="384"/>
      <c r="H230" s="384"/>
      <c r="I230" s="384"/>
      <c r="J230" s="384"/>
      <c r="K230" s="384"/>
      <c r="L230" s="385"/>
      <c r="M230" s="42"/>
      <c r="N230" s="81"/>
      <c r="O230" s="372" t="s">
        <v>47</v>
      </c>
      <c r="P230" s="373"/>
      <c r="Q230" s="373"/>
      <c r="R230" s="374"/>
      <c r="S230" s="82"/>
      <c r="T230" s="372" t="s">
        <v>48</v>
      </c>
      <c r="U230" s="373"/>
      <c r="V230" s="373"/>
      <c r="W230" s="373"/>
      <c r="X230" s="373"/>
      <c r="Y230" s="374"/>
      <c r="Z230" s="83"/>
      <c r="AA230" s="42"/>
    </row>
    <row r="231" spans="1:27" s="43" customFormat="1" ht="21" customHeight="1" x14ac:dyDescent="0.25">
      <c r="A231" s="44"/>
      <c r="B231" s="45"/>
      <c r="C231" s="375" t="s">
        <v>101</v>
      </c>
      <c r="D231" s="375"/>
      <c r="E231" s="375"/>
      <c r="F231" s="375"/>
      <c r="G231" s="46" t="str">
        <f>$J$1</f>
        <v>October</v>
      </c>
      <c r="H231" s="376">
        <f>$K$1</f>
        <v>2020</v>
      </c>
      <c r="I231" s="376"/>
      <c r="J231" s="45"/>
      <c r="K231" s="47"/>
      <c r="L231" s="48"/>
      <c r="M231" s="47"/>
      <c r="N231" s="84"/>
      <c r="O231" s="85" t="s">
        <v>58</v>
      </c>
      <c r="P231" s="85" t="s">
        <v>7</v>
      </c>
      <c r="Q231" s="85" t="s">
        <v>6</v>
      </c>
      <c r="R231" s="85" t="s">
        <v>59</v>
      </c>
      <c r="S231" s="86"/>
      <c r="T231" s="85" t="s">
        <v>58</v>
      </c>
      <c r="U231" s="85" t="s">
        <v>60</v>
      </c>
      <c r="V231" s="85" t="s">
        <v>23</v>
      </c>
      <c r="W231" s="85" t="s">
        <v>22</v>
      </c>
      <c r="X231" s="85" t="s">
        <v>24</v>
      </c>
      <c r="Y231" s="85" t="s">
        <v>64</v>
      </c>
      <c r="Z231" s="87"/>
      <c r="AA231" s="47"/>
    </row>
    <row r="232" spans="1:27" s="43" customFormat="1" ht="21" customHeight="1" x14ac:dyDescent="0.25">
      <c r="A232" s="44"/>
      <c r="B232" s="45"/>
      <c r="C232" s="45"/>
      <c r="D232" s="50"/>
      <c r="E232" s="50"/>
      <c r="F232" s="50"/>
      <c r="G232" s="50"/>
      <c r="H232" s="50"/>
      <c r="I232" s="45"/>
      <c r="J232" s="51" t="s">
        <v>1</v>
      </c>
      <c r="K232" s="52">
        <v>28000</v>
      </c>
      <c r="L232" s="53"/>
      <c r="M232" s="45"/>
      <c r="N232" s="88"/>
      <c r="O232" s="89" t="s">
        <v>50</v>
      </c>
      <c r="P232" s="89">
        <v>21</v>
      </c>
      <c r="Q232" s="89">
        <v>10</v>
      </c>
      <c r="R232" s="89">
        <f>15-Q232+8</f>
        <v>13</v>
      </c>
      <c r="S232" s="90"/>
      <c r="T232" s="89" t="s">
        <v>50</v>
      </c>
      <c r="U232" s="91">
        <v>40000</v>
      </c>
      <c r="V232" s="91"/>
      <c r="W232" s="91">
        <f>V232+U232</f>
        <v>40000</v>
      </c>
      <c r="X232" s="91">
        <v>10000</v>
      </c>
      <c r="Y232" s="91">
        <f>W232-X232</f>
        <v>30000</v>
      </c>
      <c r="Z232" s="87"/>
      <c r="AA232" s="45"/>
    </row>
    <row r="233" spans="1:27" s="43" customFormat="1" ht="21" customHeight="1" x14ac:dyDescent="0.25">
      <c r="A233" s="44"/>
      <c r="B233" s="45" t="s">
        <v>0</v>
      </c>
      <c r="C233" s="55" t="s">
        <v>91</v>
      </c>
      <c r="D233" s="45"/>
      <c r="E233" s="45"/>
      <c r="F233" s="45"/>
      <c r="G233" s="45"/>
      <c r="H233" s="56"/>
      <c r="I233" s="50"/>
      <c r="J233" s="45"/>
      <c r="K233" s="45"/>
      <c r="L233" s="57"/>
      <c r="M233" s="42"/>
      <c r="N233" s="92"/>
      <c r="O233" s="89" t="s">
        <v>76</v>
      </c>
      <c r="P233" s="89">
        <v>22</v>
      </c>
      <c r="Q233" s="89">
        <v>7</v>
      </c>
      <c r="R233" s="89">
        <f>R232-Q233</f>
        <v>6</v>
      </c>
      <c r="S233" s="93"/>
      <c r="T233" s="89" t="s">
        <v>76</v>
      </c>
      <c r="U233" s="162">
        <f t="shared" ref="U233:U238" si="47">Y232</f>
        <v>30000</v>
      </c>
      <c r="V233" s="91"/>
      <c r="W233" s="162">
        <f>IF(U233="","",U233+V233)</f>
        <v>30000</v>
      </c>
      <c r="X233" s="91">
        <v>3500</v>
      </c>
      <c r="Y233" s="162">
        <f>IF(W233="","",W233-X233)</f>
        <v>26500</v>
      </c>
      <c r="Z233" s="94"/>
      <c r="AA233" s="42"/>
    </row>
    <row r="234" spans="1:27" s="43" customFormat="1" ht="21" customHeight="1" x14ac:dyDescent="0.25">
      <c r="A234" s="44"/>
      <c r="B234" s="59" t="s">
        <v>46</v>
      </c>
      <c r="C234" s="60"/>
      <c r="D234" s="45"/>
      <c r="E234" s="45"/>
      <c r="F234" s="366" t="s">
        <v>48</v>
      </c>
      <c r="G234" s="366"/>
      <c r="H234" s="45"/>
      <c r="I234" s="366" t="s">
        <v>49</v>
      </c>
      <c r="J234" s="366"/>
      <c r="K234" s="366"/>
      <c r="L234" s="61"/>
      <c r="M234" s="45"/>
      <c r="N234" s="88"/>
      <c r="O234" s="89" t="s">
        <v>51</v>
      </c>
      <c r="P234" s="89">
        <v>27</v>
      </c>
      <c r="Q234" s="89">
        <v>4</v>
      </c>
      <c r="R234" s="89">
        <f>R233-Q234</f>
        <v>2</v>
      </c>
      <c r="S234" s="93"/>
      <c r="T234" s="89" t="s">
        <v>51</v>
      </c>
      <c r="U234" s="162">
        <f t="shared" si="47"/>
        <v>26500</v>
      </c>
      <c r="V234" s="91"/>
      <c r="W234" s="162">
        <f t="shared" ref="W234:W243" si="48">IF(U234="","",U234+V234)</f>
        <v>26500</v>
      </c>
      <c r="X234" s="91">
        <v>10000</v>
      </c>
      <c r="Y234" s="162">
        <f t="shared" ref="Y234:Y243" si="49">IF(W234="","",W234-X234)</f>
        <v>16500</v>
      </c>
      <c r="Z234" s="94"/>
      <c r="AA234" s="45"/>
    </row>
    <row r="235" spans="1:27" s="43" customFormat="1" ht="21" customHeight="1" x14ac:dyDescent="0.25">
      <c r="A235" s="44"/>
      <c r="B235" s="45"/>
      <c r="C235" s="45"/>
      <c r="D235" s="45"/>
      <c r="E235" s="45"/>
      <c r="F235" s="45"/>
      <c r="G235" s="45"/>
      <c r="H235" s="62"/>
      <c r="L235" s="49"/>
      <c r="M235" s="45"/>
      <c r="N235" s="88"/>
      <c r="O235" s="89" t="s">
        <v>52</v>
      </c>
      <c r="P235" s="89">
        <v>11</v>
      </c>
      <c r="Q235" s="89">
        <v>19</v>
      </c>
      <c r="R235" s="89">
        <v>0</v>
      </c>
      <c r="S235" s="93"/>
      <c r="T235" s="89" t="s">
        <v>52</v>
      </c>
      <c r="U235" s="162">
        <f t="shared" si="47"/>
        <v>16500</v>
      </c>
      <c r="V235" s="91"/>
      <c r="W235" s="162">
        <f t="shared" si="48"/>
        <v>16500</v>
      </c>
      <c r="X235" s="91">
        <v>10000</v>
      </c>
      <c r="Y235" s="162">
        <f t="shared" si="49"/>
        <v>6500</v>
      </c>
      <c r="Z235" s="94"/>
      <c r="AA235" s="45"/>
    </row>
    <row r="236" spans="1:27" s="43" customFormat="1" ht="21" customHeight="1" x14ac:dyDescent="0.25">
      <c r="A236" s="44"/>
      <c r="B236" s="367" t="s">
        <v>47</v>
      </c>
      <c r="C236" s="368"/>
      <c r="D236" s="45"/>
      <c r="E236" s="45"/>
      <c r="F236" s="63" t="s">
        <v>69</v>
      </c>
      <c r="G236" s="58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62"/>
      <c r="I236" s="64">
        <f>IF(C240&gt;0,$K$2,C238)</f>
        <v>25</v>
      </c>
      <c r="J236" s="65" t="s">
        <v>66</v>
      </c>
      <c r="K236" s="66">
        <f>K232/$K$2*I236</f>
        <v>22580.645161290322</v>
      </c>
      <c r="L236" s="67"/>
      <c r="M236" s="45"/>
      <c r="N236" s="88"/>
      <c r="O236" s="89" t="s">
        <v>53</v>
      </c>
      <c r="P236" s="89">
        <v>31</v>
      </c>
      <c r="Q236" s="89">
        <v>0</v>
      </c>
      <c r="R236" s="89">
        <v>0</v>
      </c>
      <c r="S236" s="93"/>
      <c r="T236" s="89" t="s">
        <v>53</v>
      </c>
      <c r="U236" s="162">
        <f t="shared" si="47"/>
        <v>6500</v>
      </c>
      <c r="V236" s="91"/>
      <c r="W236" s="162">
        <f t="shared" si="48"/>
        <v>6500</v>
      </c>
      <c r="X236" s="91">
        <v>6500</v>
      </c>
      <c r="Y236" s="162">
        <f t="shared" si="49"/>
        <v>0</v>
      </c>
      <c r="Z236" s="94"/>
      <c r="AA236" s="45"/>
    </row>
    <row r="237" spans="1:27" s="43" customFormat="1" ht="21" customHeight="1" x14ac:dyDescent="0.25">
      <c r="A237" s="44"/>
      <c r="B237" s="54"/>
      <c r="C237" s="54"/>
      <c r="D237" s="45"/>
      <c r="E237" s="45"/>
      <c r="F237" s="63" t="s">
        <v>23</v>
      </c>
      <c r="G237" s="58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62"/>
      <c r="I237" s="160"/>
      <c r="J237" s="65" t="s">
        <v>67</v>
      </c>
      <c r="K237" s="68">
        <f>K232/$K$2/8*I237</f>
        <v>0</v>
      </c>
      <c r="L237" s="69"/>
      <c r="M237" s="45"/>
      <c r="N237" s="88"/>
      <c r="O237" s="89" t="s">
        <v>54</v>
      </c>
      <c r="P237" s="89">
        <v>29</v>
      </c>
      <c r="Q237" s="89">
        <v>1</v>
      </c>
      <c r="R237" s="89">
        <v>0</v>
      </c>
      <c r="S237" s="93"/>
      <c r="T237" s="89" t="s">
        <v>54</v>
      </c>
      <c r="U237" s="162">
        <f t="shared" si="47"/>
        <v>0</v>
      </c>
      <c r="V237" s="91"/>
      <c r="W237" s="162">
        <f t="shared" si="48"/>
        <v>0</v>
      </c>
      <c r="X237" s="91"/>
      <c r="Y237" s="162">
        <f t="shared" si="49"/>
        <v>0</v>
      </c>
      <c r="Z237" s="94"/>
      <c r="AA237" s="45"/>
    </row>
    <row r="238" spans="1:27" s="43" customFormat="1" ht="21" customHeight="1" x14ac:dyDescent="0.25">
      <c r="A238" s="44"/>
      <c r="B238" s="63" t="s">
        <v>7</v>
      </c>
      <c r="C238" s="54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25</v>
      </c>
      <c r="D238" s="45"/>
      <c r="E238" s="45"/>
      <c r="F238" s="63" t="s">
        <v>70</v>
      </c>
      <c r="G238" s="58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62"/>
      <c r="I238" s="361" t="s">
        <v>74</v>
      </c>
      <c r="J238" s="362"/>
      <c r="K238" s="68">
        <f>K236+K237</f>
        <v>22580.645161290322</v>
      </c>
      <c r="L238" s="69"/>
      <c r="M238" s="45"/>
      <c r="N238" s="88"/>
      <c r="O238" s="89" t="s">
        <v>55</v>
      </c>
      <c r="P238" s="89">
        <v>25</v>
      </c>
      <c r="Q238" s="89">
        <v>6</v>
      </c>
      <c r="R238" s="89">
        <v>0</v>
      </c>
      <c r="S238" s="93"/>
      <c r="T238" s="89" t="s">
        <v>55</v>
      </c>
      <c r="U238" s="162">
        <f t="shared" si="47"/>
        <v>0</v>
      </c>
      <c r="V238" s="91">
        <v>20000</v>
      </c>
      <c r="W238" s="162">
        <f t="shared" si="48"/>
        <v>20000</v>
      </c>
      <c r="X238" s="91">
        <v>20000</v>
      </c>
      <c r="Y238" s="162">
        <f t="shared" si="49"/>
        <v>0</v>
      </c>
      <c r="Z238" s="94"/>
      <c r="AA238" s="45"/>
    </row>
    <row r="239" spans="1:27" s="43" customFormat="1" ht="21" customHeight="1" x14ac:dyDescent="0.25">
      <c r="A239" s="44"/>
      <c r="B239" s="63" t="s">
        <v>6</v>
      </c>
      <c r="C239" s="54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6</v>
      </c>
      <c r="D239" s="45"/>
      <c r="E239" s="45"/>
      <c r="F239" s="63" t="s">
        <v>24</v>
      </c>
      <c r="G239" s="58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62"/>
      <c r="I239" s="361" t="s">
        <v>75</v>
      </c>
      <c r="J239" s="362"/>
      <c r="K239" s="58">
        <f>G239</f>
        <v>0</v>
      </c>
      <c r="L239" s="70"/>
      <c r="M239" s="45"/>
      <c r="N239" s="88"/>
      <c r="O239" s="89" t="s">
        <v>56</v>
      </c>
      <c r="P239" s="89">
        <v>20</v>
      </c>
      <c r="Q239" s="89">
        <v>11</v>
      </c>
      <c r="R239" s="89">
        <v>0</v>
      </c>
      <c r="S239" s="93"/>
      <c r="T239" s="89" t="s">
        <v>56</v>
      </c>
      <c r="U239" s="162">
        <f>Y238</f>
        <v>0</v>
      </c>
      <c r="V239" s="91"/>
      <c r="W239" s="162">
        <f t="shared" si="48"/>
        <v>0</v>
      </c>
      <c r="X239" s="91"/>
      <c r="Y239" s="162">
        <f t="shared" si="49"/>
        <v>0</v>
      </c>
      <c r="Z239" s="94"/>
      <c r="AA239" s="45"/>
    </row>
    <row r="240" spans="1:27" s="43" customFormat="1" ht="21" customHeight="1" x14ac:dyDescent="0.25">
      <c r="A240" s="44"/>
      <c r="B240" s="71" t="s">
        <v>73</v>
      </c>
      <c r="C240" s="54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45"/>
      <c r="E240" s="45"/>
      <c r="F240" s="63" t="s">
        <v>72</v>
      </c>
      <c r="G240" s="58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45"/>
      <c r="I240" s="363" t="s">
        <v>68</v>
      </c>
      <c r="J240" s="364"/>
      <c r="K240" s="72">
        <f>K238-K239</f>
        <v>22580.645161290322</v>
      </c>
      <c r="L240" s="73"/>
      <c r="M240" s="45"/>
      <c r="N240" s="88"/>
      <c r="O240" s="89" t="s">
        <v>61</v>
      </c>
      <c r="P240" s="89">
        <v>29</v>
      </c>
      <c r="Q240" s="89">
        <v>1</v>
      </c>
      <c r="R240" s="89">
        <v>0</v>
      </c>
      <c r="S240" s="93"/>
      <c r="T240" s="89" t="s">
        <v>61</v>
      </c>
      <c r="U240" s="162"/>
      <c r="V240" s="91"/>
      <c r="W240" s="162" t="str">
        <f t="shared" si="48"/>
        <v/>
      </c>
      <c r="X240" s="91"/>
      <c r="Y240" s="162" t="str">
        <f t="shared" si="49"/>
        <v/>
      </c>
      <c r="Z240" s="94"/>
      <c r="AA240" s="45"/>
    </row>
    <row r="241" spans="1:27" s="43" customFormat="1" ht="21" customHeight="1" x14ac:dyDescent="0.25">
      <c r="A241" s="44"/>
      <c r="B241" s="45"/>
      <c r="C241" s="45"/>
      <c r="D241" s="45"/>
      <c r="E241" s="45"/>
      <c r="F241" s="45"/>
      <c r="G241" s="45"/>
      <c r="H241" s="45"/>
      <c r="I241" s="45"/>
      <c r="J241" s="45"/>
      <c r="K241" s="177"/>
      <c r="L241" s="61"/>
      <c r="M241" s="45"/>
      <c r="N241" s="88"/>
      <c r="O241" s="89" t="s">
        <v>57</v>
      </c>
      <c r="P241" s="89">
        <v>25</v>
      </c>
      <c r="Q241" s="89">
        <v>6</v>
      </c>
      <c r="R241" s="89">
        <v>0</v>
      </c>
      <c r="S241" s="93"/>
      <c r="T241" s="89" t="s">
        <v>57</v>
      </c>
      <c r="U241" s="162"/>
      <c r="V241" s="91"/>
      <c r="W241" s="162" t="str">
        <f t="shared" si="48"/>
        <v/>
      </c>
      <c r="X241" s="91"/>
      <c r="Y241" s="162" t="str">
        <f t="shared" si="49"/>
        <v/>
      </c>
      <c r="Z241" s="94"/>
      <c r="AA241" s="45"/>
    </row>
    <row r="242" spans="1:27" s="43" customFormat="1" ht="21" customHeight="1" x14ac:dyDescent="0.25">
      <c r="A242" s="44"/>
      <c r="B242" s="365" t="s">
        <v>103</v>
      </c>
      <c r="C242" s="365"/>
      <c r="D242" s="365"/>
      <c r="E242" s="365"/>
      <c r="F242" s="365"/>
      <c r="G242" s="365"/>
      <c r="H242" s="365"/>
      <c r="I242" s="365"/>
      <c r="J242" s="365"/>
      <c r="K242" s="365"/>
      <c r="L242" s="61"/>
      <c r="M242" s="45"/>
      <c r="N242" s="88"/>
      <c r="O242" s="89" t="s">
        <v>62</v>
      </c>
      <c r="P242" s="89"/>
      <c r="Q242" s="89"/>
      <c r="R242" s="89"/>
      <c r="S242" s="93"/>
      <c r="T242" s="89" t="s">
        <v>62</v>
      </c>
      <c r="U242" s="162"/>
      <c r="V242" s="91"/>
      <c r="W242" s="162" t="str">
        <f t="shared" si="48"/>
        <v/>
      </c>
      <c r="X242" s="91"/>
      <c r="Y242" s="162" t="str">
        <f t="shared" si="49"/>
        <v/>
      </c>
      <c r="Z242" s="94"/>
      <c r="AA242" s="45"/>
    </row>
    <row r="243" spans="1:27" s="43" customFormat="1" ht="21" customHeight="1" x14ac:dyDescent="0.25">
      <c r="A243" s="44"/>
      <c r="B243" s="365"/>
      <c r="C243" s="365"/>
      <c r="D243" s="365"/>
      <c r="E243" s="365"/>
      <c r="F243" s="365"/>
      <c r="G243" s="365"/>
      <c r="H243" s="365"/>
      <c r="I243" s="365"/>
      <c r="J243" s="365"/>
      <c r="K243" s="365"/>
      <c r="L243" s="61"/>
      <c r="M243" s="45"/>
      <c r="N243" s="88"/>
      <c r="O243" s="89" t="s">
        <v>63</v>
      </c>
      <c r="P243" s="89"/>
      <c r="Q243" s="89"/>
      <c r="R243" s="89"/>
      <c r="S243" s="93"/>
      <c r="T243" s="89" t="s">
        <v>63</v>
      </c>
      <c r="U243" s="162"/>
      <c r="V243" s="91"/>
      <c r="W243" s="162" t="str">
        <f t="shared" si="48"/>
        <v/>
      </c>
      <c r="X243" s="91"/>
      <c r="Y243" s="162" t="str">
        <f t="shared" si="49"/>
        <v/>
      </c>
      <c r="Z243" s="94"/>
      <c r="AA243" s="45"/>
    </row>
    <row r="244" spans="1:27" s="43" customFormat="1" ht="21" customHeight="1" thickBot="1" x14ac:dyDescent="0.3">
      <c r="A244" s="74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6"/>
      <c r="N244" s="95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7"/>
    </row>
    <row r="245" spans="1:27" s="45" customFormat="1" ht="21" customHeight="1" thickBot="1" x14ac:dyDescent="0.3"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 spans="1:27" s="43" customFormat="1" ht="21" hidden="1" customHeight="1" x14ac:dyDescent="0.25">
      <c r="A246" s="383" t="s">
        <v>45</v>
      </c>
      <c r="B246" s="384"/>
      <c r="C246" s="384"/>
      <c r="D246" s="384"/>
      <c r="E246" s="384"/>
      <c r="F246" s="384"/>
      <c r="G246" s="384"/>
      <c r="H246" s="384"/>
      <c r="I246" s="384"/>
      <c r="J246" s="384"/>
      <c r="K246" s="384"/>
      <c r="L246" s="385"/>
      <c r="M246" s="42"/>
      <c r="N246" s="81"/>
      <c r="O246" s="372" t="s">
        <v>47</v>
      </c>
      <c r="P246" s="373"/>
      <c r="Q246" s="373"/>
      <c r="R246" s="374"/>
      <c r="S246" s="82"/>
      <c r="T246" s="372" t="s">
        <v>48</v>
      </c>
      <c r="U246" s="373"/>
      <c r="V246" s="373"/>
      <c r="W246" s="373"/>
      <c r="X246" s="373"/>
      <c r="Y246" s="374"/>
      <c r="Z246" s="83"/>
      <c r="AA246" s="42"/>
    </row>
    <row r="247" spans="1:27" s="43" customFormat="1" ht="21" hidden="1" customHeight="1" x14ac:dyDescent="0.25">
      <c r="A247" s="44"/>
      <c r="B247" s="45"/>
      <c r="C247" s="375" t="s">
        <v>101</v>
      </c>
      <c r="D247" s="375"/>
      <c r="E247" s="375"/>
      <c r="F247" s="375"/>
      <c r="G247" s="46" t="str">
        <f>$J$1</f>
        <v>October</v>
      </c>
      <c r="H247" s="376">
        <f>$K$1</f>
        <v>2020</v>
      </c>
      <c r="I247" s="376"/>
      <c r="J247" s="45"/>
      <c r="K247" s="47"/>
      <c r="L247" s="48"/>
      <c r="M247" s="47"/>
      <c r="N247" s="84"/>
      <c r="O247" s="85" t="s">
        <v>58</v>
      </c>
      <c r="P247" s="85" t="s">
        <v>7</v>
      </c>
      <c r="Q247" s="85" t="s">
        <v>6</v>
      </c>
      <c r="R247" s="85" t="s">
        <v>59</v>
      </c>
      <c r="S247" s="86"/>
      <c r="T247" s="85" t="s">
        <v>58</v>
      </c>
      <c r="U247" s="85" t="s">
        <v>60</v>
      </c>
      <c r="V247" s="85" t="s">
        <v>23</v>
      </c>
      <c r="W247" s="85" t="s">
        <v>22</v>
      </c>
      <c r="X247" s="85" t="s">
        <v>24</v>
      </c>
      <c r="Y247" s="85" t="s">
        <v>64</v>
      </c>
      <c r="Z247" s="87"/>
      <c r="AA247" s="47"/>
    </row>
    <row r="248" spans="1:27" s="43" customFormat="1" ht="21" hidden="1" customHeight="1" x14ac:dyDescent="0.25">
      <c r="A248" s="44"/>
      <c r="B248" s="45"/>
      <c r="C248" s="45"/>
      <c r="D248" s="50"/>
      <c r="E248" s="50"/>
      <c r="F248" s="50"/>
      <c r="G248" s="50"/>
      <c r="H248" s="50"/>
      <c r="I248" s="45"/>
      <c r="J248" s="51" t="s">
        <v>1</v>
      </c>
      <c r="K248" s="52"/>
      <c r="L248" s="53"/>
      <c r="M248" s="45"/>
      <c r="N248" s="88"/>
      <c r="O248" s="89" t="s">
        <v>50</v>
      </c>
      <c r="P248" s="89">
        <v>31</v>
      </c>
      <c r="Q248" s="89">
        <v>0</v>
      </c>
      <c r="R248" s="89">
        <f>15-Q248</f>
        <v>15</v>
      </c>
      <c r="S248" s="90"/>
      <c r="T248" s="89" t="s">
        <v>50</v>
      </c>
      <c r="U248" s="91"/>
      <c r="V248" s="91"/>
      <c r="W248" s="91">
        <f>V248+U248</f>
        <v>0</v>
      </c>
      <c r="X248" s="91"/>
      <c r="Y248" s="91">
        <f>W248-X248</f>
        <v>0</v>
      </c>
      <c r="Z248" s="87"/>
      <c r="AA248" s="45"/>
    </row>
    <row r="249" spans="1:27" s="43" customFormat="1" ht="21" hidden="1" customHeight="1" x14ac:dyDescent="0.25">
      <c r="A249" s="44"/>
      <c r="B249" s="45" t="s">
        <v>0</v>
      </c>
      <c r="C249" s="55"/>
      <c r="D249" s="45"/>
      <c r="E249" s="45"/>
      <c r="F249" s="45"/>
      <c r="G249" s="45"/>
      <c r="H249" s="56"/>
      <c r="I249" s="50"/>
      <c r="J249" s="45"/>
      <c r="K249" s="45"/>
      <c r="L249" s="57"/>
      <c r="M249" s="42"/>
      <c r="N249" s="92"/>
      <c r="O249" s="89" t="s">
        <v>76</v>
      </c>
      <c r="P249" s="89">
        <v>29</v>
      </c>
      <c r="Q249" s="89">
        <v>0</v>
      </c>
      <c r="R249" s="89">
        <f>IF(Q249="","",R248-Q249)</f>
        <v>15</v>
      </c>
      <c r="S249" s="93"/>
      <c r="T249" s="89" t="s">
        <v>76</v>
      </c>
      <c r="U249" s="162">
        <f>Y248</f>
        <v>0</v>
      </c>
      <c r="V249" s="91"/>
      <c r="W249" s="91">
        <f>V249+U249</f>
        <v>0</v>
      </c>
      <c r="X249" s="91"/>
      <c r="Y249" s="162">
        <f>IF(W249="","",W249-X249)</f>
        <v>0</v>
      </c>
      <c r="Z249" s="94"/>
      <c r="AA249" s="42"/>
    </row>
    <row r="250" spans="1:27" s="43" customFormat="1" ht="21" hidden="1" customHeight="1" x14ac:dyDescent="0.25">
      <c r="A250" s="44"/>
      <c r="B250" s="59" t="s">
        <v>46</v>
      </c>
      <c r="C250" s="60"/>
      <c r="D250" s="45"/>
      <c r="E250" s="45"/>
      <c r="F250" s="366" t="s">
        <v>48</v>
      </c>
      <c r="G250" s="366"/>
      <c r="H250" s="45"/>
      <c r="I250" s="366" t="s">
        <v>49</v>
      </c>
      <c r="J250" s="366"/>
      <c r="K250" s="366"/>
      <c r="L250" s="61"/>
      <c r="M250" s="45"/>
      <c r="N250" s="88"/>
      <c r="O250" s="89" t="s">
        <v>51</v>
      </c>
      <c r="P250" s="89"/>
      <c r="Q250" s="89"/>
      <c r="R250" s="89" t="str">
        <f t="shared" ref="R250:R257" si="50">IF(Q250="","",R249-Q250)</f>
        <v/>
      </c>
      <c r="S250" s="93"/>
      <c r="T250" s="89" t="s">
        <v>51</v>
      </c>
      <c r="U250" s="162">
        <f>Y249</f>
        <v>0</v>
      </c>
      <c r="V250" s="91"/>
      <c r="W250" s="91">
        <f>V250+U250</f>
        <v>0</v>
      </c>
      <c r="X250" s="91"/>
      <c r="Y250" s="162">
        <f t="shared" ref="Y250:Y259" si="51">IF(W250="","",W250-X250)</f>
        <v>0</v>
      </c>
      <c r="Z250" s="94"/>
      <c r="AA250" s="45"/>
    </row>
    <row r="251" spans="1:27" s="43" customFormat="1" ht="21" hidden="1" customHeight="1" x14ac:dyDescent="0.25">
      <c r="A251" s="44"/>
      <c r="B251" s="45"/>
      <c r="C251" s="45"/>
      <c r="D251" s="45"/>
      <c r="E251" s="45"/>
      <c r="F251" s="45"/>
      <c r="G251" s="45"/>
      <c r="H251" s="62"/>
      <c r="L251" s="49"/>
      <c r="M251" s="45"/>
      <c r="N251" s="88"/>
      <c r="O251" s="89" t="s">
        <v>52</v>
      </c>
      <c r="P251" s="89"/>
      <c r="Q251" s="89"/>
      <c r="R251" s="89" t="str">
        <f t="shared" si="50"/>
        <v/>
      </c>
      <c r="S251" s="93"/>
      <c r="T251" s="89" t="s">
        <v>52</v>
      </c>
      <c r="U251" s="162"/>
      <c r="V251" s="91"/>
      <c r="W251" s="162" t="str">
        <f t="shared" ref="W251:W259" si="52">IF(U251="","",U251+V251)</f>
        <v/>
      </c>
      <c r="X251" s="91"/>
      <c r="Y251" s="162" t="str">
        <f t="shared" si="51"/>
        <v/>
      </c>
      <c r="Z251" s="94"/>
      <c r="AA251" s="45"/>
    </row>
    <row r="252" spans="1:27" s="43" customFormat="1" ht="21" hidden="1" customHeight="1" x14ac:dyDescent="0.25">
      <c r="A252" s="44"/>
      <c r="B252" s="367" t="s">
        <v>47</v>
      </c>
      <c r="C252" s="368"/>
      <c r="D252" s="45"/>
      <c r="E252" s="45"/>
      <c r="F252" s="63" t="s">
        <v>69</v>
      </c>
      <c r="G252" s="58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62"/>
      <c r="I252" s="64">
        <f>IF(C256&gt;0,$K$2,C254)</f>
        <v>31</v>
      </c>
      <c r="J252" s="65" t="s">
        <v>66</v>
      </c>
      <c r="K252" s="66">
        <f>K248/$K$2*I252</f>
        <v>0</v>
      </c>
      <c r="L252" s="67"/>
      <c r="M252" s="45"/>
      <c r="N252" s="88"/>
      <c r="O252" s="89" t="s">
        <v>53</v>
      </c>
      <c r="P252" s="89"/>
      <c r="Q252" s="89"/>
      <c r="R252" s="89" t="str">
        <f t="shared" si="50"/>
        <v/>
      </c>
      <c r="S252" s="93"/>
      <c r="T252" s="89" t="s">
        <v>53</v>
      </c>
      <c r="U252" s="162" t="str">
        <f t="shared" ref="U252:U256" si="53">Y251</f>
        <v/>
      </c>
      <c r="V252" s="91"/>
      <c r="W252" s="162" t="str">
        <f t="shared" si="52"/>
        <v/>
      </c>
      <c r="X252" s="91"/>
      <c r="Y252" s="162" t="str">
        <f t="shared" si="51"/>
        <v/>
      </c>
      <c r="Z252" s="94"/>
      <c r="AA252" s="45"/>
    </row>
    <row r="253" spans="1:27" s="43" customFormat="1" ht="21" hidden="1" customHeight="1" x14ac:dyDescent="0.25">
      <c r="A253" s="44"/>
      <c r="B253" s="54"/>
      <c r="C253" s="54"/>
      <c r="D253" s="45"/>
      <c r="E253" s="45"/>
      <c r="F253" s="63" t="s">
        <v>23</v>
      </c>
      <c r="G253" s="58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62"/>
      <c r="I253" s="108"/>
      <c r="J253" s="65" t="s">
        <v>67</v>
      </c>
      <c r="K253" s="68">
        <f>K248/$K$2/8*I253</f>
        <v>0</v>
      </c>
      <c r="L253" s="69"/>
      <c r="M253" s="45"/>
      <c r="N253" s="88"/>
      <c r="O253" s="89" t="s">
        <v>54</v>
      </c>
      <c r="P253" s="89"/>
      <c r="Q253" s="89"/>
      <c r="R253" s="89" t="str">
        <f t="shared" si="50"/>
        <v/>
      </c>
      <c r="S253" s="93"/>
      <c r="T253" s="89" t="s">
        <v>54</v>
      </c>
      <c r="U253" s="162" t="str">
        <f t="shared" si="53"/>
        <v/>
      </c>
      <c r="V253" s="91"/>
      <c r="W253" s="162" t="str">
        <f t="shared" si="52"/>
        <v/>
      </c>
      <c r="X253" s="91"/>
      <c r="Y253" s="162" t="str">
        <f t="shared" si="51"/>
        <v/>
      </c>
      <c r="Z253" s="94"/>
      <c r="AA253" s="45"/>
    </row>
    <row r="254" spans="1:27" s="43" customFormat="1" ht="21" hidden="1" customHeight="1" x14ac:dyDescent="0.25">
      <c r="A254" s="44"/>
      <c r="B254" s="63" t="s">
        <v>7</v>
      </c>
      <c r="C254" s="54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45"/>
      <c r="E254" s="45"/>
      <c r="F254" s="63" t="s">
        <v>70</v>
      </c>
      <c r="G254" s="179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62"/>
      <c r="I254" s="361" t="s">
        <v>74</v>
      </c>
      <c r="J254" s="362"/>
      <c r="K254" s="68">
        <f>K252+K253</f>
        <v>0</v>
      </c>
      <c r="L254" s="69"/>
      <c r="M254" s="45"/>
      <c r="N254" s="88"/>
      <c r="O254" s="89" t="s">
        <v>55</v>
      </c>
      <c r="P254" s="89"/>
      <c r="Q254" s="89"/>
      <c r="R254" s="89" t="str">
        <f t="shared" si="50"/>
        <v/>
      </c>
      <c r="S254" s="93"/>
      <c r="T254" s="89" t="s">
        <v>55</v>
      </c>
      <c r="U254" s="162" t="str">
        <f t="shared" si="53"/>
        <v/>
      </c>
      <c r="V254" s="91"/>
      <c r="W254" s="162" t="str">
        <f t="shared" si="52"/>
        <v/>
      </c>
      <c r="X254" s="91"/>
      <c r="Y254" s="162" t="str">
        <f t="shared" si="51"/>
        <v/>
      </c>
      <c r="Z254" s="94"/>
      <c r="AA254" s="45"/>
    </row>
    <row r="255" spans="1:27" s="43" customFormat="1" ht="21" hidden="1" customHeight="1" x14ac:dyDescent="0.25">
      <c r="A255" s="44"/>
      <c r="B255" s="63" t="s">
        <v>6</v>
      </c>
      <c r="C255" s="54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45"/>
      <c r="E255" s="45"/>
      <c r="F255" s="63" t="s">
        <v>24</v>
      </c>
      <c r="G255" s="179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62"/>
      <c r="I255" s="361" t="s">
        <v>75</v>
      </c>
      <c r="J255" s="362"/>
      <c r="K255" s="58">
        <f>G255</f>
        <v>0</v>
      </c>
      <c r="L255" s="70"/>
      <c r="M255" s="45"/>
      <c r="N255" s="88"/>
      <c r="O255" s="89" t="s">
        <v>56</v>
      </c>
      <c r="P255" s="89"/>
      <c r="Q255" s="89"/>
      <c r="R255" s="89" t="str">
        <f t="shared" si="50"/>
        <v/>
      </c>
      <c r="S255" s="93"/>
      <c r="T255" s="89" t="s">
        <v>56</v>
      </c>
      <c r="U255" s="162" t="str">
        <f t="shared" si="53"/>
        <v/>
      </c>
      <c r="V255" s="91"/>
      <c r="W255" s="162" t="str">
        <f t="shared" si="52"/>
        <v/>
      </c>
      <c r="X255" s="91"/>
      <c r="Y255" s="162" t="str">
        <f t="shared" si="51"/>
        <v/>
      </c>
      <c r="Z255" s="94"/>
      <c r="AA255" s="45"/>
    </row>
    <row r="256" spans="1:27" s="43" customFormat="1" ht="21" hidden="1" customHeight="1" x14ac:dyDescent="0.25">
      <c r="A256" s="44"/>
      <c r="B256" s="71" t="s">
        <v>73</v>
      </c>
      <c r="C256" s="54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45"/>
      <c r="E256" s="45"/>
      <c r="F256" s="63" t="s">
        <v>72</v>
      </c>
      <c r="G256" s="179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45"/>
      <c r="I256" s="363" t="s">
        <v>68</v>
      </c>
      <c r="J256" s="364"/>
      <c r="K256" s="72">
        <f>K254-K255</f>
        <v>0</v>
      </c>
      <c r="L256" s="73"/>
      <c r="M256" s="45"/>
      <c r="N256" s="88"/>
      <c r="O256" s="89" t="s">
        <v>61</v>
      </c>
      <c r="P256" s="89"/>
      <c r="Q256" s="89"/>
      <c r="R256" s="89" t="str">
        <f t="shared" si="50"/>
        <v/>
      </c>
      <c r="S256" s="93"/>
      <c r="T256" s="89" t="s">
        <v>61</v>
      </c>
      <c r="U256" s="162" t="str">
        <f t="shared" si="53"/>
        <v/>
      </c>
      <c r="V256" s="91"/>
      <c r="W256" s="162" t="str">
        <f t="shared" si="52"/>
        <v/>
      </c>
      <c r="X256" s="91"/>
      <c r="Y256" s="162" t="str">
        <f t="shared" si="51"/>
        <v/>
      </c>
      <c r="Z256" s="94"/>
      <c r="AA256" s="45"/>
    </row>
    <row r="257" spans="1:27" s="43" customFormat="1" ht="21" hidden="1" customHeight="1" x14ac:dyDescent="0.25">
      <c r="A257" s="44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61"/>
      <c r="M257" s="45"/>
      <c r="N257" s="88"/>
      <c r="O257" s="89" t="s">
        <v>57</v>
      </c>
      <c r="P257" s="89"/>
      <c r="Q257" s="89"/>
      <c r="R257" s="89" t="str">
        <f t="shared" si="50"/>
        <v/>
      </c>
      <c r="S257" s="93"/>
      <c r="T257" s="89" t="s">
        <v>57</v>
      </c>
      <c r="U257" s="162" t="str">
        <f>Y256</f>
        <v/>
      </c>
      <c r="V257" s="91"/>
      <c r="W257" s="162" t="str">
        <f t="shared" si="52"/>
        <v/>
      </c>
      <c r="X257" s="91"/>
      <c r="Y257" s="162" t="str">
        <f t="shared" si="51"/>
        <v/>
      </c>
      <c r="Z257" s="94"/>
      <c r="AA257" s="45"/>
    </row>
    <row r="258" spans="1:27" s="43" customFormat="1" ht="21" hidden="1" customHeight="1" x14ac:dyDescent="0.25">
      <c r="A258" s="44"/>
      <c r="B258" s="365" t="s">
        <v>103</v>
      </c>
      <c r="C258" s="365"/>
      <c r="D258" s="365"/>
      <c r="E258" s="365"/>
      <c r="F258" s="365"/>
      <c r="G258" s="365"/>
      <c r="H258" s="365"/>
      <c r="I258" s="365"/>
      <c r="J258" s="365"/>
      <c r="K258" s="365"/>
      <c r="L258" s="61"/>
      <c r="M258" s="45"/>
      <c r="N258" s="88"/>
      <c r="O258" s="89" t="s">
        <v>62</v>
      </c>
      <c r="P258" s="89"/>
      <c r="Q258" s="89"/>
      <c r="R258" s="89">
        <v>0</v>
      </c>
      <c r="S258" s="93"/>
      <c r="T258" s="89" t="s">
        <v>62</v>
      </c>
      <c r="U258" s="162" t="str">
        <f>Y257</f>
        <v/>
      </c>
      <c r="V258" s="91"/>
      <c r="W258" s="162" t="str">
        <f t="shared" si="52"/>
        <v/>
      </c>
      <c r="X258" s="91"/>
      <c r="Y258" s="162" t="str">
        <f t="shared" si="51"/>
        <v/>
      </c>
      <c r="Z258" s="94"/>
      <c r="AA258" s="45"/>
    </row>
    <row r="259" spans="1:27" s="43" customFormat="1" ht="21" hidden="1" customHeight="1" x14ac:dyDescent="0.25">
      <c r="A259" s="44"/>
      <c r="B259" s="365"/>
      <c r="C259" s="365"/>
      <c r="D259" s="365"/>
      <c r="E259" s="365"/>
      <c r="F259" s="365"/>
      <c r="G259" s="365"/>
      <c r="H259" s="365"/>
      <c r="I259" s="365"/>
      <c r="J259" s="365"/>
      <c r="K259" s="365"/>
      <c r="L259" s="61"/>
      <c r="M259" s="45"/>
      <c r="N259" s="88"/>
      <c r="O259" s="89" t="s">
        <v>63</v>
      </c>
      <c r="P259" s="89"/>
      <c r="Q259" s="89"/>
      <c r="R259" s="89">
        <v>0</v>
      </c>
      <c r="S259" s="93"/>
      <c r="T259" s="89" t="s">
        <v>63</v>
      </c>
      <c r="U259" s="162" t="str">
        <f>Y258</f>
        <v/>
      </c>
      <c r="V259" s="91"/>
      <c r="W259" s="162" t="str">
        <f t="shared" si="52"/>
        <v/>
      </c>
      <c r="X259" s="91"/>
      <c r="Y259" s="162" t="str">
        <f t="shared" si="51"/>
        <v/>
      </c>
      <c r="Z259" s="94"/>
      <c r="AA259" s="45"/>
    </row>
    <row r="260" spans="1:27" s="43" customFormat="1" ht="21" hidden="1" customHeight="1" thickBot="1" x14ac:dyDescent="0.3">
      <c r="A260" s="74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6"/>
      <c r="N260" s="95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7"/>
    </row>
    <row r="261" spans="1:27" s="43" customFormat="1" ht="21" customHeight="1" x14ac:dyDescent="0.25">
      <c r="A261" s="383" t="s">
        <v>45</v>
      </c>
      <c r="B261" s="384"/>
      <c r="C261" s="384"/>
      <c r="D261" s="384"/>
      <c r="E261" s="384"/>
      <c r="F261" s="384"/>
      <c r="G261" s="384"/>
      <c r="H261" s="384"/>
      <c r="I261" s="384"/>
      <c r="J261" s="384"/>
      <c r="K261" s="384"/>
      <c r="L261" s="385"/>
      <c r="M261" s="42"/>
      <c r="N261" s="81"/>
      <c r="O261" s="372" t="s">
        <v>47</v>
      </c>
      <c r="P261" s="373"/>
      <c r="Q261" s="373"/>
      <c r="R261" s="374"/>
      <c r="S261" s="82"/>
      <c r="T261" s="372" t="s">
        <v>48</v>
      </c>
      <c r="U261" s="373"/>
      <c r="V261" s="373"/>
      <c r="W261" s="373"/>
      <c r="X261" s="373"/>
      <c r="Y261" s="374"/>
      <c r="Z261" s="83"/>
      <c r="AA261" s="42"/>
    </row>
    <row r="262" spans="1:27" s="43" customFormat="1" ht="21" customHeight="1" x14ac:dyDescent="0.25">
      <c r="A262" s="44"/>
      <c r="B262" s="45"/>
      <c r="C262" s="375" t="s">
        <v>101</v>
      </c>
      <c r="D262" s="375"/>
      <c r="E262" s="375"/>
      <c r="F262" s="375"/>
      <c r="G262" s="46" t="str">
        <f>$J$1</f>
        <v>October</v>
      </c>
      <c r="H262" s="376">
        <f>$K$1</f>
        <v>2020</v>
      </c>
      <c r="I262" s="376"/>
      <c r="J262" s="45"/>
      <c r="K262" s="47"/>
      <c r="L262" s="48"/>
      <c r="M262" s="47"/>
      <c r="N262" s="84"/>
      <c r="O262" s="85" t="s">
        <v>58</v>
      </c>
      <c r="P262" s="85" t="s">
        <v>7</v>
      </c>
      <c r="Q262" s="85" t="s">
        <v>6</v>
      </c>
      <c r="R262" s="85" t="s">
        <v>59</v>
      </c>
      <c r="S262" s="86"/>
      <c r="T262" s="85" t="s">
        <v>58</v>
      </c>
      <c r="U262" s="85" t="s">
        <v>60</v>
      </c>
      <c r="V262" s="85" t="s">
        <v>23</v>
      </c>
      <c r="W262" s="85" t="s">
        <v>22</v>
      </c>
      <c r="X262" s="85" t="s">
        <v>24</v>
      </c>
      <c r="Y262" s="85" t="s">
        <v>64</v>
      </c>
      <c r="Z262" s="87"/>
      <c r="AA262" s="47"/>
    </row>
    <row r="263" spans="1:27" s="43" customFormat="1" ht="21" customHeight="1" x14ac:dyDescent="0.25">
      <c r="A263" s="44"/>
      <c r="B263" s="45"/>
      <c r="C263" s="45"/>
      <c r="D263" s="50"/>
      <c r="E263" s="50"/>
      <c r="F263" s="50"/>
      <c r="G263" s="50"/>
      <c r="H263" s="50"/>
      <c r="I263" s="45"/>
      <c r="J263" s="51" t="s">
        <v>1</v>
      </c>
      <c r="K263" s="52">
        <v>18000</v>
      </c>
      <c r="L263" s="53"/>
      <c r="M263" s="45"/>
      <c r="N263" s="88"/>
      <c r="O263" s="89" t="s">
        <v>50</v>
      </c>
      <c r="P263" s="89">
        <f>31-Q263</f>
        <v>15</v>
      </c>
      <c r="Q263" s="89">
        <v>16</v>
      </c>
      <c r="R263" s="89">
        <v>14</v>
      </c>
      <c r="S263" s="90"/>
      <c r="T263" s="89" t="s">
        <v>50</v>
      </c>
      <c r="U263" s="91"/>
      <c r="V263" s="91"/>
      <c r="W263" s="91">
        <f>V263+U263</f>
        <v>0</v>
      </c>
      <c r="X263" s="91"/>
      <c r="Y263" s="91">
        <f>W263-X263</f>
        <v>0</v>
      </c>
      <c r="Z263" s="87"/>
      <c r="AA263" s="45"/>
    </row>
    <row r="264" spans="1:27" s="43" customFormat="1" ht="21" customHeight="1" x14ac:dyDescent="0.25">
      <c r="A264" s="44"/>
      <c r="B264" s="45" t="s">
        <v>0</v>
      </c>
      <c r="C264" s="55" t="s">
        <v>142</v>
      </c>
      <c r="D264" s="45"/>
      <c r="E264" s="45"/>
      <c r="F264" s="45"/>
      <c r="G264" s="45"/>
      <c r="H264" s="56"/>
      <c r="I264" s="50"/>
      <c r="J264" s="45"/>
      <c r="K264" s="45"/>
      <c r="L264" s="57"/>
      <c r="M264" s="42"/>
      <c r="N264" s="92"/>
      <c r="O264" s="89" t="s">
        <v>76</v>
      </c>
      <c r="P264" s="89">
        <v>26</v>
      </c>
      <c r="Q264" s="89">
        <v>3</v>
      </c>
      <c r="R264" s="89">
        <f>R263-Q264</f>
        <v>11</v>
      </c>
      <c r="S264" s="93"/>
      <c r="T264" s="89" t="s">
        <v>76</v>
      </c>
      <c r="U264" s="162">
        <f>IF($J$1="January","",Y263)</f>
        <v>0</v>
      </c>
      <c r="V264" s="91"/>
      <c r="W264" s="162">
        <f>IF(U264="","",U264+V264)</f>
        <v>0</v>
      </c>
      <c r="X264" s="91"/>
      <c r="Y264" s="162">
        <f>IF(W264="","",W264-X264)</f>
        <v>0</v>
      </c>
      <c r="Z264" s="94"/>
      <c r="AA264" s="42"/>
    </row>
    <row r="265" spans="1:27" s="43" customFormat="1" ht="21" customHeight="1" x14ac:dyDescent="0.25">
      <c r="A265" s="44"/>
      <c r="B265" s="59" t="s">
        <v>46</v>
      </c>
      <c r="C265" s="60"/>
      <c r="D265" s="45"/>
      <c r="E265" s="45"/>
      <c r="F265" s="366" t="s">
        <v>48</v>
      </c>
      <c r="G265" s="366"/>
      <c r="H265" s="45"/>
      <c r="I265" s="366" t="s">
        <v>49</v>
      </c>
      <c r="J265" s="366"/>
      <c r="K265" s="366"/>
      <c r="L265" s="61"/>
      <c r="M265" s="45"/>
      <c r="N265" s="88"/>
      <c r="O265" s="89" t="s">
        <v>51</v>
      </c>
      <c r="P265" s="89">
        <v>28</v>
      </c>
      <c r="Q265" s="89">
        <v>3</v>
      </c>
      <c r="R265" s="89">
        <f>R264-Q265</f>
        <v>8</v>
      </c>
      <c r="S265" s="93"/>
      <c r="T265" s="89" t="s">
        <v>51</v>
      </c>
      <c r="U265" s="162">
        <f>IF($J$1="February","",Y264)</f>
        <v>0</v>
      </c>
      <c r="V265" s="91"/>
      <c r="W265" s="162">
        <f t="shared" ref="W265:W274" si="54">IF(U265="","",U265+V265)</f>
        <v>0</v>
      </c>
      <c r="X265" s="91"/>
      <c r="Y265" s="162">
        <f t="shared" ref="Y265:Y274" si="55">IF(W265="","",W265-X265)</f>
        <v>0</v>
      </c>
      <c r="Z265" s="94"/>
      <c r="AA265" s="45"/>
    </row>
    <row r="266" spans="1:27" s="43" customFormat="1" ht="21" customHeight="1" x14ac:dyDescent="0.25">
      <c r="A266" s="44"/>
      <c r="B266" s="45"/>
      <c r="C266" s="45"/>
      <c r="D266" s="45"/>
      <c r="E266" s="45"/>
      <c r="F266" s="45"/>
      <c r="G266" s="45"/>
      <c r="H266" s="62"/>
      <c r="L266" s="49"/>
      <c r="M266" s="45"/>
      <c r="N266" s="88"/>
      <c r="O266" s="89" t="s">
        <v>52</v>
      </c>
      <c r="P266" s="89">
        <v>23</v>
      </c>
      <c r="Q266" s="89">
        <v>7</v>
      </c>
      <c r="R266" s="89">
        <f>R265-Q266</f>
        <v>1</v>
      </c>
      <c r="S266" s="93"/>
      <c r="T266" s="89" t="s">
        <v>52</v>
      </c>
      <c r="U266" s="162">
        <f>IF($J$1="March","",Y265)</f>
        <v>0</v>
      </c>
      <c r="V266" s="91"/>
      <c r="W266" s="162">
        <f t="shared" si="54"/>
        <v>0</v>
      </c>
      <c r="X266" s="91"/>
      <c r="Y266" s="162">
        <f t="shared" si="55"/>
        <v>0</v>
      </c>
      <c r="Z266" s="94"/>
      <c r="AA266" s="45"/>
    </row>
    <row r="267" spans="1:27" s="43" customFormat="1" ht="21" customHeight="1" x14ac:dyDescent="0.25">
      <c r="A267" s="44"/>
      <c r="B267" s="367" t="s">
        <v>47</v>
      </c>
      <c r="C267" s="368"/>
      <c r="D267" s="45"/>
      <c r="E267" s="45"/>
      <c r="F267" s="63" t="s">
        <v>69</v>
      </c>
      <c r="G267" s="58">
        <f>IF($J$1="January",U263,IF($J$1="February",U264,IF($J$1="March",U265,IF($J$1="April",U266,IF($J$1="May",U267,IF($J$1="June",U268,IF($J$1="July",U269,IF($J$1="August",U270,IF($J$1="August",U270,IF($J$1="September",U271,IF($J$1="October",U272,IF($J$1="November",U273,IF($J$1="December",U274)))))))))))))</f>
        <v>0</v>
      </c>
      <c r="H267" s="62"/>
      <c r="I267" s="64">
        <f>IF(C271&gt;0,$K$2,C269)</f>
        <v>0</v>
      </c>
      <c r="J267" s="65" t="s">
        <v>66</v>
      </c>
      <c r="K267" s="66">
        <f>K263/$K$2*I267</f>
        <v>0</v>
      </c>
      <c r="L267" s="67"/>
      <c r="M267" s="45"/>
      <c r="N267" s="88"/>
      <c r="O267" s="89" t="s">
        <v>53</v>
      </c>
      <c r="P267" s="89">
        <v>26</v>
      </c>
      <c r="Q267" s="89">
        <v>5</v>
      </c>
      <c r="R267" s="89">
        <v>0</v>
      </c>
      <c r="S267" s="93"/>
      <c r="T267" s="89" t="s">
        <v>53</v>
      </c>
      <c r="U267" s="162">
        <f>IF($J$1="April","",Y266)</f>
        <v>0</v>
      </c>
      <c r="V267" s="91"/>
      <c r="W267" s="162">
        <f t="shared" si="54"/>
        <v>0</v>
      </c>
      <c r="X267" s="91"/>
      <c r="Y267" s="162">
        <f t="shared" si="55"/>
        <v>0</v>
      </c>
      <c r="Z267" s="94"/>
      <c r="AA267" s="45"/>
    </row>
    <row r="268" spans="1:27" s="43" customFormat="1" ht="21" customHeight="1" x14ac:dyDescent="0.25">
      <c r="A268" s="44"/>
      <c r="B268" s="54"/>
      <c r="C268" s="54"/>
      <c r="D268" s="45"/>
      <c r="E268" s="45"/>
      <c r="F268" s="63" t="s">
        <v>23</v>
      </c>
      <c r="G268" s="58">
        <f>IF($J$1="January",V263,IF($J$1="February",V264,IF($J$1="March",V265,IF($J$1="April",V266,IF($J$1="May",V267,IF($J$1="June",V268,IF($J$1="July",V269,IF($J$1="August",V270,IF($J$1="August",V270,IF($J$1="September",V271,IF($J$1="October",V272,IF($J$1="November",V273,IF($J$1="December",V274)))))))))))))</f>
        <v>0</v>
      </c>
      <c r="H268" s="62"/>
      <c r="I268" s="108"/>
      <c r="J268" s="65" t="s">
        <v>67</v>
      </c>
      <c r="K268" s="68">
        <f>K263/$K$2/8*I268</f>
        <v>0</v>
      </c>
      <c r="L268" s="69"/>
      <c r="M268" s="45"/>
      <c r="N268" s="88"/>
      <c r="O268" s="89" t="s">
        <v>54</v>
      </c>
      <c r="P268" s="89">
        <v>28</v>
      </c>
      <c r="Q268" s="89">
        <v>2</v>
      </c>
      <c r="R268" s="89">
        <v>0</v>
      </c>
      <c r="S268" s="93"/>
      <c r="T268" s="89" t="s">
        <v>54</v>
      </c>
      <c r="U268" s="162">
        <f>IF($J$1="May","",Y267)</f>
        <v>0</v>
      </c>
      <c r="V268" s="91"/>
      <c r="W268" s="162">
        <f t="shared" si="54"/>
        <v>0</v>
      </c>
      <c r="X268" s="91"/>
      <c r="Y268" s="162">
        <f t="shared" si="55"/>
        <v>0</v>
      </c>
      <c r="Z268" s="94"/>
      <c r="AA268" s="45"/>
    </row>
    <row r="269" spans="1:27" s="43" customFormat="1" ht="21" customHeight="1" x14ac:dyDescent="0.25">
      <c r="A269" s="44"/>
      <c r="B269" s="63" t="s">
        <v>7</v>
      </c>
      <c r="C269" s="54">
        <f>IF($J$1="January",P263,IF($J$1="February",P264,IF($J$1="March",P265,IF($J$1="April",P266,IF($J$1="May",P267,IF($J$1="June",P268,IF($J$1="July",P269,IF($J$1="August",P270,IF($J$1="August",P270,IF($J$1="September",P271,IF($J$1="October",P272,IF($J$1="November",P273,IF($J$1="December",P274)))))))))))))</f>
        <v>0</v>
      </c>
      <c r="D269" s="45"/>
      <c r="E269" s="45"/>
      <c r="F269" s="63" t="s">
        <v>70</v>
      </c>
      <c r="G269" s="58">
        <f>IF($J$1="January",W263,IF($J$1="February",W264,IF($J$1="March",W265,IF($J$1="April",W266,IF($J$1="May",W267,IF($J$1="June",W268,IF($J$1="July",W269,IF($J$1="August",W270,IF($J$1="August",W270,IF($J$1="September",W271,IF($J$1="October",W272,IF($J$1="November",W273,IF($J$1="December",W274)))))))))))))</f>
        <v>0</v>
      </c>
      <c r="H269" s="62"/>
      <c r="I269" s="361" t="s">
        <v>74</v>
      </c>
      <c r="J269" s="362"/>
      <c r="K269" s="68">
        <f>K267+K268</f>
        <v>0</v>
      </c>
      <c r="L269" s="69"/>
      <c r="M269" s="45"/>
      <c r="N269" s="88"/>
      <c r="O269" s="89" t="s">
        <v>55</v>
      </c>
      <c r="P269" s="89">
        <f>31-19</f>
        <v>12</v>
      </c>
      <c r="Q269" s="89">
        <v>19</v>
      </c>
      <c r="R269" s="89">
        <v>0</v>
      </c>
      <c r="S269" s="93"/>
      <c r="T269" s="89" t="s">
        <v>55</v>
      </c>
      <c r="U269" s="162">
        <f>IF($J$1="June","",Y268)</f>
        <v>0</v>
      </c>
      <c r="V269" s="91"/>
      <c r="W269" s="162">
        <f t="shared" si="54"/>
        <v>0</v>
      </c>
      <c r="X269" s="91"/>
      <c r="Y269" s="162">
        <f t="shared" si="55"/>
        <v>0</v>
      </c>
      <c r="Z269" s="94"/>
      <c r="AA269" s="45"/>
    </row>
    <row r="270" spans="1:27" s="43" customFormat="1" ht="21" customHeight="1" x14ac:dyDescent="0.25">
      <c r="A270" s="44"/>
      <c r="B270" s="63" t="s">
        <v>6</v>
      </c>
      <c r="C270" s="54">
        <f>IF($J$1="January",Q263,IF($J$1="February",Q264,IF($J$1="March",Q265,IF($J$1="April",Q266,IF($J$1="May",Q267,IF($J$1="June",Q268,IF($J$1="July",Q269,IF($J$1="August",Q270,IF($J$1="August",Q270,IF($J$1="September",Q271,IF($J$1="October",Q272,IF($J$1="November",Q273,IF($J$1="December",Q274)))))))))))))</f>
        <v>0</v>
      </c>
      <c r="D270" s="45"/>
      <c r="E270" s="45"/>
      <c r="F270" s="63" t="s">
        <v>24</v>
      </c>
      <c r="G270" s="58">
        <f>IF($J$1="January",X263,IF($J$1="February",X264,IF($J$1="March",X265,IF($J$1="April",X266,IF($J$1="May",X267,IF($J$1="June",X268,IF($J$1="July",X269,IF($J$1="August",X270,IF($J$1="August",X270,IF($J$1="September",X271,IF($J$1="October",X272,IF($J$1="November",X273,IF($J$1="December",X274)))))))))))))</f>
        <v>0</v>
      </c>
      <c r="H270" s="62"/>
      <c r="I270" s="361" t="s">
        <v>75</v>
      </c>
      <c r="J270" s="362"/>
      <c r="K270" s="58">
        <f>G270</f>
        <v>0</v>
      </c>
      <c r="L270" s="70"/>
      <c r="M270" s="45"/>
      <c r="N270" s="88"/>
      <c r="O270" s="89" t="s">
        <v>56</v>
      </c>
      <c r="P270" s="89">
        <v>22</v>
      </c>
      <c r="Q270" s="89">
        <v>9</v>
      </c>
      <c r="R270" s="89">
        <v>0</v>
      </c>
      <c r="S270" s="93"/>
      <c r="T270" s="89" t="s">
        <v>56</v>
      </c>
      <c r="U270" s="162">
        <f>IF($J$1="July","",Y269)</f>
        <v>0</v>
      </c>
      <c r="V270" s="91"/>
      <c r="W270" s="162">
        <f t="shared" si="54"/>
        <v>0</v>
      </c>
      <c r="X270" s="91"/>
      <c r="Y270" s="162">
        <f t="shared" si="55"/>
        <v>0</v>
      </c>
      <c r="Z270" s="94"/>
      <c r="AA270" s="45"/>
    </row>
    <row r="271" spans="1:27" s="43" customFormat="1" ht="21" customHeight="1" x14ac:dyDescent="0.25">
      <c r="A271" s="44"/>
      <c r="B271" s="71" t="s">
        <v>73</v>
      </c>
      <c r="C271" s="54">
        <f>IF($J$1="January",R263,IF($J$1="February",R264,IF($J$1="March",R265,IF($J$1="April",R266,IF($J$1="May",R267,IF($J$1="June",R268,IF($J$1="July",R269,IF($J$1="August",R270,IF($J$1="August",R270,IF($J$1="September",R271,IF($J$1="October",R272,IF($J$1="November",R273,IF($J$1="December",R274)))))))))))))</f>
        <v>0</v>
      </c>
      <c r="D271" s="45"/>
      <c r="E271" s="45"/>
      <c r="F271" s="63" t="s">
        <v>72</v>
      </c>
      <c r="G271" s="58">
        <f>IF($J$1="January",Y263,IF($J$1="February",Y264,IF($J$1="March",Y265,IF($J$1="April",Y266,IF($J$1="May",Y267,IF($J$1="June",Y268,IF($J$1="July",Y269,IF($J$1="August",Y270,IF($J$1="August",Y270,IF($J$1="September",Y271,IF($J$1="October",Y272,IF($J$1="November",Y273,IF($J$1="December",Y274)))))))))))))</f>
        <v>0</v>
      </c>
      <c r="H271" s="45"/>
      <c r="I271" s="363" t="s">
        <v>68</v>
      </c>
      <c r="J271" s="364"/>
      <c r="K271" s="72">
        <f>K269-K270</f>
        <v>0</v>
      </c>
      <c r="L271" s="73"/>
      <c r="M271" s="45"/>
      <c r="N271" s="88"/>
      <c r="O271" s="89" t="s">
        <v>61</v>
      </c>
      <c r="P271" s="89">
        <v>4</v>
      </c>
      <c r="Q271" s="89"/>
      <c r="R271" s="89">
        <v>0</v>
      </c>
      <c r="S271" s="93"/>
      <c r="T271" s="89" t="s">
        <v>61</v>
      </c>
      <c r="U271" s="162">
        <f>IF($J$1="August","",Y270)</f>
        <v>0</v>
      </c>
      <c r="V271" s="91"/>
      <c r="W271" s="162">
        <f t="shared" si="54"/>
        <v>0</v>
      </c>
      <c r="X271" s="91"/>
      <c r="Y271" s="162">
        <f t="shared" si="55"/>
        <v>0</v>
      </c>
      <c r="Z271" s="94"/>
      <c r="AA271" s="45"/>
    </row>
    <row r="272" spans="1:27" s="43" customFormat="1" ht="21" customHeight="1" x14ac:dyDescent="0.25">
      <c r="A272" s="44"/>
      <c r="B272" s="45"/>
      <c r="C272" s="45"/>
      <c r="D272" s="45"/>
      <c r="E272" s="45"/>
      <c r="F272" s="45"/>
      <c r="G272" s="45"/>
      <c r="H272" s="45"/>
      <c r="I272" s="45"/>
      <c r="J272" s="45"/>
      <c r="K272" s="177"/>
      <c r="L272" s="61"/>
      <c r="M272" s="45"/>
      <c r="N272" s="88"/>
      <c r="O272" s="89" t="s">
        <v>57</v>
      </c>
      <c r="P272" s="89"/>
      <c r="Q272" s="89"/>
      <c r="R272" s="89">
        <v>0</v>
      </c>
      <c r="S272" s="93"/>
      <c r="T272" s="89" t="s">
        <v>57</v>
      </c>
      <c r="U272" s="162">
        <f>IF($J$1="September","",Y271)</f>
        <v>0</v>
      </c>
      <c r="V272" s="91"/>
      <c r="W272" s="162">
        <f t="shared" si="54"/>
        <v>0</v>
      </c>
      <c r="X272" s="91"/>
      <c r="Y272" s="162">
        <f t="shared" si="55"/>
        <v>0</v>
      </c>
      <c r="Z272" s="94"/>
      <c r="AA272" s="45"/>
    </row>
    <row r="273" spans="1:27" s="43" customFormat="1" ht="21" customHeight="1" x14ac:dyDescent="0.25">
      <c r="A273" s="44"/>
      <c r="B273" s="365" t="s">
        <v>103</v>
      </c>
      <c r="C273" s="365"/>
      <c r="D273" s="365"/>
      <c r="E273" s="365"/>
      <c r="F273" s="365"/>
      <c r="G273" s="365"/>
      <c r="H273" s="365"/>
      <c r="I273" s="365"/>
      <c r="J273" s="365"/>
      <c r="K273" s="365"/>
      <c r="L273" s="61"/>
      <c r="M273" s="45"/>
      <c r="N273" s="88"/>
      <c r="O273" s="89" t="s">
        <v>62</v>
      </c>
      <c r="P273" s="89"/>
      <c r="Q273" s="89"/>
      <c r="R273" s="89">
        <v>0</v>
      </c>
      <c r="S273" s="93"/>
      <c r="T273" s="89" t="s">
        <v>62</v>
      </c>
      <c r="U273" s="162" t="str">
        <f>IF($J$1="October","",Y272)</f>
        <v/>
      </c>
      <c r="V273" s="91"/>
      <c r="W273" s="162" t="str">
        <f t="shared" si="54"/>
        <v/>
      </c>
      <c r="X273" s="91"/>
      <c r="Y273" s="162" t="str">
        <f t="shared" si="55"/>
        <v/>
      </c>
      <c r="Z273" s="94"/>
      <c r="AA273" s="45"/>
    </row>
    <row r="274" spans="1:27" s="43" customFormat="1" ht="21" customHeight="1" x14ac:dyDescent="0.25">
      <c r="A274" s="44"/>
      <c r="B274" s="365"/>
      <c r="C274" s="365"/>
      <c r="D274" s="365"/>
      <c r="E274" s="365"/>
      <c r="F274" s="365"/>
      <c r="G274" s="365"/>
      <c r="H274" s="365"/>
      <c r="I274" s="365"/>
      <c r="J274" s="365"/>
      <c r="K274" s="365"/>
      <c r="L274" s="61"/>
      <c r="M274" s="45"/>
      <c r="N274" s="88"/>
      <c r="O274" s="89" t="s">
        <v>63</v>
      </c>
      <c r="P274" s="89"/>
      <c r="Q274" s="89"/>
      <c r="R274" s="89">
        <v>0</v>
      </c>
      <c r="S274" s="93"/>
      <c r="T274" s="89" t="s">
        <v>63</v>
      </c>
      <c r="U274" s="162" t="str">
        <f>IF($J$1="November","",Y273)</f>
        <v/>
      </c>
      <c r="V274" s="91"/>
      <c r="W274" s="162" t="str">
        <f t="shared" si="54"/>
        <v/>
      </c>
      <c r="X274" s="91"/>
      <c r="Y274" s="162" t="str">
        <f t="shared" si="55"/>
        <v/>
      </c>
      <c r="Z274" s="94"/>
      <c r="AA274" s="45"/>
    </row>
    <row r="275" spans="1:27" s="43" customFormat="1" ht="21" customHeight="1" thickBot="1" x14ac:dyDescent="0.3">
      <c r="A275" s="74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6"/>
      <c r="N275" s="95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7"/>
    </row>
    <row r="276" spans="1:27" s="43" customFormat="1" ht="21" customHeight="1" x14ac:dyDescent="0.25">
      <c r="A276" s="383" t="s">
        <v>45</v>
      </c>
      <c r="B276" s="384"/>
      <c r="C276" s="384"/>
      <c r="D276" s="384"/>
      <c r="E276" s="384"/>
      <c r="F276" s="384"/>
      <c r="G276" s="384"/>
      <c r="H276" s="384"/>
      <c r="I276" s="384"/>
      <c r="J276" s="384"/>
      <c r="K276" s="384"/>
      <c r="L276" s="385"/>
      <c r="M276" s="42"/>
      <c r="N276" s="81"/>
      <c r="O276" s="372" t="s">
        <v>47</v>
      </c>
      <c r="P276" s="373"/>
      <c r="Q276" s="373"/>
      <c r="R276" s="374"/>
      <c r="S276" s="82"/>
      <c r="T276" s="372" t="s">
        <v>48</v>
      </c>
      <c r="U276" s="373"/>
      <c r="V276" s="373"/>
      <c r="W276" s="373"/>
      <c r="X276" s="373"/>
      <c r="Y276" s="374"/>
      <c r="Z276" s="83"/>
      <c r="AA276" s="42"/>
    </row>
    <row r="277" spans="1:27" s="43" customFormat="1" ht="21" customHeight="1" x14ac:dyDescent="0.25">
      <c r="A277" s="44"/>
      <c r="B277" s="45"/>
      <c r="C277" s="375" t="s">
        <v>101</v>
      </c>
      <c r="D277" s="375"/>
      <c r="E277" s="375"/>
      <c r="F277" s="375"/>
      <c r="G277" s="46" t="str">
        <f>$J$1</f>
        <v>October</v>
      </c>
      <c r="H277" s="376">
        <f>$K$1</f>
        <v>2020</v>
      </c>
      <c r="I277" s="376"/>
      <c r="J277" s="45"/>
      <c r="K277" s="47"/>
      <c r="L277" s="48"/>
      <c r="M277" s="47"/>
      <c r="N277" s="84"/>
      <c r="O277" s="85" t="s">
        <v>58</v>
      </c>
      <c r="P277" s="85" t="s">
        <v>7</v>
      </c>
      <c r="Q277" s="85" t="s">
        <v>6</v>
      </c>
      <c r="R277" s="85" t="s">
        <v>59</v>
      </c>
      <c r="S277" s="86"/>
      <c r="T277" s="85" t="s">
        <v>58</v>
      </c>
      <c r="U277" s="85" t="s">
        <v>60</v>
      </c>
      <c r="V277" s="85" t="s">
        <v>23</v>
      </c>
      <c r="W277" s="85" t="s">
        <v>22</v>
      </c>
      <c r="X277" s="85" t="s">
        <v>24</v>
      </c>
      <c r="Y277" s="85" t="s">
        <v>64</v>
      </c>
      <c r="Z277" s="87"/>
      <c r="AA277" s="47"/>
    </row>
    <row r="278" spans="1:27" s="43" customFormat="1" ht="21" customHeight="1" x14ac:dyDescent="0.25">
      <c r="A278" s="44"/>
      <c r="B278" s="45"/>
      <c r="C278" s="45"/>
      <c r="D278" s="50"/>
      <c r="E278" s="50"/>
      <c r="F278" s="50"/>
      <c r="G278" s="50"/>
      <c r="H278" s="50"/>
      <c r="I278" s="45"/>
      <c r="J278" s="51" t="s">
        <v>1</v>
      </c>
      <c r="K278" s="52">
        <f>21500+3000</f>
        <v>24500</v>
      </c>
      <c r="L278" s="53"/>
      <c r="M278" s="45"/>
      <c r="N278" s="88"/>
      <c r="O278" s="89" t="s">
        <v>50</v>
      </c>
      <c r="P278" s="89">
        <v>31</v>
      </c>
      <c r="Q278" s="89">
        <v>0</v>
      </c>
      <c r="R278" s="89">
        <f>15-Q278</f>
        <v>15</v>
      </c>
      <c r="S278" s="90"/>
      <c r="T278" s="89" t="s">
        <v>50</v>
      </c>
      <c r="U278" s="91">
        <v>41290</v>
      </c>
      <c r="V278" s="91">
        <v>500</v>
      </c>
      <c r="W278" s="91">
        <f>V278+U278</f>
        <v>41790</v>
      </c>
      <c r="X278" s="91">
        <v>5500</v>
      </c>
      <c r="Y278" s="91">
        <f>W278-X278</f>
        <v>36290</v>
      </c>
      <c r="Z278" s="87"/>
      <c r="AA278" s="45"/>
    </row>
    <row r="279" spans="1:27" s="43" customFormat="1" ht="21" customHeight="1" x14ac:dyDescent="0.25">
      <c r="A279" s="44"/>
      <c r="B279" s="45" t="s">
        <v>0</v>
      </c>
      <c r="C279" s="55" t="s">
        <v>26</v>
      </c>
      <c r="D279" s="45"/>
      <c r="E279" s="45"/>
      <c r="F279" s="45"/>
      <c r="G279" s="45"/>
      <c r="H279" s="56"/>
      <c r="I279" s="50"/>
      <c r="J279" s="45"/>
      <c r="K279" s="45"/>
      <c r="L279" s="57"/>
      <c r="M279" s="42"/>
      <c r="N279" s="92"/>
      <c r="O279" s="89" t="s">
        <v>76</v>
      </c>
      <c r="P279" s="89">
        <v>29</v>
      </c>
      <c r="Q279" s="89">
        <v>0</v>
      </c>
      <c r="R279" s="89">
        <f>IF(Q279="","",R278-Q279)</f>
        <v>15</v>
      </c>
      <c r="S279" s="93"/>
      <c r="T279" s="89" t="s">
        <v>76</v>
      </c>
      <c r="U279" s="162">
        <f t="shared" ref="U279:U284" si="56">Y278</f>
        <v>36290</v>
      </c>
      <c r="V279" s="91">
        <f>5000+2000</f>
        <v>7000</v>
      </c>
      <c r="W279" s="162">
        <f>IF(U279="","",U279+V279)</f>
        <v>43290</v>
      </c>
      <c r="X279" s="91">
        <v>7000</v>
      </c>
      <c r="Y279" s="162">
        <f>IF(W279="","",W279-X279)</f>
        <v>36290</v>
      </c>
      <c r="Z279" s="94"/>
      <c r="AA279" s="42"/>
    </row>
    <row r="280" spans="1:27" s="43" customFormat="1" ht="21" customHeight="1" x14ac:dyDescent="0.25">
      <c r="A280" s="44"/>
      <c r="B280" s="59" t="s">
        <v>46</v>
      </c>
      <c r="C280" s="60"/>
      <c r="D280" s="45"/>
      <c r="E280" s="45"/>
      <c r="F280" s="366" t="s">
        <v>48</v>
      </c>
      <c r="G280" s="366"/>
      <c r="H280" s="45"/>
      <c r="I280" s="366" t="s">
        <v>49</v>
      </c>
      <c r="J280" s="366"/>
      <c r="K280" s="366"/>
      <c r="L280" s="61"/>
      <c r="M280" s="45"/>
      <c r="N280" s="88"/>
      <c r="O280" s="89" t="s">
        <v>51</v>
      </c>
      <c r="P280" s="89">
        <v>29</v>
      </c>
      <c r="Q280" s="89">
        <v>2</v>
      </c>
      <c r="R280" s="89">
        <f t="shared" ref="R280:R287" si="57">IF(Q280="","",R279-Q280)</f>
        <v>13</v>
      </c>
      <c r="S280" s="93"/>
      <c r="T280" s="89" t="s">
        <v>51</v>
      </c>
      <c r="U280" s="162">
        <f t="shared" si="56"/>
        <v>36290</v>
      </c>
      <c r="V280" s="91"/>
      <c r="W280" s="162">
        <f t="shared" ref="W280:W289" si="58">IF(U280="","",U280+V280)</f>
        <v>36290</v>
      </c>
      <c r="X280" s="91">
        <v>3500</v>
      </c>
      <c r="Y280" s="162">
        <f t="shared" ref="Y280:Y289" si="59">IF(W280="","",W280-X280)</f>
        <v>32790</v>
      </c>
      <c r="Z280" s="94"/>
      <c r="AA280" s="45"/>
    </row>
    <row r="281" spans="1:27" s="43" customFormat="1" ht="21" customHeight="1" x14ac:dyDescent="0.25">
      <c r="A281" s="44"/>
      <c r="B281" s="45"/>
      <c r="C281" s="45"/>
      <c r="D281" s="45"/>
      <c r="E281" s="45"/>
      <c r="F281" s="45"/>
      <c r="G281" s="45"/>
      <c r="H281" s="62"/>
      <c r="L281" s="49"/>
      <c r="M281" s="45"/>
      <c r="N281" s="88"/>
      <c r="O281" s="89" t="s">
        <v>52</v>
      </c>
      <c r="P281" s="89">
        <v>25</v>
      </c>
      <c r="Q281" s="89">
        <v>5</v>
      </c>
      <c r="R281" s="89">
        <f t="shared" si="57"/>
        <v>8</v>
      </c>
      <c r="S281" s="93"/>
      <c r="T281" s="89" t="s">
        <v>52</v>
      </c>
      <c r="U281" s="162">
        <f t="shared" si="56"/>
        <v>32790</v>
      </c>
      <c r="V281" s="91"/>
      <c r="W281" s="162">
        <f t="shared" si="58"/>
        <v>32790</v>
      </c>
      <c r="X281" s="91">
        <v>3500</v>
      </c>
      <c r="Y281" s="162">
        <f t="shared" si="59"/>
        <v>29290</v>
      </c>
      <c r="Z281" s="94"/>
      <c r="AA281" s="45"/>
    </row>
    <row r="282" spans="1:27" s="43" customFormat="1" ht="21" customHeight="1" x14ac:dyDescent="0.25">
      <c r="A282" s="44"/>
      <c r="B282" s="367" t="s">
        <v>47</v>
      </c>
      <c r="C282" s="368"/>
      <c r="D282" s="45"/>
      <c r="E282" s="45"/>
      <c r="F282" s="63" t="s">
        <v>69</v>
      </c>
      <c r="G282" s="179">
        <f>IF($J$1="January",U278,IF($J$1="February",U279,IF($J$1="March",U280,IF($J$1="April",U281,IF($J$1="May",U282,IF($J$1="June",U283,IF($J$1="July",U284,IF($J$1="August",U285,IF($J$1="August",U285,IF($J$1="September",U286,IF($J$1="October",U287,IF($J$1="November",U288,IF($J$1="December",U289)))))))))))))</f>
        <v>42090</v>
      </c>
      <c r="H282" s="62"/>
      <c r="I282" s="64">
        <f>IF(C286&gt;0,$K$2,C284)</f>
        <v>31</v>
      </c>
      <c r="J282" s="65" t="s">
        <v>66</v>
      </c>
      <c r="K282" s="66">
        <f>K278/$K$2*I282</f>
        <v>24500</v>
      </c>
      <c r="L282" s="67"/>
      <c r="M282" s="45"/>
      <c r="N282" s="88"/>
      <c r="O282" s="89" t="s">
        <v>53</v>
      </c>
      <c r="P282" s="89">
        <v>31</v>
      </c>
      <c r="Q282" s="89">
        <v>0</v>
      </c>
      <c r="R282" s="89">
        <f t="shared" si="57"/>
        <v>8</v>
      </c>
      <c r="S282" s="93"/>
      <c r="T282" s="89" t="s">
        <v>53</v>
      </c>
      <c r="U282" s="162">
        <f t="shared" si="56"/>
        <v>29290</v>
      </c>
      <c r="V282" s="91"/>
      <c r="W282" s="162">
        <f t="shared" si="58"/>
        <v>29290</v>
      </c>
      <c r="X282" s="91">
        <v>3500</v>
      </c>
      <c r="Y282" s="162">
        <f t="shared" si="59"/>
        <v>25790</v>
      </c>
      <c r="Z282" s="94"/>
      <c r="AA282" s="45"/>
    </row>
    <row r="283" spans="1:27" s="43" customFormat="1" ht="21" customHeight="1" x14ac:dyDescent="0.25">
      <c r="A283" s="44"/>
      <c r="B283" s="54"/>
      <c r="C283" s="54"/>
      <c r="D283" s="45"/>
      <c r="E283" s="45"/>
      <c r="F283" s="63" t="s">
        <v>23</v>
      </c>
      <c r="G283" s="179">
        <f>IF($J$1="January",V278,IF($J$1="February",V279,IF($J$1="March",V280,IF($J$1="April",V281,IF($J$1="May",V282,IF($J$1="June",V283,IF($J$1="July",V284,IF($J$1="August",V285,IF($J$1="August",V285,IF($J$1="September",V286,IF($J$1="October",V287,IF($J$1="November",V288,IF($J$1="December",V289)))))))))))))</f>
        <v>1600</v>
      </c>
      <c r="H283" s="62"/>
      <c r="I283" s="108">
        <v>43.5</v>
      </c>
      <c r="J283" s="65" t="s">
        <v>67</v>
      </c>
      <c r="K283" s="68">
        <f>K278/$K$2/8*I283</f>
        <v>4297.3790322580644</v>
      </c>
      <c r="L283" s="69"/>
      <c r="M283" s="45"/>
      <c r="N283" s="88"/>
      <c r="O283" s="89" t="s">
        <v>54</v>
      </c>
      <c r="P283" s="89">
        <v>30</v>
      </c>
      <c r="Q283" s="89">
        <v>0</v>
      </c>
      <c r="R283" s="89">
        <f t="shared" si="57"/>
        <v>8</v>
      </c>
      <c r="S283" s="93"/>
      <c r="T283" s="89" t="s">
        <v>54</v>
      </c>
      <c r="U283" s="162">
        <f t="shared" si="56"/>
        <v>25790</v>
      </c>
      <c r="V283" s="91">
        <f>1000+500</f>
        <v>1500</v>
      </c>
      <c r="W283" s="162">
        <f t="shared" si="58"/>
        <v>27290</v>
      </c>
      <c r="X283" s="91">
        <v>3000</v>
      </c>
      <c r="Y283" s="162">
        <f t="shared" si="59"/>
        <v>24290</v>
      </c>
      <c r="Z283" s="94"/>
      <c r="AA283" s="45"/>
    </row>
    <row r="284" spans="1:27" s="43" customFormat="1" ht="21" customHeight="1" x14ac:dyDescent="0.25">
      <c r="A284" s="44"/>
      <c r="B284" s="63" t="s">
        <v>7</v>
      </c>
      <c r="C284" s="54">
        <f>IF($J$1="January",P278,IF($J$1="February",P279,IF($J$1="March",P280,IF($J$1="April",P281,IF($J$1="May",P282,IF($J$1="June",P283,IF($J$1="July",P284,IF($J$1="August",P285,IF($J$1="August",P285,IF($J$1="September",P286,IF($J$1="October",P287,IF($J$1="November",P288,IF($J$1="December",P289)))))))))))))</f>
        <v>30</v>
      </c>
      <c r="D284" s="45"/>
      <c r="E284" s="45"/>
      <c r="F284" s="63" t="s">
        <v>70</v>
      </c>
      <c r="G284" s="179">
        <f>IF($J$1="January",W278,IF($J$1="February",W279,IF($J$1="March",W280,IF($J$1="April",W281,IF($J$1="May",W282,IF($J$1="June",W283,IF($J$1="July",W284,IF($J$1="August",W285,IF($J$1="August",W285,IF($J$1="September",W286,IF($J$1="October",W287,IF($J$1="November",W288,IF($J$1="December",W289)))))))))))))</f>
        <v>43690</v>
      </c>
      <c r="H284" s="62"/>
      <c r="I284" s="361" t="s">
        <v>74</v>
      </c>
      <c r="J284" s="362"/>
      <c r="K284" s="68">
        <f>K282+K283</f>
        <v>28797.379032258064</v>
      </c>
      <c r="L284" s="69"/>
      <c r="M284" s="45"/>
      <c r="N284" s="88"/>
      <c r="O284" s="89" t="s">
        <v>55</v>
      </c>
      <c r="P284" s="89">
        <v>30</v>
      </c>
      <c r="Q284" s="89">
        <v>1</v>
      </c>
      <c r="R284" s="89">
        <f t="shared" si="57"/>
        <v>7</v>
      </c>
      <c r="S284" s="93"/>
      <c r="T284" s="89" t="s">
        <v>55</v>
      </c>
      <c r="U284" s="162">
        <f t="shared" si="56"/>
        <v>24290</v>
      </c>
      <c r="V284" s="91">
        <f>2000+10000</f>
        <v>12000</v>
      </c>
      <c r="W284" s="162">
        <f t="shared" si="58"/>
        <v>36290</v>
      </c>
      <c r="X284" s="91">
        <v>12000</v>
      </c>
      <c r="Y284" s="162">
        <f t="shared" si="59"/>
        <v>24290</v>
      </c>
      <c r="Z284" s="94"/>
      <c r="AA284" s="45"/>
    </row>
    <row r="285" spans="1:27" s="43" customFormat="1" ht="21" customHeight="1" x14ac:dyDescent="0.25">
      <c r="A285" s="44"/>
      <c r="B285" s="63" t="s">
        <v>6</v>
      </c>
      <c r="C285" s="54">
        <f>IF($J$1="January",Q278,IF($J$1="February",Q279,IF($J$1="March",Q280,IF($J$1="April",Q281,IF($J$1="May",Q282,IF($J$1="June",Q283,IF($J$1="July",Q284,IF($J$1="August",Q285,IF($J$1="August",Q285,IF($J$1="September",Q286,IF($J$1="October",Q287,IF($J$1="November",Q288,IF($J$1="December",Q289)))))))))))))</f>
        <v>1</v>
      </c>
      <c r="D285" s="45"/>
      <c r="E285" s="45"/>
      <c r="F285" s="63" t="s">
        <v>24</v>
      </c>
      <c r="G285" s="179">
        <f>IF($J$1="January",X278,IF($J$1="February",X279,IF($J$1="March",X280,IF($J$1="April",X281,IF($J$1="May",X282,IF($J$1="June",X283,IF($J$1="July",X284,IF($J$1="August",X285,IF($J$1="August",X285,IF($J$1="September",X286,IF($J$1="October",X287,IF($J$1="November",X288,IF($J$1="December",X289)))))))))))))</f>
        <v>6600</v>
      </c>
      <c r="H285" s="62"/>
      <c r="I285" s="361" t="s">
        <v>75</v>
      </c>
      <c r="J285" s="362"/>
      <c r="K285" s="58">
        <f>G285</f>
        <v>6600</v>
      </c>
      <c r="L285" s="70"/>
      <c r="M285" s="45"/>
      <c r="N285" s="88"/>
      <c r="O285" s="89" t="s">
        <v>56</v>
      </c>
      <c r="P285" s="89">
        <v>29</v>
      </c>
      <c r="Q285" s="89">
        <v>2</v>
      </c>
      <c r="R285" s="89">
        <f t="shared" si="57"/>
        <v>5</v>
      </c>
      <c r="S285" s="93"/>
      <c r="T285" s="89" t="s">
        <v>56</v>
      </c>
      <c r="U285" s="162">
        <f>Y284</f>
        <v>24290</v>
      </c>
      <c r="V285" s="91">
        <v>25000</v>
      </c>
      <c r="W285" s="162">
        <f t="shared" si="58"/>
        <v>49290</v>
      </c>
      <c r="X285" s="91">
        <v>5000</v>
      </c>
      <c r="Y285" s="162">
        <f t="shared" si="59"/>
        <v>44290</v>
      </c>
      <c r="Z285" s="94"/>
      <c r="AA285" s="45"/>
    </row>
    <row r="286" spans="1:27" s="43" customFormat="1" ht="21" customHeight="1" x14ac:dyDescent="0.25">
      <c r="A286" s="44"/>
      <c r="B286" s="71" t="s">
        <v>73</v>
      </c>
      <c r="C286" s="54">
        <f>IF($J$1="January",R278,IF($J$1="February",R279,IF($J$1="March",R280,IF($J$1="April",R281,IF($J$1="May",R282,IF($J$1="June",R283,IF($J$1="July",R284,IF($J$1="August",R285,IF($J$1="August",R285,IF($J$1="September",R286,IF($J$1="October",R287,IF($J$1="November",R288,IF($J$1="December",R289)))))))))))))</f>
        <v>4</v>
      </c>
      <c r="D286" s="45"/>
      <c r="E286" s="45"/>
      <c r="F286" s="63" t="s">
        <v>72</v>
      </c>
      <c r="G286" s="179">
        <f>IF($J$1="January",Y278,IF($J$1="February",Y279,IF($J$1="March",Y280,IF($J$1="April",Y281,IF($J$1="May",Y282,IF($J$1="June",Y283,IF($J$1="July",Y284,IF($J$1="August",Y285,IF($J$1="August",Y285,IF($J$1="September",Y286,IF($J$1="October",Y287,IF($J$1="November",Y288,IF($J$1="December",Y289)))))))))))))</f>
        <v>37090</v>
      </c>
      <c r="H286" s="45"/>
      <c r="I286" s="363" t="s">
        <v>68</v>
      </c>
      <c r="J286" s="364"/>
      <c r="K286" s="72">
        <f>K284-K285</f>
        <v>22197.379032258064</v>
      </c>
      <c r="L286" s="73"/>
      <c r="M286" s="45"/>
      <c r="N286" s="88"/>
      <c r="O286" s="89" t="s">
        <v>61</v>
      </c>
      <c r="P286" s="89">
        <v>30</v>
      </c>
      <c r="Q286" s="89">
        <v>0</v>
      </c>
      <c r="R286" s="89">
        <f t="shared" si="57"/>
        <v>5</v>
      </c>
      <c r="S286" s="93"/>
      <c r="T286" s="89" t="s">
        <v>61</v>
      </c>
      <c r="U286" s="162">
        <f>Y285</f>
        <v>44290</v>
      </c>
      <c r="V286" s="91">
        <f>1500+1300</f>
        <v>2800</v>
      </c>
      <c r="W286" s="162">
        <f t="shared" si="58"/>
        <v>47090</v>
      </c>
      <c r="X286" s="91">
        <v>5000</v>
      </c>
      <c r="Y286" s="162">
        <f t="shared" si="59"/>
        <v>42090</v>
      </c>
      <c r="Z286" s="94"/>
      <c r="AA286" s="45"/>
    </row>
    <row r="287" spans="1:27" s="43" customFormat="1" ht="21" customHeight="1" x14ac:dyDescent="0.25">
      <c r="A287" s="44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61"/>
      <c r="M287" s="45"/>
      <c r="N287" s="88"/>
      <c r="O287" s="89" t="s">
        <v>57</v>
      </c>
      <c r="P287" s="89">
        <v>30</v>
      </c>
      <c r="Q287" s="89">
        <v>1</v>
      </c>
      <c r="R287" s="89">
        <f t="shared" si="57"/>
        <v>4</v>
      </c>
      <c r="S287" s="93"/>
      <c r="T287" s="89" t="s">
        <v>57</v>
      </c>
      <c r="U287" s="162">
        <f>Y286</f>
        <v>42090</v>
      </c>
      <c r="V287" s="91">
        <v>1600</v>
      </c>
      <c r="W287" s="162">
        <f t="shared" si="58"/>
        <v>43690</v>
      </c>
      <c r="X287" s="91">
        <v>6600</v>
      </c>
      <c r="Y287" s="162">
        <f t="shared" si="59"/>
        <v>37090</v>
      </c>
      <c r="Z287" s="94"/>
      <c r="AA287" s="45"/>
    </row>
    <row r="288" spans="1:27" s="43" customFormat="1" ht="21" customHeight="1" x14ac:dyDescent="0.25">
      <c r="A288" s="44"/>
      <c r="B288" s="365" t="s">
        <v>103</v>
      </c>
      <c r="C288" s="365"/>
      <c r="D288" s="365"/>
      <c r="E288" s="365"/>
      <c r="F288" s="365"/>
      <c r="G288" s="365"/>
      <c r="H288" s="365"/>
      <c r="I288" s="365"/>
      <c r="J288" s="365"/>
      <c r="K288" s="365"/>
      <c r="L288" s="61"/>
      <c r="M288" s="45"/>
      <c r="N288" s="88"/>
      <c r="O288" s="89" t="s">
        <v>62</v>
      </c>
      <c r="P288" s="89"/>
      <c r="Q288" s="89"/>
      <c r="R288" s="89">
        <v>0</v>
      </c>
      <c r="S288" s="93"/>
      <c r="T288" s="89" t="s">
        <v>62</v>
      </c>
      <c r="U288" s="162"/>
      <c r="V288" s="91"/>
      <c r="W288" s="162" t="str">
        <f t="shared" si="58"/>
        <v/>
      </c>
      <c r="X288" s="91"/>
      <c r="Y288" s="162" t="str">
        <f t="shared" si="59"/>
        <v/>
      </c>
      <c r="Z288" s="94"/>
      <c r="AA288" s="45"/>
    </row>
    <row r="289" spans="1:27" s="43" customFormat="1" ht="21" customHeight="1" x14ac:dyDescent="0.25">
      <c r="A289" s="44"/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61"/>
      <c r="M289" s="45"/>
      <c r="N289" s="88"/>
      <c r="O289" s="89" t="s">
        <v>63</v>
      </c>
      <c r="P289" s="89"/>
      <c r="Q289" s="89"/>
      <c r="R289" s="89">
        <v>0</v>
      </c>
      <c r="S289" s="93"/>
      <c r="T289" s="89" t="s">
        <v>63</v>
      </c>
      <c r="U289" s="162"/>
      <c r="V289" s="91"/>
      <c r="W289" s="162" t="str">
        <f t="shared" si="58"/>
        <v/>
      </c>
      <c r="X289" s="91"/>
      <c r="Y289" s="162" t="str">
        <f t="shared" si="59"/>
        <v/>
      </c>
      <c r="Z289" s="94"/>
      <c r="AA289" s="45"/>
    </row>
    <row r="290" spans="1:27" s="43" customFormat="1" ht="21" customHeight="1" thickBot="1" x14ac:dyDescent="0.3">
      <c r="A290" s="74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6"/>
      <c r="N290" s="95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7"/>
    </row>
    <row r="291" spans="1:27" s="45" customFormat="1" ht="21" customHeight="1" thickBot="1" x14ac:dyDescent="0.3"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 spans="1:27" s="43" customFormat="1" ht="21" hidden="1" customHeight="1" x14ac:dyDescent="0.25">
      <c r="A292" s="383" t="s">
        <v>45</v>
      </c>
      <c r="B292" s="384"/>
      <c r="C292" s="384"/>
      <c r="D292" s="384"/>
      <c r="E292" s="384"/>
      <c r="F292" s="384"/>
      <c r="G292" s="384"/>
      <c r="H292" s="384"/>
      <c r="I292" s="384"/>
      <c r="J292" s="384"/>
      <c r="K292" s="384"/>
      <c r="L292" s="385"/>
      <c r="M292" s="128"/>
      <c r="N292" s="81"/>
      <c r="O292" s="372" t="s">
        <v>47</v>
      </c>
      <c r="P292" s="373"/>
      <c r="Q292" s="373"/>
      <c r="R292" s="374"/>
      <c r="S292" s="82"/>
      <c r="T292" s="372" t="s">
        <v>48</v>
      </c>
      <c r="U292" s="373"/>
      <c r="V292" s="373"/>
      <c r="W292" s="373"/>
      <c r="X292" s="373"/>
      <c r="Y292" s="374"/>
      <c r="Z292" s="83"/>
    </row>
    <row r="293" spans="1:27" s="43" customFormat="1" ht="21" hidden="1" customHeight="1" x14ac:dyDescent="0.25">
      <c r="A293" s="44"/>
      <c r="B293" s="45"/>
      <c r="C293" s="375" t="s">
        <v>101</v>
      </c>
      <c r="D293" s="375"/>
      <c r="E293" s="375"/>
      <c r="F293" s="375"/>
      <c r="G293" s="46" t="str">
        <f>$J$1</f>
        <v>October</v>
      </c>
      <c r="H293" s="376">
        <f>$K$1</f>
        <v>2020</v>
      </c>
      <c r="I293" s="376"/>
      <c r="J293" s="45"/>
      <c r="K293" s="47"/>
      <c r="L293" s="48"/>
      <c r="M293" s="47"/>
      <c r="N293" s="84"/>
      <c r="O293" s="85" t="s">
        <v>58</v>
      </c>
      <c r="P293" s="85" t="s">
        <v>7</v>
      </c>
      <c r="Q293" s="85" t="s">
        <v>6</v>
      </c>
      <c r="R293" s="85" t="s">
        <v>59</v>
      </c>
      <c r="S293" s="86"/>
      <c r="T293" s="85" t="s">
        <v>58</v>
      </c>
      <c r="U293" s="85" t="s">
        <v>60</v>
      </c>
      <c r="V293" s="85" t="s">
        <v>23</v>
      </c>
      <c r="W293" s="85" t="s">
        <v>22</v>
      </c>
      <c r="X293" s="85" t="s">
        <v>24</v>
      </c>
      <c r="Y293" s="85" t="s">
        <v>64</v>
      </c>
      <c r="Z293" s="87"/>
    </row>
    <row r="294" spans="1:27" s="43" customFormat="1" ht="21" hidden="1" customHeight="1" x14ac:dyDescent="0.25">
      <c r="A294" s="44"/>
      <c r="B294" s="45"/>
      <c r="C294" s="45"/>
      <c r="D294" s="50"/>
      <c r="E294" s="50"/>
      <c r="F294" s="50"/>
      <c r="G294" s="50"/>
      <c r="H294" s="50"/>
      <c r="I294" s="45"/>
      <c r="J294" s="51" t="s">
        <v>1</v>
      </c>
      <c r="K294" s="52"/>
      <c r="L294" s="53"/>
      <c r="M294" s="45"/>
      <c r="N294" s="88"/>
      <c r="O294" s="89" t="s">
        <v>50</v>
      </c>
      <c r="P294" s="89">
        <v>28</v>
      </c>
      <c r="Q294" s="89">
        <v>3</v>
      </c>
      <c r="R294" s="89">
        <v>0</v>
      </c>
      <c r="S294" s="90"/>
      <c r="T294" s="89" t="s">
        <v>50</v>
      </c>
      <c r="U294" s="91"/>
      <c r="V294" s="91"/>
      <c r="W294" s="91">
        <f>V294+U294</f>
        <v>0</v>
      </c>
      <c r="X294" s="91"/>
      <c r="Y294" s="91">
        <f>W294-X294</f>
        <v>0</v>
      </c>
      <c r="Z294" s="87"/>
    </row>
    <row r="295" spans="1:27" s="43" customFormat="1" ht="21" hidden="1" customHeight="1" x14ac:dyDescent="0.25">
      <c r="A295" s="44"/>
      <c r="B295" s="45" t="s">
        <v>0</v>
      </c>
      <c r="C295" s="100"/>
      <c r="D295" s="45"/>
      <c r="E295" s="45"/>
      <c r="F295" s="45"/>
      <c r="G295" s="45"/>
      <c r="H295" s="56"/>
      <c r="I295" s="50"/>
      <c r="J295" s="45"/>
      <c r="K295" s="45"/>
      <c r="L295" s="57"/>
      <c r="M295" s="128"/>
      <c r="N295" s="92"/>
      <c r="O295" s="89" t="s">
        <v>76</v>
      </c>
      <c r="P295" s="89">
        <v>21</v>
      </c>
      <c r="Q295" s="89">
        <v>8</v>
      </c>
      <c r="R295" s="89">
        <v>0</v>
      </c>
      <c r="S295" s="93"/>
      <c r="T295" s="89" t="s">
        <v>76</v>
      </c>
      <c r="U295" s="162">
        <f>Y294</f>
        <v>0</v>
      </c>
      <c r="V295" s="91"/>
      <c r="W295" s="162">
        <f>IF(U295="","",U295+V295)</f>
        <v>0</v>
      </c>
      <c r="X295" s="91"/>
      <c r="Y295" s="162">
        <f>IF(W295="","",W295-X295)</f>
        <v>0</v>
      </c>
      <c r="Z295" s="94"/>
    </row>
    <row r="296" spans="1:27" s="43" customFormat="1" ht="21" hidden="1" customHeight="1" x14ac:dyDescent="0.25">
      <c r="A296" s="44"/>
      <c r="B296" s="59" t="s">
        <v>46</v>
      </c>
      <c r="C296" s="100"/>
      <c r="D296" s="45"/>
      <c r="E296" s="45"/>
      <c r="F296" s="366" t="s">
        <v>48</v>
      </c>
      <c r="G296" s="366"/>
      <c r="H296" s="45"/>
      <c r="I296" s="366" t="s">
        <v>49</v>
      </c>
      <c r="J296" s="366"/>
      <c r="K296" s="366"/>
      <c r="L296" s="61"/>
      <c r="M296" s="45"/>
      <c r="N296" s="88"/>
      <c r="O296" s="89" t="s">
        <v>51</v>
      </c>
      <c r="P296" s="89"/>
      <c r="Q296" s="89"/>
      <c r="R296" s="89">
        <v>0</v>
      </c>
      <c r="S296" s="93"/>
      <c r="T296" s="89" t="s">
        <v>51</v>
      </c>
      <c r="U296" s="162">
        <f>IF($J$1="April",Y295,Y295)</f>
        <v>0</v>
      </c>
      <c r="V296" s="91"/>
      <c r="W296" s="162">
        <f t="shared" ref="W296:W305" si="60">IF(U296="","",U296+V296)</f>
        <v>0</v>
      </c>
      <c r="X296" s="91"/>
      <c r="Y296" s="162">
        <f t="shared" ref="Y296:Y305" si="61">IF(W296="","",W296-X296)</f>
        <v>0</v>
      </c>
      <c r="Z296" s="94"/>
    </row>
    <row r="297" spans="1:27" s="43" customFormat="1" ht="21" hidden="1" customHeight="1" x14ac:dyDescent="0.25">
      <c r="A297" s="44"/>
      <c r="B297" s="45"/>
      <c r="C297" s="45"/>
      <c r="D297" s="45"/>
      <c r="E297" s="45"/>
      <c r="F297" s="45"/>
      <c r="G297" s="45"/>
      <c r="H297" s="62"/>
      <c r="L297" s="49"/>
      <c r="M297" s="45"/>
      <c r="N297" s="88"/>
      <c r="O297" s="89" t="s">
        <v>52</v>
      </c>
      <c r="P297" s="89"/>
      <c r="Q297" s="89"/>
      <c r="R297" s="89">
        <v>0</v>
      </c>
      <c r="S297" s="93"/>
      <c r="T297" s="89" t="s">
        <v>52</v>
      </c>
      <c r="U297" s="162">
        <f>IF($J$1="April",Y296,Y296)</f>
        <v>0</v>
      </c>
      <c r="V297" s="91"/>
      <c r="W297" s="162">
        <f t="shared" si="60"/>
        <v>0</v>
      </c>
      <c r="X297" s="91"/>
      <c r="Y297" s="162">
        <f t="shared" si="61"/>
        <v>0</v>
      </c>
      <c r="Z297" s="94"/>
    </row>
    <row r="298" spans="1:27" s="43" customFormat="1" ht="21" hidden="1" customHeight="1" x14ac:dyDescent="0.25">
      <c r="A298" s="44"/>
      <c r="B298" s="367" t="s">
        <v>47</v>
      </c>
      <c r="C298" s="368"/>
      <c r="D298" s="45"/>
      <c r="E298" s="45"/>
      <c r="F298" s="63" t="s">
        <v>69</v>
      </c>
      <c r="G298" s="5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0</v>
      </c>
      <c r="H298" s="62"/>
      <c r="I298" s="64">
        <f>IF(C302&gt;0,$K$2,C300)</f>
        <v>0</v>
      </c>
      <c r="J298" s="65" t="s">
        <v>66</v>
      </c>
      <c r="K298" s="66">
        <f>K294/$K$2*I298</f>
        <v>0</v>
      </c>
      <c r="L298" s="67"/>
      <c r="M298" s="45"/>
      <c r="N298" s="88"/>
      <c r="O298" s="89" t="s">
        <v>53</v>
      </c>
      <c r="P298" s="89"/>
      <c r="Q298" s="89"/>
      <c r="R298" s="89" t="str">
        <f t="shared" ref="R298:R301" si="62">IF(Q298="","",R297-Q298)</f>
        <v/>
      </c>
      <c r="S298" s="93"/>
      <c r="T298" s="89" t="s">
        <v>53</v>
      </c>
      <c r="U298" s="162">
        <f>IF($J$1="May",Y297,Y297)</f>
        <v>0</v>
      </c>
      <c r="V298" s="91"/>
      <c r="W298" s="162">
        <f t="shared" si="60"/>
        <v>0</v>
      </c>
      <c r="X298" s="91"/>
      <c r="Y298" s="162">
        <f t="shared" si="61"/>
        <v>0</v>
      </c>
      <c r="Z298" s="94"/>
    </row>
    <row r="299" spans="1:27" s="43" customFormat="1" ht="21" hidden="1" customHeight="1" x14ac:dyDescent="0.25">
      <c r="A299" s="44"/>
      <c r="B299" s="54"/>
      <c r="C299" s="54"/>
      <c r="D299" s="45"/>
      <c r="E299" s="45"/>
      <c r="F299" s="63" t="s">
        <v>23</v>
      </c>
      <c r="G299" s="5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62"/>
      <c r="I299" s="108"/>
      <c r="J299" s="65" t="s">
        <v>67</v>
      </c>
      <c r="K299" s="68">
        <f>K294/$K$2/8*I299</f>
        <v>0</v>
      </c>
      <c r="L299" s="69"/>
      <c r="M299" s="45"/>
      <c r="N299" s="88"/>
      <c r="O299" s="89" t="s">
        <v>54</v>
      </c>
      <c r="P299" s="89"/>
      <c r="Q299" s="89"/>
      <c r="R299" s="89">
        <v>0</v>
      </c>
      <c r="S299" s="93"/>
      <c r="T299" s="89" t="s">
        <v>54</v>
      </c>
      <c r="U299" s="162">
        <f>IF($J$1="May",Y298,Y298)</f>
        <v>0</v>
      </c>
      <c r="V299" s="91"/>
      <c r="W299" s="162">
        <f t="shared" si="60"/>
        <v>0</v>
      </c>
      <c r="X299" s="91"/>
      <c r="Y299" s="162">
        <f t="shared" si="61"/>
        <v>0</v>
      </c>
      <c r="Z299" s="94"/>
    </row>
    <row r="300" spans="1:27" s="43" customFormat="1" ht="21" hidden="1" customHeight="1" x14ac:dyDescent="0.25">
      <c r="A300" s="44"/>
      <c r="B300" s="63" t="s">
        <v>7</v>
      </c>
      <c r="C300" s="54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45"/>
      <c r="E300" s="45"/>
      <c r="F300" s="63" t="s">
        <v>70</v>
      </c>
      <c r="G300" s="5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0</v>
      </c>
      <c r="H300" s="62"/>
      <c r="I300" s="361" t="s">
        <v>74</v>
      </c>
      <c r="J300" s="362"/>
      <c r="K300" s="68">
        <f>K298+K299</f>
        <v>0</v>
      </c>
      <c r="L300" s="69"/>
      <c r="M300" s="45"/>
      <c r="N300" s="88"/>
      <c r="O300" s="89" t="s">
        <v>55</v>
      </c>
      <c r="P300" s="89"/>
      <c r="Q300" s="89"/>
      <c r="R300" s="89">
        <v>0</v>
      </c>
      <c r="S300" s="93"/>
      <c r="T300" s="89" t="s">
        <v>55</v>
      </c>
      <c r="U300" s="162">
        <f>IF($J$1="May",Y299,Y299)</f>
        <v>0</v>
      </c>
      <c r="V300" s="91"/>
      <c r="W300" s="162">
        <f t="shared" si="60"/>
        <v>0</v>
      </c>
      <c r="X300" s="91"/>
      <c r="Y300" s="162">
        <f t="shared" si="61"/>
        <v>0</v>
      </c>
      <c r="Z300" s="94"/>
    </row>
    <row r="301" spans="1:27" s="43" customFormat="1" ht="21" hidden="1" customHeight="1" x14ac:dyDescent="0.25">
      <c r="A301" s="44"/>
      <c r="B301" s="63" t="s">
        <v>6</v>
      </c>
      <c r="C301" s="54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45"/>
      <c r="E301" s="45"/>
      <c r="F301" s="63" t="s">
        <v>24</v>
      </c>
      <c r="G301" s="5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62"/>
      <c r="I301" s="361" t="s">
        <v>75</v>
      </c>
      <c r="J301" s="362"/>
      <c r="K301" s="58">
        <f>G301</f>
        <v>0</v>
      </c>
      <c r="L301" s="70"/>
      <c r="M301" s="45"/>
      <c r="N301" s="88"/>
      <c r="O301" s="89" t="s">
        <v>56</v>
      </c>
      <c r="P301" s="89"/>
      <c r="Q301" s="89"/>
      <c r="R301" s="89" t="str">
        <f t="shared" si="62"/>
        <v/>
      </c>
      <c r="S301" s="93"/>
      <c r="T301" s="89" t="s">
        <v>56</v>
      </c>
      <c r="U301" s="162">
        <f t="shared" ref="U301:U304" si="63">IF($J$1="May",Y300,Y300)</f>
        <v>0</v>
      </c>
      <c r="V301" s="91"/>
      <c r="W301" s="162">
        <f t="shared" si="60"/>
        <v>0</v>
      </c>
      <c r="X301" s="91"/>
      <c r="Y301" s="162">
        <f t="shared" si="61"/>
        <v>0</v>
      </c>
      <c r="Z301" s="94"/>
    </row>
    <row r="302" spans="1:27" s="43" customFormat="1" ht="21" hidden="1" customHeight="1" x14ac:dyDescent="0.25">
      <c r="A302" s="44"/>
      <c r="B302" s="71" t="s">
        <v>73</v>
      </c>
      <c r="C302" s="54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45"/>
      <c r="E302" s="45"/>
      <c r="F302" s="63" t="s">
        <v>72</v>
      </c>
      <c r="G302" s="5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0</v>
      </c>
      <c r="H302" s="45"/>
      <c r="I302" s="363" t="s">
        <v>68</v>
      </c>
      <c r="J302" s="364"/>
      <c r="K302" s="72">
        <f>K300-K301</f>
        <v>0</v>
      </c>
      <c r="L302" s="73"/>
      <c r="M302" s="45"/>
      <c r="N302" s="88"/>
      <c r="O302" s="89" t="s">
        <v>61</v>
      </c>
      <c r="P302" s="89"/>
      <c r="Q302" s="89"/>
      <c r="R302" s="89">
        <v>0</v>
      </c>
      <c r="S302" s="93"/>
      <c r="T302" s="89" t="s">
        <v>61</v>
      </c>
      <c r="U302" s="162">
        <f t="shared" si="63"/>
        <v>0</v>
      </c>
      <c r="V302" s="91"/>
      <c r="W302" s="162">
        <f t="shared" si="60"/>
        <v>0</v>
      </c>
      <c r="X302" s="91"/>
      <c r="Y302" s="162">
        <f t="shared" si="61"/>
        <v>0</v>
      </c>
      <c r="Z302" s="94"/>
    </row>
    <row r="303" spans="1:27" s="43" customFormat="1" ht="21" hidden="1" customHeight="1" x14ac:dyDescent="0.25">
      <c r="A303" s="44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61"/>
      <c r="M303" s="45"/>
      <c r="N303" s="88"/>
      <c r="O303" s="89" t="s">
        <v>57</v>
      </c>
      <c r="P303" s="89"/>
      <c r="Q303" s="89"/>
      <c r="R303" s="89">
        <v>0</v>
      </c>
      <c r="S303" s="93"/>
      <c r="T303" s="89" t="s">
        <v>57</v>
      </c>
      <c r="U303" s="162">
        <f t="shared" si="63"/>
        <v>0</v>
      </c>
      <c r="V303" s="91"/>
      <c r="W303" s="162">
        <f t="shared" si="60"/>
        <v>0</v>
      </c>
      <c r="X303" s="91"/>
      <c r="Y303" s="162">
        <f t="shared" si="61"/>
        <v>0</v>
      </c>
      <c r="Z303" s="94"/>
    </row>
    <row r="304" spans="1:27" s="43" customFormat="1" ht="21" hidden="1" customHeight="1" x14ac:dyDescent="0.25">
      <c r="A304" s="4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61"/>
      <c r="M304" s="45"/>
      <c r="N304" s="88"/>
      <c r="O304" s="89" t="s">
        <v>62</v>
      </c>
      <c r="P304" s="89"/>
      <c r="Q304" s="89"/>
      <c r="R304" s="89">
        <v>0</v>
      </c>
      <c r="S304" s="93"/>
      <c r="T304" s="89" t="s">
        <v>62</v>
      </c>
      <c r="U304" s="162">
        <f t="shared" si="63"/>
        <v>0</v>
      </c>
      <c r="V304" s="91"/>
      <c r="W304" s="162">
        <f t="shared" si="60"/>
        <v>0</v>
      </c>
      <c r="X304" s="91"/>
      <c r="Y304" s="162">
        <f t="shared" si="61"/>
        <v>0</v>
      </c>
      <c r="Z304" s="94"/>
    </row>
    <row r="305" spans="1:26" s="43" customFormat="1" ht="21" hidden="1" customHeight="1" x14ac:dyDescent="0.25">
      <c r="A305" s="44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61"/>
      <c r="M305" s="45"/>
      <c r="N305" s="88"/>
      <c r="O305" s="89" t="s">
        <v>63</v>
      </c>
      <c r="P305" s="89"/>
      <c r="Q305" s="89"/>
      <c r="R305" s="89">
        <v>0</v>
      </c>
      <c r="S305" s="93"/>
      <c r="T305" s="89" t="s">
        <v>63</v>
      </c>
      <c r="U305" s="162" t="str">
        <f>IF($J$1="Dec",Y304,"")</f>
        <v/>
      </c>
      <c r="V305" s="91"/>
      <c r="W305" s="162" t="str">
        <f t="shared" si="60"/>
        <v/>
      </c>
      <c r="X305" s="91"/>
      <c r="Y305" s="162" t="str">
        <f t="shared" si="61"/>
        <v/>
      </c>
      <c r="Z305" s="94"/>
    </row>
    <row r="306" spans="1:26" s="43" customFormat="1" ht="21" hidden="1" customHeight="1" thickBot="1" x14ac:dyDescent="0.3">
      <c r="A306" s="74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6"/>
      <c r="N306" s="95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7"/>
    </row>
    <row r="307" spans="1:26" s="45" customFormat="1" ht="21" hidden="1" customHeight="1" thickBot="1" x14ac:dyDescent="0.3"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 spans="1:26" s="43" customFormat="1" ht="21" hidden="1" customHeight="1" x14ac:dyDescent="0.25">
      <c r="A308" s="380" t="s">
        <v>45</v>
      </c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2"/>
      <c r="M308" s="131"/>
      <c r="N308" s="81"/>
      <c r="O308" s="372" t="s">
        <v>47</v>
      </c>
      <c r="P308" s="373"/>
      <c r="Q308" s="373"/>
      <c r="R308" s="374"/>
      <c r="S308" s="82"/>
      <c r="T308" s="372" t="s">
        <v>48</v>
      </c>
      <c r="U308" s="373"/>
      <c r="V308" s="373"/>
      <c r="W308" s="373"/>
      <c r="X308" s="373"/>
      <c r="Y308" s="374"/>
      <c r="Z308" s="80"/>
    </row>
    <row r="309" spans="1:26" s="43" customFormat="1" ht="21" hidden="1" customHeight="1" x14ac:dyDescent="0.25">
      <c r="A309" s="44"/>
      <c r="B309" s="45"/>
      <c r="C309" s="375" t="s">
        <v>101</v>
      </c>
      <c r="D309" s="375"/>
      <c r="E309" s="375"/>
      <c r="F309" s="375"/>
      <c r="G309" s="46" t="str">
        <f>$J$1</f>
        <v>October</v>
      </c>
      <c r="H309" s="376">
        <f>$K$1</f>
        <v>2020</v>
      </c>
      <c r="I309" s="376"/>
      <c r="J309" s="45"/>
      <c r="K309" s="47"/>
      <c r="L309" s="48"/>
      <c r="M309" s="47"/>
      <c r="N309" s="84"/>
      <c r="O309" s="85" t="s">
        <v>58</v>
      </c>
      <c r="P309" s="85" t="s">
        <v>7</v>
      </c>
      <c r="Q309" s="85" t="s">
        <v>6</v>
      </c>
      <c r="R309" s="85" t="s">
        <v>59</v>
      </c>
      <c r="S309" s="86"/>
      <c r="T309" s="85" t="s">
        <v>58</v>
      </c>
      <c r="U309" s="85" t="s">
        <v>60</v>
      </c>
      <c r="V309" s="85" t="s">
        <v>23</v>
      </c>
      <c r="W309" s="85" t="s">
        <v>22</v>
      </c>
      <c r="X309" s="85" t="s">
        <v>24</v>
      </c>
      <c r="Y309" s="85" t="s">
        <v>64</v>
      </c>
      <c r="Z309" s="80"/>
    </row>
    <row r="310" spans="1:26" s="43" customFormat="1" ht="21" hidden="1" customHeight="1" x14ac:dyDescent="0.25">
      <c r="A310" s="44"/>
      <c r="B310" s="45"/>
      <c r="C310" s="45"/>
      <c r="D310" s="50"/>
      <c r="E310" s="50"/>
      <c r="F310" s="50"/>
      <c r="G310" s="50"/>
      <c r="H310" s="50"/>
      <c r="I310" s="45"/>
      <c r="J310" s="51" t="s">
        <v>1</v>
      </c>
      <c r="K310" s="52"/>
      <c r="L310" s="53"/>
      <c r="M310" s="45"/>
      <c r="N310" s="88"/>
      <c r="O310" s="89" t="s">
        <v>50</v>
      </c>
      <c r="P310" s="89"/>
      <c r="Q310" s="89"/>
      <c r="R310" s="89"/>
      <c r="S310" s="90"/>
      <c r="T310" s="89" t="s">
        <v>50</v>
      </c>
      <c r="U310" s="91"/>
      <c r="V310" s="91"/>
      <c r="W310" s="91">
        <f>V310+U310</f>
        <v>0</v>
      </c>
      <c r="X310" s="91"/>
      <c r="Y310" s="91">
        <f>W310-X310</f>
        <v>0</v>
      </c>
      <c r="Z310" s="80"/>
    </row>
    <row r="311" spans="1:26" s="43" customFormat="1" ht="21" hidden="1" customHeight="1" x14ac:dyDescent="0.25">
      <c r="A311" s="44"/>
      <c r="B311" s="45" t="s">
        <v>0</v>
      </c>
      <c r="C311" s="100"/>
      <c r="D311" s="45"/>
      <c r="E311" s="45"/>
      <c r="F311" s="45"/>
      <c r="G311" s="45"/>
      <c r="H311" s="56"/>
      <c r="I311" s="50"/>
      <c r="J311" s="45"/>
      <c r="K311" s="45"/>
      <c r="L311" s="57"/>
      <c r="M311" s="131"/>
      <c r="N311" s="92"/>
      <c r="O311" s="89" t="s">
        <v>76</v>
      </c>
      <c r="P311" s="89"/>
      <c r="Q311" s="89"/>
      <c r="R311" s="89" t="str">
        <f>IF(Q311="","",R310-Q311)</f>
        <v/>
      </c>
      <c r="S311" s="93"/>
      <c r="T311" s="89" t="s">
        <v>76</v>
      </c>
      <c r="U311" s="162">
        <f>Y310</f>
        <v>0</v>
      </c>
      <c r="V311" s="91"/>
      <c r="W311" s="162">
        <f>IF(U311="","",U311+V311)</f>
        <v>0</v>
      </c>
      <c r="X311" s="91"/>
      <c r="Y311" s="162">
        <f>IF(W311="","",W311-X311)</f>
        <v>0</v>
      </c>
      <c r="Z311" s="80"/>
    </row>
    <row r="312" spans="1:26" s="43" customFormat="1" ht="21" hidden="1" customHeight="1" x14ac:dyDescent="0.25">
      <c r="A312" s="44"/>
      <c r="B312" s="59" t="s">
        <v>46</v>
      </c>
      <c r="C312" s="60"/>
      <c r="D312" s="45"/>
      <c r="E312" s="45"/>
      <c r="F312" s="366" t="s">
        <v>48</v>
      </c>
      <c r="G312" s="366"/>
      <c r="H312" s="45"/>
      <c r="I312" s="366" t="s">
        <v>49</v>
      </c>
      <c r="J312" s="366"/>
      <c r="K312" s="366"/>
      <c r="L312" s="61"/>
      <c r="M312" s="45"/>
      <c r="N312" s="88"/>
      <c r="O312" s="89" t="s">
        <v>51</v>
      </c>
      <c r="P312" s="89"/>
      <c r="Q312" s="89"/>
      <c r="R312" s="89" t="str">
        <f t="shared" ref="R312:R321" si="64">IF(Q312="","",R311-Q312)</f>
        <v/>
      </c>
      <c r="S312" s="93"/>
      <c r="T312" s="89" t="s">
        <v>51</v>
      </c>
      <c r="U312" s="162">
        <f>IF($J$1="April",Y311,Y311)</f>
        <v>0</v>
      </c>
      <c r="V312" s="91"/>
      <c r="W312" s="162">
        <f t="shared" ref="W312:W321" si="65">IF(U312="","",U312+V312)</f>
        <v>0</v>
      </c>
      <c r="X312" s="91"/>
      <c r="Y312" s="162">
        <f t="shared" ref="Y312:Y321" si="66">IF(W312="","",W312-X312)</f>
        <v>0</v>
      </c>
      <c r="Z312" s="80"/>
    </row>
    <row r="313" spans="1:26" s="43" customFormat="1" ht="21" hidden="1" customHeight="1" x14ac:dyDescent="0.25">
      <c r="A313" s="44"/>
      <c r="B313" s="45"/>
      <c r="C313" s="45"/>
      <c r="D313" s="45"/>
      <c r="E313" s="45"/>
      <c r="F313" s="45"/>
      <c r="G313" s="45"/>
      <c r="H313" s="62"/>
      <c r="L313" s="49"/>
      <c r="M313" s="45"/>
      <c r="N313" s="88"/>
      <c r="O313" s="89" t="s">
        <v>52</v>
      </c>
      <c r="P313" s="89"/>
      <c r="Q313" s="89"/>
      <c r="R313" s="89" t="str">
        <f t="shared" si="64"/>
        <v/>
      </c>
      <c r="S313" s="93"/>
      <c r="T313" s="89" t="s">
        <v>52</v>
      </c>
      <c r="U313" s="162">
        <f>IF($J$1="April",Y312,Y312)</f>
        <v>0</v>
      </c>
      <c r="V313" s="91"/>
      <c r="W313" s="162">
        <f t="shared" si="65"/>
        <v>0</v>
      </c>
      <c r="X313" s="91"/>
      <c r="Y313" s="162">
        <f t="shared" si="66"/>
        <v>0</v>
      </c>
      <c r="Z313" s="80"/>
    </row>
    <row r="314" spans="1:26" s="43" customFormat="1" ht="21" hidden="1" customHeight="1" x14ac:dyDescent="0.25">
      <c r="A314" s="44"/>
      <c r="B314" s="367" t="s">
        <v>47</v>
      </c>
      <c r="C314" s="368"/>
      <c r="D314" s="45"/>
      <c r="E314" s="45"/>
      <c r="F314" s="63" t="s">
        <v>69</v>
      </c>
      <c r="G314" s="58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62"/>
      <c r="I314" s="64"/>
      <c r="J314" s="65" t="s">
        <v>66</v>
      </c>
      <c r="K314" s="66">
        <f>K310/$K$2*I314</f>
        <v>0</v>
      </c>
      <c r="L314" s="67"/>
      <c r="M314" s="45"/>
      <c r="N314" s="88"/>
      <c r="O314" s="89" t="s">
        <v>53</v>
      </c>
      <c r="P314" s="89"/>
      <c r="Q314" s="89"/>
      <c r="R314" s="89" t="str">
        <f t="shared" si="64"/>
        <v/>
      </c>
      <c r="S314" s="93"/>
      <c r="T314" s="89" t="s">
        <v>53</v>
      </c>
      <c r="U314" s="162">
        <f>IF($J$1="May",Y313,Y313)</f>
        <v>0</v>
      </c>
      <c r="V314" s="91"/>
      <c r="W314" s="162">
        <f t="shared" si="65"/>
        <v>0</v>
      </c>
      <c r="X314" s="91"/>
      <c r="Y314" s="162">
        <f t="shared" si="66"/>
        <v>0</v>
      </c>
      <c r="Z314" s="80"/>
    </row>
    <row r="315" spans="1:26" s="43" customFormat="1" ht="21" hidden="1" customHeight="1" x14ac:dyDescent="0.25">
      <c r="A315" s="44"/>
      <c r="B315" s="54"/>
      <c r="C315" s="54"/>
      <c r="D315" s="45"/>
      <c r="E315" s="45"/>
      <c r="F315" s="63" t="s">
        <v>23</v>
      </c>
      <c r="G315" s="58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62"/>
      <c r="I315" s="108"/>
      <c r="J315" s="65" t="s">
        <v>67</v>
      </c>
      <c r="K315" s="68">
        <f>K310/$K$2/8*I315</f>
        <v>0</v>
      </c>
      <c r="L315" s="69"/>
      <c r="M315" s="45"/>
      <c r="N315" s="88"/>
      <c r="O315" s="89" t="s">
        <v>54</v>
      </c>
      <c r="P315" s="89"/>
      <c r="Q315" s="89"/>
      <c r="R315" s="89" t="str">
        <f t="shared" si="64"/>
        <v/>
      </c>
      <c r="S315" s="93"/>
      <c r="T315" s="89" t="s">
        <v>54</v>
      </c>
      <c r="U315" s="162">
        <f>IF($J$1="May",Y314,Y314)</f>
        <v>0</v>
      </c>
      <c r="V315" s="91"/>
      <c r="W315" s="162">
        <f t="shared" si="65"/>
        <v>0</v>
      </c>
      <c r="X315" s="91"/>
      <c r="Y315" s="162">
        <f t="shared" si="66"/>
        <v>0</v>
      </c>
      <c r="Z315" s="80"/>
    </row>
    <row r="316" spans="1:26" s="43" customFormat="1" ht="21" hidden="1" customHeight="1" x14ac:dyDescent="0.25">
      <c r="A316" s="44"/>
      <c r="B316" s="63" t="s">
        <v>7</v>
      </c>
      <c r="C316" s="54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0</v>
      </c>
      <c r="D316" s="45"/>
      <c r="E316" s="45"/>
      <c r="F316" s="63" t="s">
        <v>70</v>
      </c>
      <c r="G316" s="58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62"/>
      <c r="I316" s="361" t="s">
        <v>74</v>
      </c>
      <c r="J316" s="362"/>
      <c r="K316" s="68">
        <f>K314+K315</f>
        <v>0</v>
      </c>
      <c r="L316" s="69"/>
      <c r="M316" s="45"/>
      <c r="N316" s="88"/>
      <c r="O316" s="89" t="s">
        <v>55</v>
      </c>
      <c r="P316" s="89"/>
      <c r="Q316" s="89"/>
      <c r="R316" s="89" t="str">
        <f t="shared" si="64"/>
        <v/>
      </c>
      <c r="S316" s="93"/>
      <c r="T316" s="89" t="s">
        <v>55</v>
      </c>
      <c r="U316" s="162" t="str">
        <f>IF($J$1="July",Y315,"")</f>
        <v/>
      </c>
      <c r="V316" s="91"/>
      <c r="W316" s="162" t="str">
        <f t="shared" si="65"/>
        <v/>
      </c>
      <c r="X316" s="91"/>
      <c r="Y316" s="162" t="str">
        <f t="shared" si="66"/>
        <v/>
      </c>
      <c r="Z316" s="80"/>
    </row>
    <row r="317" spans="1:26" s="43" customFormat="1" ht="21" hidden="1" customHeight="1" x14ac:dyDescent="0.25">
      <c r="A317" s="44"/>
      <c r="B317" s="63" t="s">
        <v>6</v>
      </c>
      <c r="C317" s="54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45"/>
      <c r="E317" s="45"/>
      <c r="F317" s="63" t="s">
        <v>24</v>
      </c>
      <c r="G317" s="58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62"/>
      <c r="I317" s="361" t="s">
        <v>75</v>
      </c>
      <c r="J317" s="362"/>
      <c r="K317" s="58">
        <f>G317</f>
        <v>0</v>
      </c>
      <c r="L317" s="70"/>
      <c r="M317" s="45"/>
      <c r="N317" s="88"/>
      <c r="O317" s="89" t="s">
        <v>56</v>
      </c>
      <c r="P317" s="89"/>
      <c r="Q317" s="89"/>
      <c r="R317" s="89" t="str">
        <f t="shared" si="64"/>
        <v/>
      </c>
      <c r="S317" s="93"/>
      <c r="T317" s="89" t="s">
        <v>56</v>
      </c>
      <c r="U317" s="162" t="str">
        <f>IF($J$1="August",Y316,"")</f>
        <v/>
      </c>
      <c r="V317" s="91"/>
      <c r="W317" s="162" t="str">
        <f t="shared" si="65"/>
        <v/>
      </c>
      <c r="X317" s="91"/>
      <c r="Y317" s="162" t="str">
        <f t="shared" si="66"/>
        <v/>
      </c>
      <c r="Z317" s="80"/>
    </row>
    <row r="318" spans="1:26" s="43" customFormat="1" ht="21" hidden="1" customHeight="1" x14ac:dyDescent="0.25">
      <c r="A318" s="44"/>
      <c r="B318" s="71" t="s">
        <v>73</v>
      </c>
      <c r="C318" s="54" t="str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/>
      </c>
      <c r="D318" s="45"/>
      <c r="E318" s="45"/>
      <c r="F318" s="63" t="s">
        <v>72</v>
      </c>
      <c r="G318" s="58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45"/>
      <c r="I318" s="363" t="s">
        <v>68</v>
      </c>
      <c r="J318" s="364"/>
      <c r="K318" s="72">
        <f>K316-K317</f>
        <v>0</v>
      </c>
      <c r="L318" s="73"/>
      <c r="M318" s="45"/>
      <c r="N318" s="88"/>
      <c r="O318" s="89" t="s">
        <v>61</v>
      </c>
      <c r="P318" s="89"/>
      <c r="Q318" s="89"/>
      <c r="R318" s="89" t="str">
        <f t="shared" si="64"/>
        <v/>
      </c>
      <c r="S318" s="93"/>
      <c r="T318" s="89" t="s">
        <v>61</v>
      </c>
      <c r="U318" s="162" t="str">
        <f>IF($J$1="Sept",Y317,"")</f>
        <v/>
      </c>
      <c r="V318" s="91"/>
      <c r="W318" s="162" t="str">
        <f t="shared" si="65"/>
        <v/>
      </c>
      <c r="X318" s="91"/>
      <c r="Y318" s="162" t="str">
        <f t="shared" si="66"/>
        <v/>
      </c>
      <c r="Z318" s="80"/>
    </row>
    <row r="319" spans="1:26" s="43" customFormat="1" ht="21" hidden="1" customHeight="1" x14ac:dyDescent="0.25">
      <c r="A319" s="44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61"/>
      <c r="M319" s="45"/>
      <c r="N319" s="88"/>
      <c r="O319" s="89" t="s">
        <v>57</v>
      </c>
      <c r="P319" s="89"/>
      <c r="Q319" s="89"/>
      <c r="R319" s="89" t="str">
        <f t="shared" si="64"/>
        <v/>
      </c>
      <c r="S319" s="93"/>
      <c r="T319" s="89" t="s">
        <v>57</v>
      </c>
      <c r="U319" s="162" t="str">
        <f>IF($J$1="October",Y318,"")</f>
        <v/>
      </c>
      <c r="V319" s="91"/>
      <c r="W319" s="162" t="str">
        <f t="shared" si="65"/>
        <v/>
      </c>
      <c r="X319" s="91"/>
      <c r="Y319" s="162" t="str">
        <f t="shared" si="66"/>
        <v/>
      </c>
      <c r="Z319" s="80"/>
    </row>
    <row r="320" spans="1:26" s="43" customFormat="1" ht="21" hidden="1" customHeight="1" x14ac:dyDescent="0.25">
      <c r="A320" s="44"/>
      <c r="B320" s="365" t="s">
        <v>103</v>
      </c>
      <c r="C320" s="365"/>
      <c r="D320" s="365"/>
      <c r="E320" s="365"/>
      <c r="F320" s="365"/>
      <c r="G320" s="365"/>
      <c r="H320" s="365"/>
      <c r="I320" s="365"/>
      <c r="J320" s="365"/>
      <c r="K320" s="365"/>
      <c r="L320" s="61"/>
      <c r="M320" s="45"/>
      <c r="N320" s="88"/>
      <c r="O320" s="89" t="s">
        <v>62</v>
      </c>
      <c r="P320" s="89"/>
      <c r="Q320" s="89"/>
      <c r="R320" s="89" t="str">
        <f t="shared" si="64"/>
        <v/>
      </c>
      <c r="S320" s="93"/>
      <c r="T320" s="89" t="s">
        <v>62</v>
      </c>
      <c r="U320" s="162" t="str">
        <f>IF($J$1="November",Y319,"")</f>
        <v/>
      </c>
      <c r="V320" s="91"/>
      <c r="W320" s="162" t="str">
        <f t="shared" si="65"/>
        <v/>
      </c>
      <c r="X320" s="91"/>
      <c r="Y320" s="162" t="str">
        <f t="shared" si="66"/>
        <v/>
      </c>
      <c r="Z320" s="80"/>
    </row>
    <row r="321" spans="1:27" s="43" customFormat="1" ht="21" hidden="1" customHeight="1" x14ac:dyDescent="0.25">
      <c r="A321" s="4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61"/>
      <c r="M321" s="45"/>
      <c r="N321" s="88"/>
      <c r="O321" s="89" t="s">
        <v>63</v>
      </c>
      <c r="P321" s="89"/>
      <c r="Q321" s="89"/>
      <c r="R321" s="89" t="str">
        <f t="shared" si="64"/>
        <v/>
      </c>
      <c r="S321" s="93"/>
      <c r="T321" s="89" t="s">
        <v>63</v>
      </c>
      <c r="U321" s="162" t="str">
        <f>IF($J$1="Dec",Y320,"")</f>
        <v/>
      </c>
      <c r="V321" s="91"/>
      <c r="W321" s="162" t="str">
        <f t="shared" si="65"/>
        <v/>
      </c>
      <c r="X321" s="91"/>
      <c r="Y321" s="162" t="str">
        <f t="shared" si="66"/>
        <v/>
      </c>
      <c r="Z321" s="80"/>
    </row>
    <row r="322" spans="1:27" s="43" customFormat="1" ht="21" hidden="1" customHeight="1" thickBot="1" x14ac:dyDescent="0.3">
      <c r="A322" s="74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6"/>
      <c r="N322" s="95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80"/>
    </row>
    <row r="323" spans="1:27" s="43" customFormat="1" ht="21" customHeight="1" x14ac:dyDescent="0.25">
      <c r="A323" s="383" t="s">
        <v>45</v>
      </c>
      <c r="B323" s="384"/>
      <c r="C323" s="384"/>
      <c r="D323" s="384"/>
      <c r="E323" s="384"/>
      <c r="F323" s="384"/>
      <c r="G323" s="384"/>
      <c r="H323" s="384"/>
      <c r="I323" s="384"/>
      <c r="J323" s="384"/>
      <c r="K323" s="384"/>
      <c r="L323" s="385"/>
      <c r="M323" s="42"/>
      <c r="N323" s="81"/>
      <c r="O323" s="372" t="s">
        <v>47</v>
      </c>
      <c r="P323" s="373"/>
      <c r="Q323" s="373"/>
      <c r="R323" s="374"/>
      <c r="S323" s="82"/>
      <c r="T323" s="372" t="s">
        <v>48</v>
      </c>
      <c r="U323" s="373"/>
      <c r="V323" s="373"/>
      <c r="W323" s="373"/>
      <c r="X323" s="373"/>
      <c r="Y323" s="374"/>
      <c r="Z323" s="83"/>
      <c r="AA323" s="42"/>
    </row>
    <row r="324" spans="1:27" s="43" customFormat="1" ht="21" customHeight="1" x14ac:dyDescent="0.25">
      <c r="A324" s="44"/>
      <c r="B324" s="45"/>
      <c r="C324" s="375" t="s">
        <v>101</v>
      </c>
      <c r="D324" s="375"/>
      <c r="E324" s="375"/>
      <c r="F324" s="375"/>
      <c r="G324" s="46" t="str">
        <f>$J$1</f>
        <v>October</v>
      </c>
      <c r="H324" s="376">
        <f>$K$1</f>
        <v>2020</v>
      </c>
      <c r="I324" s="376"/>
      <c r="J324" s="45"/>
      <c r="K324" s="47"/>
      <c r="L324" s="48"/>
      <c r="M324" s="47"/>
      <c r="N324" s="84"/>
      <c r="O324" s="85" t="s">
        <v>58</v>
      </c>
      <c r="P324" s="85" t="s">
        <v>7</v>
      </c>
      <c r="Q324" s="85" t="s">
        <v>6</v>
      </c>
      <c r="R324" s="85" t="s">
        <v>59</v>
      </c>
      <c r="S324" s="86"/>
      <c r="T324" s="85" t="s">
        <v>58</v>
      </c>
      <c r="U324" s="85" t="s">
        <v>60</v>
      </c>
      <c r="V324" s="85" t="s">
        <v>23</v>
      </c>
      <c r="W324" s="85" t="s">
        <v>22</v>
      </c>
      <c r="X324" s="85" t="s">
        <v>24</v>
      </c>
      <c r="Y324" s="85" t="s">
        <v>64</v>
      </c>
      <c r="Z324" s="87"/>
      <c r="AA324" s="47"/>
    </row>
    <row r="325" spans="1:27" s="43" customFormat="1" ht="21" customHeight="1" x14ac:dyDescent="0.25">
      <c r="A325" s="44"/>
      <c r="B325" s="45"/>
      <c r="C325" s="45"/>
      <c r="D325" s="50"/>
      <c r="E325" s="50"/>
      <c r="F325" s="50"/>
      <c r="G325" s="50"/>
      <c r="H325" s="50"/>
      <c r="I325" s="45"/>
      <c r="J325" s="51" t="s">
        <v>1</v>
      </c>
      <c r="K325" s="52">
        <f>25000+2000</f>
        <v>27000</v>
      </c>
      <c r="L325" s="53"/>
      <c r="M325" s="45"/>
      <c r="N325" s="88"/>
      <c r="O325" s="89" t="s">
        <v>50</v>
      </c>
      <c r="P325" s="89">
        <v>21</v>
      </c>
      <c r="Q325" s="89">
        <v>10</v>
      </c>
      <c r="R325" s="89">
        <f>15+10-Q325</f>
        <v>15</v>
      </c>
      <c r="S325" s="90"/>
      <c r="T325" s="89" t="s">
        <v>50</v>
      </c>
      <c r="U325" s="91"/>
      <c r="V325" s="91"/>
      <c r="W325" s="91">
        <f>V325+U325</f>
        <v>0</v>
      </c>
      <c r="X325" s="91"/>
      <c r="Y325" s="91">
        <f>W325-X325</f>
        <v>0</v>
      </c>
      <c r="Z325" s="87"/>
      <c r="AA325" s="45"/>
    </row>
    <row r="326" spans="1:27" s="43" customFormat="1" ht="21" customHeight="1" x14ac:dyDescent="0.25">
      <c r="A326" s="44"/>
      <c r="B326" s="45" t="s">
        <v>0</v>
      </c>
      <c r="C326" s="55" t="s">
        <v>93</v>
      </c>
      <c r="D326" s="45"/>
      <c r="E326" s="45"/>
      <c r="F326" s="45"/>
      <c r="G326" s="45"/>
      <c r="H326" s="56"/>
      <c r="I326" s="50"/>
      <c r="J326" s="45"/>
      <c r="K326" s="45"/>
      <c r="L326" s="57"/>
      <c r="M326" s="42"/>
      <c r="N326" s="92"/>
      <c r="O326" s="89" t="s">
        <v>76</v>
      </c>
      <c r="P326" s="89">
        <v>29</v>
      </c>
      <c r="Q326" s="89">
        <v>0</v>
      </c>
      <c r="R326" s="169">
        <f>IF(Q326="","",R325-Q326)</f>
        <v>15</v>
      </c>
      <c r="S326" s="93"/>
      <c r="T326" s="89" t="s">
        <v>76</v>
      </c>
      <c r="U326" s="162">
        <f>IF($J$1="January","",Y325)</f>
        <v>0</v>
      </c>
      <c r="V326" s="91"/>
      <c r="W326" s="162">
        <f>IF(U326="","",U326+V326)</f>
        <v>0</v>
      </c>
      <c r="X326" s="91"/>
      <c r="Y326" s="162">
        <f>IF(W326="","",W326-X326)</f>
        <v>0</v>
      </c>
      <c r="Z326" s="94"/>
      <c r="AA326" s="42"/>
    </row>
    <row r="327" spans="1:27" s="43" customFormat="1" ht="21" customHeight="1" x14ac:dyDescent="0.25">
      <c r="A327" s="44"/>
      <c r="B327" s="59" t="s">
        <v>46</v>
      </c>
      <c r="C327" s="60"/>
      <c r="D327" s="45"/>
      <c r="E327" s="45"/>
      <c r="F327" s="366" t="s">
        <v>48</v>
      </c>
      <c r="G327" s="366"/>
      <c r="H327" s="45"/>
      <c r="I327" s="366" t="s">
        <v>49</v>
      </c>
      <c r="J327" s="366"/>
      <c r="K327" s="366"/>
      <c r="L327" s="61"/>
      <c r="M327" s="45"/>
      <c r="N327" s="88"/>
      <c r="O327" s="89" t="s">
        <v>51</v>
      </c>
      <c r="P327" s="89">
        <v>28</v>
      </c>
      <c r="Q327" s="89">
        <v>3</v>
      </c>
      <c r="R327" s="169">
        <f>IF(Q327="","",R326-Q327)</f>
        <v>12</v>
      </c>
      <c r="S327" s="93"/>
      <c r="T327" s="89" t="s">
        <v>51</v>
      </c>
      <c r="U327" s="162">
        <f>IF($J$1="February","",Y326)</f>
        <v>0</v>
      </c>
      <c r="V327" s="91"/>
      <c r="W327" s="162">
        <f t="shared" ref="W327:W336" si="67">IF(U327="","",U327+V327)</f>
        <v>0</v>
      </c>
      <c r="X327" s="91"/>
      <c r="Y327" s="162">
        <f t="shared" ref="Y327:Y336" si="68">IF(W327="","",W327-X327)</f>
        <v>0</v>
      </c>
      <c r="Z327" s="94"/>
      <c r="AA327" s="45"/>
    </row>
    <row r="328" spans="1:27" s="43" customFormat="1" ht="21" customHeight="1" x14ac:dyDescent="0.25">
      <c r="A328" s="44"/>
      <c r="B328" s="45"/>
      <c r="C328" s="45"/>
      <c r="D328" s="45"/>
      <c r="E328" s="45"/>
      <c r="F328" s="45"/>
      <c r="G328" s="45"/>
      <c r="H328" s="62"/>
      <c r="L328" s="49"/>
      <c r="M328" s="45"/>
      <c r="N328" s="88"/>
      <c r="O328" s="89" t="s">
        <v>52</v>
      </c>
      <c r="P328" s="89">
        <v>29</v>
      </c>
      <c r="Q328" s="89">
        <v>1</v>
      </c>
      <c r="R328" s="89">
        <f t="shared" ref="R328:R336" si="69">IF(Q328="","",R327-Q328)</f>
        <v>11</v>
      </c>
      <c r="S328" s="93"/>
      <c r="T328" s="89" t="s">
        <v>52</v>
      </c>
      <c r="U328" s="162">
        <f>IF($J$1="March","",Y327)</f>
        <v>0</v>
      </c>
      <c r="V328" s="91"/>
      <c r="W328" s="162">
        <f t="shared" si="67"/>
        <v>0</v>
      </c>
      <c r="X328" s="91"/>
      <c r="Y328" s="162">
        <f t="shared" si="68"/>
        <v>0</v>
      </c>
      <c r="Z328" s="94"/>
      <c r="AA328" s="45"/>
    </row>
    <row r="329" spans="1:27" s="43" customFormat="1" ht="21" customHeight="1" x14ac:dyDescent="0.25">
      <c r="A329" s="44"/>
      <c r="B329" s="367" t="s">
        <v>47</v>
      </c>
      <c r="C329" s="368"/>
      <c r="D329" s="45"/>
      <c r="E329" s="45"/>
      <c r="F329" s="63" t="s">
        <v>69</v>
      </c>
      <c r="G329" s="58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0</v>
      </c>
      <c r="H329" s="62"/>
      <c r="I329" s="64">
        <f>IF(C333&gt;0,$K$2,C331)</f>
        <v>31</v>
      </c>
      <c r="J329" s="65" t="s">
        <v>66</v>
      </c>
      <c r="K329" s="66">
        <f>K325/$K$2*I329</f>
        <v>27000</v>
      </c>
      <c r="L329" s="67"/>
      <c r="M329" s="45"/>
      <c r="N329" s="88"/>
      <c r="O329" s="89" t="s">
        <v>53</v>
      </c>
      <c r="P329" s="89">
        <v>31</v>
      </c>
      <c r="Q329" s="89">
        <v>0</v>
      </c>
      <c r="R329" s="89">
        <f t="shared" si="69"/>
        <v>11</v>
      </c>
      <c r="S329" s="93"/>
      <c r="T329" s="89" t="s">
        <v>53</v>
      </c>
      <c r="U329" s="162">
        <f>IF($J$1="April","",Y328)</f>
        <v>0</v>
      </c>
      <c r="V329" s="91"/>
      <c r="W329" s="162">
        <f t="shared" si="67"/>
        <v>0</v>
      </c>
      <c r="X329" s="91"/>
      <c r="Y329" s="162">
        <f t="shared" si="68"/>
        <v>0</v>
      </c>
      <c r="Z329" s="94"/>
      <c r="AA329" s="45"/>
    </row>
    <row r="330" spans="1:27" s="43" customFormat="1" ht="21" customHeight="1" x14ac:dyDescent="0.25">
      <c r="A330" s="44"/>
      <c r="B330" s="54"/>
      <c r="C330" s="54"/>
      <c r="D330" s="45"/>
      <c r="E330" s="45"/>
      <c r="F330" s="63" t="s">
        <v>23</v>
      </c>
      <c r="G330" s="58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62"/>
      <c r="I330" s="108">
        <v>84</v>
      </c>
      <c r="J330" s="65" t="s">
        <v>67</v>
      </c>
      <c r="K330" s="68">
        <f>K325/$K$2/8*I330</f>
        <v>9145.1612903225814</v>
      </c>
      <c r="L330" s="69"/>
      <c r="M330" s="45"/>
      <c r="N330" s="88"/>
      <c r="O330" s="89" t="s">
        <v>54</v>
      </c>
      <c r="P330" s="89">
        <v>30</v>
      </c>
      <c r="Q330" s="89">
        <v>0</v>
      </c>
      <c r="R330" s="89">
        <f t="shared" si="69"/>
        <v>11</v>
      </c>
      <c r="S330" s="93"/>
      <c r="T330" s="89" t="s">
        <v>54</v>
      </c>
      <c r="U330" s="162">
        <f>IF($J$1="May","",Y329)</f>
        <v>0</v>
      </c>
      <c r="V330" s="91"/>
      <c r="W330" s="162">
        <f t="shared" si="67"/>
        <v>0</v>
      </c>
      <c r="X330" s="91"/>
      <c r="Y330" s="162">
        <f t="shared" si="68"/>
        <v>0</v>
      </c>
      <c r="Z330" s="94"/>
      <c r="AA330" s="45"/>
    </row>
    <row r="331" spans="1:27" s="43" customFormat="1" ht="21" customHeight="1" x14ac:dyDescent="0.25">
      <c r="A331" s="44"/>
      <c r="B331" s="63" t="s">
        <v>7</v>
      </c>
      <c r="C331" s="5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31</v>
      </c>
      <c r="D331" s="45"/>
      <c r="E331" s="45"/>
      <c r="F331" s="63" t="s">
        <v>70</v>
      </c>
      <c r="G331" s="58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0</v>
      </c>
      <c r="H331" s="62"/>
      <c r="I331" s="361" t="s">
        <v>74</v>
      </c>
      <c r="J331" s="362"/>
      <c r="K331" s="68">
        <f>K329+K330</f>
        <v>36145.161290322583</v>
      </c>
      <c r="L331" s="69"/>
      <c r="M331" s="45"/>
      <c r="N331" s="88"/>
      <c r="O331" s="89" t="s">
        <v>55</v>
      </c>
      <c r="P331" s="89">
        <v>31</v>
      </c>
      <c r="Q331" s="89">
        <v>0</v>
      </c>
      <c r="R331" s="89">
        <f t="shared" si="69"/>
        <v>11</v>
      </c>
      <c r="S331" s="93"/>
      <c r="T331" s="89" t="s">
        <v>55</v>
      </c>
      <c r="U331" s="162">
        <f>IF($J$1="June","",Y330)</f>
        <v>0</v>
      </c>
      <c r="V331" s="91"/>
      <c r="W331" s="162">
        <f t="shared" si="67"/>
        <v>0</v>
      </c>
      <c r="X331" s="91"/>
      <c r="Y331" s="162">
        <f t="shared" si="68"/>
        <v>0</v>
      </c>
      <c r="Z331" s="94"/>
      <c r="AA331" s="45"/>
    </row>
    <row r="332" spans="1:27" s="43" customFormat="1" ht="21" customHeight="1" x14ac:dyDescent="0.25">
      <c r="A332" s="44"/>
      <c r="B332" s="63" t="s">
        <v>6</v>
      </c>
      <c r="C332" s="5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45"/>
      <c r="E332" s="45"/>
      <c r="F332" s="63" t="s">
        <v>24</v>
      </c>
      <c r="G332" s="58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0</v>
      </c>
      <c r="H332" s="62"/>
      <c r="I332" s="361" t="s">
        <v>75</v>
      </c>
      <c r="J332" s="362"/>
      <c r="K332" s="58">
        <f>G332</f>
        <v>0</v>
      </c>
      <c r="L332" s="70"/>
      <c r="M332" s="45"/>
      <c r="N332" s="88"/>
      <c r="O332" s="89" t="s">
        <v>56</v>
      </c>
      <c r="P332" s="89">
        <v>30</v>
      </c>
      <c r="Q332" s="89">
        <v>1</v>
      </c>
      <c r="R332" s="89">
        <f t="shared" si="69"/>
        <v>10</v>
      </c>
      <c r="S332" s="93"/>
      <c r="T332" s="89" t="s">
        <v>56</v>
      </c>
      <c r="U332" s="162">
        <f>IF($J$1="July","",Y331)</f>
        <v>0</v>
      </c>
      <c r="V332" s="91"/>
      <c r="W332" s="162">
        <f t="shared" si="67"/>
        <v>0</v>
      </c>
      <c r="X332" s="91"/>
      <c r="Y332" s="162">
        <f t="shared" si="68"/>
        <v>0</v>
      </c>
      <c r="Z332" s="94"/>
      <c r="AA332" s="45"/>
    </row>
    <row r="333" spans="1:27" s="43" customFormat="1" ht="21" customHeight="1" x14ac:dyDescent="0.25">
      <c r="A333" s="44"/>
      <c r="B333" s="71" t="s">
        <v>73</v>
      </c>
      <c r="C333" s="5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10</v>
      </c>
      <c r="D333" s="45"/>
      <c r="E333" s="45"/>
      <c r="F333" s="63" t="s">
        <v>72</v>
      </c>
      <c r="G333" s="58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0</v>
      </c>
      <c r="H333" s="45"/>
      <c r="I333" s="363" t="s">
        <v>68</v>
      </c>
      <c r="J333" s="364"/>
      <c r="K333" s="72">
        <f>K331-K332</f>
        <v>36145.161290322583</v>
      </c>
      <c r="L333" s="73"/>
      <c r="M333" s="45"/>
      <c r="N333" s="88"/>
      <c r="O333" s="89" t="s">
        <v>61</v>
      </c>
      <c r="P333" s="89">
        <v>30</v>
      </c>
      <c r="Q333" s="89">
        <v>0</v>
      </c>
      <c r="R333" s="89">
        <f t="shared" si="69"/>
        <v>10</v>
      </c>
      <c r="S333" s="93"/>
      <c r="T333" s="89" t="s">
        <v>61</v>
      </c>
      <c r="U333" s="162">
        <f>IF($J$1="August","",Y332)</f>
        <v>0</v>
      </c>
      <c r="V333" s="91"/>
      <c r="W333" s="162">
        <f t="shared" si="67"/>
        <v>0</v>
      </c>
      <c r="X333" s="91"/>
      <c r="Y333" s="162">
        <f t="shared" si="68"/>
        <v>0</v>
      </c>
      <c r="Z333" s="94"/>
      <c r="AA333" s="45"/>
    </row>
    <row r="334" spans="1:27" s="43" customFormat="1" ht="21" customHeight="1" x14ac:dyDescent="0.25">
      <c r="A334" s="44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61"/>
      <c r="M334" s="45"/>
      <c r="N334" s="88"/>
      <c r="O334" s="89" t="s">
        <v>57</v>
      </c>
      <c r="P334" s="89">
        <v>31</v>
      </c>
      <c r="Q334" s="89">
        <v>0</v>
      </c>
      <c r="R334" s="89">
        <f t="shared" si="69"/>
        <v>10</v>
      </c>
      <c r="S334" s="93"/>
      <c r="T334" s="89" t="s">
        <v>57</v>
      </c>
      <c r="U334" s="162">
        <f>IF($J$1="September","",Y333)</f>
        <v>0</v>
      </c>
      <c r="V334" s="91"/>
      <c r="W334" s="162">
        <f t="shared" si="67"/>
        <v>0</v>
      </c>
      <c r="X334" s="91"/>
      <c r="Y334" s="162">
        <f t="shared" si="68"/>
        <v>0</v>
      </c>
      <c r="Z334" s="94"/>
      <c r="AA334" s="45"/>
    </row>
    <row r="335" spans="1:27" s="43" customFormat="1" ht="21" customHeight="1" x14ac:dyDescent="0.25">
      <c r="A335" s="44"/>
      <c r="B335" s="365" t="s">
        <v>103</v>
      </c>
      <c r="C335" s="365"/>
      <c r="D335" s="365"/>
      <c r="E335" s="365"/>
      <c r="F335" s="365"/>
      <c r="G335" s="365"/>
      <c r="H335" s="365"/>
      <c r="I335" s="365"/>
      <c r="J335" s="365"/>
      <c r="K335" s="365"/>
      <c r="L335" s="61"/>
      <c r="M335" s="45"/>
      <c r="N335" s="88"/>
      <c r="O335" s="89" t="s">
        <v>62</v>
      </c>
      <c r="P335" s="89"/>
      <c r="Q335" s="89"/>
      <c r="R335" s="89" t="str">
        <f t="shared" si="69"/>
        <v/>
      </c>
      <c r="S335" s="93"/>
      <c r="T335" s="89" t="s">
        <v>62</v>
      </c>
      <c r="U335" s="162" t="str">
        <f>IF($J$1="October","",Y334)</f>
        <v/>
      </c>
      <c r="V335" s="91"/>
      <c r="W335" s="162" t="str">
        <f t="shared" si="67"/>
        <v/>
      </c>
      <c r="X335" s="91"/>
      <c r="Y335" s="162" t="str">
        <f t="shared" si="68"/>
        <v/>
      </c>
      <c r="Z335" s="94"/>
      <c r="AA335" s="45"/>
    </row>
    <row r="336" spans="1:27" s="43" customFormat="1" ht="21" customHeight="1" x14ac:dyDescent="0.25">
      <c r="A336" s="44"/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61"/>
      <c r="M336" s="45"/>
      <c r="N336" s="88"/>
      <c r="O336" s="89" t="s">
        <v>63</v>
      </c>
      <c r="P336" s="89"/>
      <c r="Q336" s="89"/>
      <c r="R336" s="89" t="str">
        <f t="shared" si="69"/>
        <v/>
      </c>
      <c r="S336" s="93"/>
      <c r="T336" s="89" t="s">
        <v>63</v>
      </c>
      <c r="U336" s="162" t="str">
        <f>IF($J$1="November","",Y335)</f>
        <v/>
      </c>
      <c r="V336" s="91"/>
      <c r="W336" s="162" t="str">
        <f t="shared" si="67"/>
        <v/>
      </c>
      <c r="X336" s="91"/>
      <c r="Y336" s="162" t="str">
        <f t="shared" si="68"/>
        <v/>
      </c>
      <c r="Z336" s="94"/>
      <c r="AA336" s="45"/>
    </row>
    <row r="337" spans="1:27" s="43" customFormat="1" ht="21" customHeight="1" thickBot="1" x14ac:dyDescent="0.3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6"/>
      <c r="N337" s="95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spans="1:27" s="43" customFormat="1" ht="21" customHeight="1" x14ac:dyDescent="0.25">
      <c r="A338" s="377" t="s">
        <v>45</v>
      </c>
      <c r="B338" s="378"/>
      <c r="C338" s="378"/>
      <c r="D338" s="378"/>
      <c r="E338" s="378"/>
      <c r="F338" s="378"/>
      <c r="G338" s="378"/>
      <c r="H338" s="378"/>
      <c r="I338" s="378"/>
      <c r="J338" s="378"/>
      <c r="K338" s="378"/>
      <c r="L338" s="379"/>
      <c r="M338" s="42"/>
      <c r="N338" s="81"/>
      <c r="O338" s="372" t="s">
        <v>47</v>
      </c>
      <c r="P338" s="373"/>
      <c r="Q338" s="373"/>
      <c r="R338" s="374"/>
      <c r="S338" s="82"/>
      <c r="T338" s="372" t="s">
        <v>48</v>
      </c>
      <c r="U338" s="373"/>
      <c r="V338" s="373"/>
      <c r="W338" s="373"/>
      <c r="X338" s="373"/>
      <c r="Y338" s="374"/>
      <c r="Z338" s="83"/>
      <c r="AA338" s="42"/>
    </row>
    <row r="339" spans="1:27" s="43" customFormat="1" ht="21" customHeight="1" x14ac:dyDescent="0.25">
      <c r="A339" s="44"/>
      <c r="B339" s="45"/>
      <c r="C339" s="375" t="s">
        <v>101</v>
      </c>
      <c r="D339" s="375"/>
      <c r="E339" s="375"/>
      <c r="F339" s="375"/>
      <c r="G339" s="46" t="str">
        <f>$J$1</f>
        <v>October</v>
      </c>
      <c r="H339" s="376">
        <f>$K$1</f>
        <v>2020</v>
      </c>
      <c r="I339" s="376"/>
      <c r="J339" s="45"/>
      <c r="K339" s="47"/>
      <c r="L339" s="48"/>
      <c r="M339" s="47"/>
      <c r="N339" s="84"/>
      <c r="O339" s="85" t="s">
        <v>58</v>
      </c>
      <c r="P339" s="85" t="s">
        <v>7</v>
      </c>
      <c r="Q339" s="85" t="s">
        <v>6</v>
      </c>
      <c r="R339" s="85" t="s">
        <v>59</v>
      </c>
      <c r="S339" s="86"/>
      <c r="T339" s="85" t="s">
        <v>58</v>
      </c>
      <c r="U339" s="85" t="s">
        <v>60</v>
      </c>
      <c r="V339" s="85" t="s">
        <v>23</v>
      </c>
      <c r="W339" s="85" t="s">
        <v>22</v>
      </c>
      <c r="X339" s="85" t="s">
        <v>24</v>
      </c>
      <c r="Y339" s="85" t="s">
        <v>64</v>
      </c>
      <c r="Z339" s="87"/>
      <c r="AA339" s="47"/>
    </row>
    <row r="340" spans="1:27" s="43" customFormat="1" ht="21" customHeight="1" x14ac:dyDescent="0.25">
      <c r="A340" s="44"/>
      <c r="B340" s="45"/>
      <c r="C340" s="45"/>
      <c r="D340" s="50"/>
      <c r="E340" s="50"/>
      <c r="F340" s="50"/>
      <c r="G340" s="50"/>
      <c r="H340" s="50"/>
      <c r="I340" s="45"/>
      <c r="J340" s="51" t="s">
        <v>1</v>
      </c>
      <c r="K340" s="52">
        <v>48000</v>
      </c>
      <c r="L340" s="53"/>
      <c r="M340" s="45"/>
      <c r="N340" s="88"/>
      <c r="O340" s="89" t="s">
        <v>50</v>
      </c>
      <c r="P340" s="89">
        <v>28</v>
      </c>
      <c r="Q340" s="89">
        <v>2</v>
      </c>
      <c r="R340" s="89">
        <f>26+15-Q340</f>
        <v>39</v>
      </c>
      <c r="S340" s="90"/>
      <c r="T340" s="89" t="s">
        <v>50</v>
      </c>
      <c r="U340" s="91">
        <v>223000</v>
      </c>
      <c r="V340" s="91"/>
      <c r="W340" s="91">
        <f>V340+U340</f>
        <v>223000</v>
      </c>
      <c r="X340" s="91">
        <v>5000</v>
      </c>
      <c r="Y340" s="91">
        <f>W340-X340</f>
        <v>218000</v>
      </c>
      <c r="Z340" s="87"/>
      <c r="AA340" s="45"/>
    </row>
    <row r="341" spans="1:27" s="43" customFormat="1" ht="21" customHeight="1" x14ac:dyDescent="0.25">
      <c r="A341" s="44"/>
      <c r="B341" s="45" t="s">
        <v>0</v>
      </c>
      <c r="C341" s="55" t="s">
        <v>83</v>
      </c>
      <c r="D341" s="45"/>
      <c r="E341" s="45"/>
      <c r="F341" s="45"/>
      <c r="G341" s="45"/>
      <c r="H341" s="56"/>
      <c r="I341" s="50"/>
      <c r="J341" s="45"/>
      <c r="K341" s="45"/>
      <c r="L341" s="57"/>
      <c r="M341" s="42"/>
      <c r="N341" s="92"/>
      <c r="O341" s="89" t="s">
        <v>76</v>
      </c>
      <c r="P341" s="89">
        <v>29</v>
      </c>
      <c r="Q341" s="89">
        <v>0</v>
      </c>
      <c r="R341" s="89">
        <f>IF(Q341="","",R340-Q341)</f>
        <v>39</v>
      </c>
      <c r="S341" s="93"/>
      <c r="T341" s="89" t="s">
        <v>76</v>
      </c>
      <c r="U341" s="162">
        <f>IF($J$1="January","",Y340)</f>
        <v>218000</v>
      </c>
      <c r="V341" s="91">
        <v>5200</v>
      </c>
      <c r="W341" s="162">
        <f>IF(U341="","",U341+V341)</f>
        <v>223200</v>
      </c>
      <c r="X341" s="91">
        <v>5000</v>
      </c>
      <c r="Y341" s="162">
        <f>IF(W341="","",W341-X341)</f>
        <v>218200</v>
      </c>
      <c r="Z341" s="94"/>
      <c r="AA341" s="42"/>
    </row>
    <row r="342" spans="1:27" s="43" customFormat="1" ht="21" customHeight="1" x14ac:dyDescent="0.25">
      <c r="A342" s="44"/>
      <c r="B342" s="59" t="s">
        <v>46</v>
      </c>
      <c r="C342" s="60"/>
      <c r="D342" s="45"/>
      <c r="E342" s="45"/>
      <c r="F342" s="366" t="s">
        <v>48</v>
      </c>
      <c r="G342" s="366"/>
      <c r="H342" s="45"/>
      <c r="I342" s="366" t="s">
        <v>49</v>
      </c>
      <c r="J342" s="366"/>
      <c r="K342" s="366"/>
      <c r="L342" s="61"/>
      <c r="M342" s="45"/>
      <c r="N342" s="88"/>
      <c r="O342" s="89" t="s">
        <v>51</v>
      </c>
      <c r="P342" s="89">
        <v>30</v>
      </c>
      <c r="Q342" s="89">
        <v>1</v>
      </c>
      <c r="R342" s="89">
        <f>IF(Q342="","",R341-Q342)</f>
        <v>38</v>
      </c>
      <c r="S342" s="93"/>
      <c r="T342" s="89" t="s">
        <v>51</v>
      </c>
      <c r="U342" s="162">
        <f>IF($J$1="February","",Y341)</f>
        <v>218200</v>
      </c>
      <c r="V342" s="91"/>
      <c r="W342" s="162">
        <f t="shared" ref="W342:W351" si="70">IF(U342="","",U342+V342)</f>
        <v>218200</v>
      </c>
      <c r="X342" s="91">
        <v>5000</v>
      </c>
      <c r="Y342" s="162">
        <f t="shared" ref="Y342:Y351" si="71">IF(W342="","",W342-X342)</f>
        <v>213200</v>
      </c>
      <c r="Z342" s="94"/>
      <c r="AA342" s="45"/>
    </row>
    <row r="343" spans="1:27" s="43" customFormat="1" ht="21" customHeight="1" x14ac:dyDescent="0.25">
      <c r="A343" s="44"/>
      <c r="B343" s="45"/>
      <c r="C343" s="45"/>
      <c r="D343" s="45"/>
      <c r="E343" s="45"/>
      <c r="F343" s="45"/>
      <c r="G343" s="45"/>
      <c r="H343" s="62"/>
      <c r="L343" s="49"/>
      <c r="M343" s="45"/>
      <c r="N343" s="88"/>
      <c r="O343" s="89" t="s">
        <v>52</v>
      </c>
      <c r="P343" s="89">
        <v>29</v>
      </c>
      <c r="Q343" s="89">
        <v>1</v>
      </c>
      <c r="R343" s="89">
        <f t="shared" ref="R343:R351" si="72">IF(Q343="","",R342-Q343)</f>
        <v>37</v>
      </c>
      <c r="S343" s="93"/>
      <c r="T343" s="89" t="s">
        <v>52</v>
      </c>
      <c r="U343" s="162">
        <f>IF($J$1="March","",Y342)</f>
        <v>213200</v>
      </c>
      <c r="V343" s="91"/>
      <c r="W343" s="162">
        <f t="shared" si="70"/>
        <v>213200</v>
      </c>
      <c r="X343" s="91">
        <v>5000</v>
      </c>
      <c r="Y343" s="162">
        <f t="shared" si="71"/>
        <v>208200</v>
      </c>
      <c r="Z343" s="94"/>
      <c r="AA343" s="45"/>
    </row>
    <row r="344" spans="1:27" s="43" customFormat="1" ht="21" customHeight="1" x14ac:dyDescent="0.25">
      <c r="A344" s="44"/>
      <c r="B344" s="367" t="s">
        <v>47</v>
      </c>
      <c r="C344" s="368"/>
      <c r="D344" s="45"/>
      <c r="E344" s="45"/>
      <c r="F344" s="63" t="s">
        <v>69</v>
      </c>
      <c r="G344" s="180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243200</v>
      </c>
      <c r="H344" s="62"/>
      <c r="I344" s="64">
        <f>IF(C348&gt;=C347,$K$2,C346+C348)</f>
        <v>31</v>
      </c>
      <c r="J344" s="65" t="s">
        <v>66</v>
      </c>
      <c r="K344" s="66">
        <f>K340/$K$2*I344</f>
        <v>48000</v>
      </c>
      <c r="L344" s="67"/>
      <c r="M344" s="45"/>
      <c r="N344" s="88"/>
      <c r="O344" s="89" t="s">
        <v>53</v>
      </c>
      <c r="P344" s="89">
        <v>31</v>
      </c>
      <c r="Q344" s="89">
        <v>0</v>
      </c>
      <c r="R344" s="89">
        <f t="shared" si="72"/>
        <v>37</v>
      </c>
      <c r="S344" s="93"/>
      <c r="T344" s="89" t="s">
        <v>53</v>
      </c>
      <c r="U344" s="162">
        <f>IF($J$1="April","",Y343)</f>
        <v>208200</v>
      </c>
      <c r="V344" s="91"/>
      <c r="W344" s="162">
        <f t="shared" si="70"/>
        <v>208200</v>
      </c>
      <c r="X344" s="91">
        <v>5000</v>
      </c>
      <c r="Y344" s="162">
        <f t="shared" si="71"/>
        <v>203200</v>
      </c>
      <c r="Z344" s="94"/>
      <c r="AA344" s="45"/>
    </row>
    <row r="345" spans="1:27" s="43" customFormat="1" ht="21" customHeight="1" x14ac:dyDescent="0.25">
      <c r="A345" s="44"/>
      <c r="B345" s="54"/>
      <c r="C345" s="54"/>
      <c r="D345" s="45"/>
      <c r="E345" s="45"/>
      <c r="F345" s="63" t="s">
        <v>23</v>
      </c>
      <c r="G345" s="180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62"/>
      <c r="I345" s="64">
        <v>50</v>
      </c>
      <c r="J345" s="65" t="s">
        <v>67</v>
      </c>
      <c r="K345" s="68">
        <f>K340/$K$2/8*I345</f>
        <v>9677.4193548387102</v>
      </c>
      <c r="L345" s="69"/>
      <c r="M345" s="45"/>
      <c r="N345" s="88"/>
      <c r="O345" s="89" t="s">
        <v>54</v>
      </c>
      <c r="P345" s="89">
        <v>30</v>
      </c>
      <c r="Q345" s="89">
        <v>0</v>
      </c>
      <c r="R345" s="89">
        <f t="shared" si="72"/>
        <v>37</v>
      </c>
      <c r="S345" s="93"/>
      <c r="T345" s="89" t="s">
        <v>54</v>
      </c>
      <c r="U345" s="162">
        <f>Y344</f>
        <v>203200</v>
      </c>
      <c r="V345" s="91"/>
      <c r="W345" s="162">
        <f t="shared" si="70"/>
        <v>203200</v>
      </c>
      <c r="X345" s="91">
        <v>5000</v>
      </c>
      <c r="Y345" s="162">
        <f t="shared" si="71"/>
        <v>198200</v>
      </c>
      <c r="Z345" s="94"/>
      <c r="AA345" s="45"/>
    </row>
    <row r="346" spans="1:27" s="43" customFormat="1" ht="21" customHeight="1" x14ac:dyDescent="0.25">
      <c r="A346" s="44"/>
      <c r="B346" s="63" t="s">
        <v>7</v>
      </c>
      <c r="C346" s="54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31</v>
      </c>
      <c r="D346" s="45"/>
      <c r="E346" s="45"/>
      <c r="F346" s="63" t="s">
        <v>70</v>
      </c>
      <c r="G346" s="180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243200</v>
      </c>
      <c r="H346" s="62"/>
      <c r="I346" s="361" t="s">
        <v>74</v>
      </c>
      <c r="J346" s="362"/>
      <c r="K346" s="68">
        <f>K344+K345</f>
        <v>57677.419354838712</v>
      </c>
      <c r="L346" s="69"/>
      <c r="M346" s="45"/>
      <c r="N346" s="88"/>
      <c r="O346" s="89" t="s">
        <v>55</v>
      </c>
      <c r="P346" s="89">
        <v>30</v>
      </c>
      <c r="Q346" s="89">
        <v>1</v>
      </c>
      <c r="R346" s="89">
        <f t="shared" si="72"/>
        <v>36</v>
      </c>
      <c r="S346" s="93"/>
      <c r="T346" s="89" t="s">
        <v>55</v>
      </c>
      <c r="U346" s="162">
        <f>IF($J$1="June","",Y345)</f>
        <v>198200</v>
      </c>
      <c r="V346" s="91"/>
      <c r="W346" s="162">
        <f t="shared" si="70"/>
        <v>198200</v>
      </c>
      <c r="X346" s="91">
        <v>5000</v>
      </c>
      <c r="Y346" s="162">
        <f t="shared" si="71"/>
        <v>193200</v>
      </c>
      <c r="Z346" s="94"/>
      <c r="AA346" s="45"/>
    </row>
    <row r="347" spans="1:27" s="43" customFormat="1" ht="21" customHeight="1" x14ac:dyDescent="0.25">
      <c r="A347" s="44"/>
      <c r="B347" s="63" t="s">
        <v>6</v>
      </c>
      <c r="C347" s="54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0</v>
      </c>
      <c r="D347" s="45"/>
      <c r="E347" s="45"/>
      <c r="F347" s="63" t="s">
        <v>24</v>
      </c>
      <c r="G347" s="180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5000</v>
      </c>
      <c r="H347" s="62"/>
      <c r="I347" s="361" t="s">
        <v>75</v>
      </c>
      <c r="J347" s="362"/>
      <c r="K347" s="58">
        <f>G347</f>
        <v>5000</v>
      </c>
      <c r="L347" s="70"/>
      <c r="M347" s="45"/>
      <c r="N347" s="88"/>
      <c r="O347" s="89" t="s">
        <v>56</v>
      </c>
      <c r="P347" s="89">
        <v>28</v>
      </c>
      <c r="Q347" s="89">
        <v>3</v>
      </c>
      <c r="R347" s="89">
        <f t="shared" si="72"/>
        <v>33</v>
      </c>
      <c r="S347" s="93"/>
      <c r="T347" s="89" t="s">
        <v>56</v>
      </c>
      <c r="U347" s="162">
        <f>IF($J$1="July","",Y346)</f>
        <v>193200</v>
      </c>
      <c r="V347" s="91"/>
      <c r="W347" s="162">
        <f t="shared" si="70"/>
        <v>193200</v>
      </c>
      <c r="X347" s="91">
        <v>5000</v>
      </c>
      <c r="Y347" s="162">
        <f t="shared" si="71"/>
        <v>188200</v>
      </c>
      <c r="Z347" s="94"/>
      <c r="AA347" s="45"/>
    </row>
    <row r="348" spans="1:27" s="43" customFormat="1" ht="21" customHeight="1" x14ac:dyDescent="0.25">
      <c r="A348" s="44"/>
      <c r="B348" s="71" t="s">
        <v>73</v>
      </c>
      <c r="C348" s="5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33</v>
      </c>
      <c r="D348" s="45"/>
      <c r="E348" s="45"/>
      <c r="F348" s="63" t="s">
        <v>72</v>
      </c>
      <c r="G348" s="180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238200</v>
      </c>
      <c r="H348" s="45"/>
      <c r="I348" s="363" t="s">
        <v>68</v>
      </c>
      <c r="J348" s="364"/>
      <c r="K348" s="72">
        <f>K346-K347</f>
        <v>52677.419354838712</v>
      </c>
      <c r="L348" s="73"/>
      <c r="M348" s="45"/>
      <c r="N348" s="88"/>
      <c r="O348" s="89" t="s">
        <v>61</v>
      </c>
      <c r="P348" s="89">
        <v>30</v>
      </c>
      <c r="Q348" s="89">
        <v>0</v>
      </c>
      <c r="R348" s="89">
        <f t="shared" si="72"/>
        <v>33</v>
      </c>
      <c r="S348" s="93"/>
      <c r="T348" s="89" t="s">
        <v>61</v>
      </c>
      <c r="U348" s="162">
        <f>IF($J$1="August","",Y347)</f>
        <v>188200</v>
      </c>
      <c r="V348" s="91">
        <v>60000</v>
      </c>
      <c r="W348" s="162">
        <f t="shared" si="70"/>
        <v>248200</v>
      </c>
      <c r="X348" s="91">
        <v>5000</v>
      </c>
      <c r="Y348" s="162">
        <f t="shared" si="71"/>
        <v>243200</v>
      </c>
      <c r="Z348" s="94"/>
      <c r="AA348" s="45"/>
    </row>
    <row r="349" spans="1:27" s="43" customFormat="1" ht="21" customHeight="1" x14ac:dyDescent="0.25">
      <c r="A349" s="44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61"/>
      <c r="M349" s="45"/>
      <c r="N349" s="88"/>
      <c r="O349" s="89" t="s">
        <v>57</v>
      </c>
      <c r="P349" s="89">
        <v>31</v>
      </c>
      <c r="Q349" s="89">
        <v>0</v>
      </c>
      <c r="R349" s="89">
        <f t="shared" si="72"/>
        <v>33</v>
      </c>
      <c r="S349" s="93"/>
      <c r="T349" s="89" t="s">
        <v>57</v>
      </c>
      <c r="U349" s="162">
        <f>IF($J$1="September","",Y348)</f>
        <v>243200</v>
      </c>
      <c r="V349" s="91"/>
      <c r="W349" s="162">
        <f t="shared" si="70"/>
        <v>243200</v>
      </c>
      <c r="X349" s="91">
        <v>5000</v>
      </c>
      <c r="Y349" s="162">
        <f t="shared" si="71"/>
        <v>238200</v>
      </c>
      <c r="Z349" s="94"/>
      <c r="AA349" s="45"/>
    </row>
    <row r="350" spans="1:27" s="43" customFormat="1" ht="21" customHeight="1" x14ac:dyDescent="0.25">
      <c r="A350" s="44"/>
      <c r="B350" s="365" t="s">
        <v>103</v>
      </c>
      <c r="C350" s="365"/>
      <c r="D350" s="365"/>
      <c r="E350" s="365"/>
      <c r="F350" s="365"/>
      <c r="G350" s="365"/>
      <c r="H350" s="365"/>
      <c r="I350" s="365"/>
      <c r="J350" s="365"/>
      <c r="K350" s="365"/>
      <c r="L350" s="61"/>
      <c r="M350" s="45"/>
      <c r="N350" s="88"/>
      <c r="O350" s="89" t="s">
        <v>62</v>
      </c>
      <c r="P350" s="89"/>
      <c r="Q350" s="89"/>
      <c r="R350" s="89" t="str">
        <f t="shared" si="72"/>
        <v/>
      </c>
      <c r="S350" s="93"/>
      <c r="T350" s="89" t="s">
        <v>62</v>
      </c>
      <c r="U350" s="162" t="str">
        <f>IF($J$1="October","",Y349)</f>
        <v/>
      </c>
      <c r="V350" s="91"/>
      <c r="W350" s="162" t="str">
        <f t="shared" si="70"/>
        <v/>
      </c>
      <c r="X350" s="91"/>
      <c r="Y350" s="162" t="str">
        <f t="shared" si="71"/>
        <v/>
      </c>
      <c r="Z350" s="94"/>
      <c r="AA350" s="45"/>
    </row>
    <row r="351" spans="1:27" s="43" customFormat="1" ht="21" customHeight="1" x14ac:dyDescent="0.25">
      <c r="A351" s="44"/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61"/>
      <c r="M351" s="45"/>
      <c r="N351" s="88"/>
      <c r="O351" s="89" t="s">
        <v>63</v>
      </c>
      <c r="P351" s="89"/>
      <c r="Q351" s="89"/>
      <c r="R351" s="89" t="str">
        <f t="shared" si="72"/>
        <v/>
      </c>
      <c r="S351" s="93"/>
      <c r="T351" s="89" t="s">
        <v>63</v>
      </c>
      <c r="U351" s="162" t="str">
        <f>IF($J$1="November","",Y350)</f>
        <v/>
      </c>
      <c r="V351" s="91"/>
      <c r="W351" s="162" t="str">
        <f t="shared" si="70"/>
        <v/>
      </c>
      <c r="X351" s="91"/>
      <c r="Y351" s="162" t="str">
        <f t="shared" si="71"/>
        <v/>
      </c>
      <c r="Z351" s="94"/>
      <c r="AA351" s="45"/>
    </row>
    <row r="352" spans="1:27" s="43" customFormat="1" ht="21" customHeight="1" thickBot="1" x14ac:dyDescent="0.3">
      <c r="A352" s="74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6"/>
      <c r="N352" s="95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7"/>
    </row>
    <row r="353" spans="1:27" s="45" customFormat="1" ht="21" customHeight="1" thickBot="1" x14ac:dyDescent="0.3"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 spans="1:27" s="43" customFormat="1" ht="21" customHeight="1" x14ac:dyDescent="0.25">
      <c r="A354" s="377" t="s">
        <v>45</v>
      </c>
      <c r="B354" s="378"/>
      <c r="C354" s="378"/>
      <c r="D354" s="378"/>
      <c r="E354" s="378"/>
      <c r="F354" s="378"/>
      <c r="G354" s="378"/>
      <c r="H354" s="378"/>
      <c r="I354" s="378"/>
      <c r="J354" s="378"/>
      <c r="K354" s="378"/>
      <c r="L354" s="379"/>
      <c r="M354" s="42"/>
      <c r="N354" s="81"/>
      <c r="O354" s="372" t="s">
        <v>47</v>
      </c>
      <c r="P354" s="373"/>
      <c r="Q354" s="373"/>
      <c r="R354" s="374"/>
      <c r="S354" s="82"/>
      <c r="T354" s="372" t="s">
        <v>48</v>
      </c>
      <c r="U354" s="373"/>
      <c r="V354" s="373"/>
      <c r="W354" s="373"/>
      <c r="X354" s="373"/>
      <c r="Y354" s="374"/>
      <c r="Z354" s="83"/>
      <c r="AA354" s="42"/>
    </row>
    <row r="355" spans="1:27" s="43" customFormat="1" ht="21" customHeight="1" x14ac:dyDescent="0.25">
      <c r="A355" s="44"/>
      <c r="B355" s="45"/>
      <c r="C355" s="375" t="s">
        <v>101</v>
      </c>
      <c r="D355" s="375"/>
      <c r="E355" s="375"/>
      <c r="F355" s="375"/>
      <c r="G355" s="46" t="str">
        <f>$J$1</f>
        <v>October</v>
      </c>
      <c r="H355" s="376">
        <f>$K$1</f>
        <v>2020</v>
      </c>
      <c r="I355" s="376"/>
      <c r="J355" s="45"/>
      <c r="K355" s="47"/>
      <c r="L355" s="48"/>
      <c r="M355" s="47"/>
      <c r="N355" s="84"/>
      <c r="O355" s="85" t="s">
        <v>58</v>
      </c>
      <c r="P355" s="85" t="s">
        <v>7</v>
      </c>
      <c r="Q355" s="85" t="s">
        <v>6</v>
      </c>
      <c r="R355" s="85" t="s">
        <v>59</v>
      </c>
      <c r="S355" s="86"/>
      <c r="T355" s="85" t="s">
        <v>58</v>
      </c>
      <c r="U355" s="85" t="s">
        <v>60</v>
      </c>
      <c r="V355" s="85" t="s">
        <v>23</v>
      </c>
      <c r="W355" s="85" t="s">
        <v>22</v>
      </c>
      <c r="X355" s="85" t="s">
        <v>24</v>
      </c>
      <c r="Y355" s="85" t="s">
        <v>64</v>
      </c>
      <c r="Z355" s="87"/>
      <c r="AA355" s="47"/>
    </row>
    <row r="356" spans="1:27" s="43" customFormat="1" ht="21" customHeight="1" x14ac:dyDescent="0.25">
      <c r="A356" s="44"/>
      <c r="B356" s="45"/>
      <c r="C356" s="45"/>
      <c r="D356" s="50"/>
      <c r="E356" s="50"/>
      <c r="F356" s="50"/>
      <c r="G356" s="50"/>
      <c r="H356" s="50"/>
      <c r="I356" s="45"/>
      <c r="J356" s="51" t="s">
        <v>1</v>
      </c>
      <c r="K356" s="52">
        <v>18000</v>
      </c>
      <c r="L356" s="53"/>
      <c r="M356" s="45"/>
      <c r="N356" s="88"/>
      <c r="O356" s="89" t="s">
        <v>50</v>
      </c>
      <c r="P356" s="89">
        <v>30</v>
      </c>
      <c r="Q356" s="89">
        <v>1</v>
      </c>
      <c r="R356" s="89">
        <f>15-Q356</f>
        <v>14</v>
      </c>
      <c r="S356" s="90"/>
      <c r="T356" s="89" t="s">
        <v>50</v>
      </c>
      <c r="U356" s="91">
        <v>17000</v>
      </c>
      <c r="V356" s="91">
        <v>2500</v>
      </c>
      <c r="W356" s="91">
        <f>V356+U356</f>
        <v>19500</v>
      </c>
      <c r="X356" s="91"/>
      <c r="Y356" s="91">
        <f>W356-X356</f>
        <v>19500</v>
      </c>
      <c r="Z356" s="87"/>
      <c r="AA356" s="45"/>
    </row>
    <row r="357" spans="1:27" s="43" customFormat="1" ht="21" customHeight="1" x14ac:dyDescent="0.25">
      <c r="A357" s="44"/>
      <c r="B357" s="45" t="s">
        <v>0</v>
      </c>
      <c r="C357" s="55" t="s">
        <v>84</v>
      </c>
      <c r="D357" s="45"/>
      <c r="E357" s="45"/>
      <c r="F357" s="45"/>
      <c r="G357" s="45"/>
      <c r="H357" s="56"/>
      <c r="I357" s="50"/>
      <c r="J357" s="45"/>
      <c r="K357" s="45"/>
      <c r="L357" s="57"/>
      <c r="M357" s="42"/>
      <c r="N357" s="92"/>
      <c r="O357" s="89" t="s">
        <v>76</v>
      </c>
      <c r="P357" s="89">
        <v>28</v>
      </c>
      <c r="Q357" s="89">
        <v>1</v>
      </c>
      <c r="R357" s="89">
        <f>R356-Q357</f>
        <v>13</v>
      </c>
      <c r="S357" s="93"/>
      <c r="T357" s="89" t="s">
        <v>76</v>
      </c>
      <c r="U357" s="162">
        <f>IF($J$1="January","",Y356)</f>
        <v>19500</v>
      </c>
      <c r="V357" s="91"/>
      <c r="W357" s="162">
        <f>IF(U357="","",U357+V357)</f>
        <v>19500</v>
      </c>
      <c r="X357" s="91">
        <v>5000</v>
      </c>
      <c r="Y357" s="162">
        <f>IF(W357="","",W357-X357)</f>
        <v>14500</v>
      </c>
      <c r="Z357" s="94"/>
      <c r="AA357" s="42"/>
    </row>
    <row r="358" spans="1:27" s="43" customFormat="1" ht="21" customHeight="1" x14ac:dyDescent="0.25">
      <c r="A358" s="44"/>
      <c r="B358" s="59" t="s">
        <v>46</v>
      </c>
      <c r="C358" s="60"/>
      <c r="D358" s="45"/>
      <c r="E358" s="45"/>
      <c r="F358" s="366" t="s">
        <v>48</v>
      </c>
      <c r="G358" s="366"/>
      <c r="H358" s="45"/>
      <c r="I358" s="366" t="s">
        <v>49</v>
      </c>
      <c r="J358" s="366"/>
      <c r="K358" s="366"/>
      <c r="L358" s="61"/>
      <c r="M358" s="45"/>
      <c r="N358" s="88"/>
      <c r="O358" s="89" t="s">
        <v>51</v>
      </c>
      <c r="P358" s="89">
        <v>31</v>
      </c>
      <c r="Q358" s="89">
        <v>0</v>
      </c>
      <c r="R358" s="89">
        <f>IF(Q358="","",R357-Q358)</f>
        <v>13</v>
      </c>
      <c r="S358" s="93"/>
      <c r="T358" s="89" t="s">
        <v>51</v>
      </c>
      <c r="U358" s="162">
        <f>IF($J$1="February","",Y357)</f>
        <v>14500</v>
      </c>
      <c r="V358" s="91"/>
      <c r="W358" s="162">
        <f t="shared" ref="W358:W367" si="73">IF(U358="","",U358+V358)</f>
        <v>14500</v>
      </c>
      <c r="X358" s="91">
        <v>3300</v>
      </c>
      <c r="Y358" s="162">
        <f t="shared" ref="Y358:Y367" si="74">IF(W358="","",W358-X358)</f>
        <v>11200</v>
      </c>
      <c r="Z358" s="94"/>
      <c r="AA358" s="45"/>
    </row>
    <row r="359" spans="1:27" s="43" customFormat="1" ht="21" customHeight="1" x14ac:dyDescent="0.25">
      <c r="A359" s="44"/>
      <c r="B359" s="45"/>
      <c r="C359" s="45"/>
      <c r="D359" s="45"/>
      <c r="E359" s="45"/>
      <c r="F359" s="45"/>
      <c r="G359" s="45"/>
      <c r="H359" s="62"/>
      <c r="L359" s="49"/>
      <c r="M359" s="45"/>
      <c r="N359" s="88"/>
      <c r="O359" s="89" t="s">
        <v>52</v>
      </c>
      <c r="P359" s="89">
        <v>29</v>
      </c>
      <c r="Q359" s="89">
        <v>1</v>
      </c>
      <c r="R359" s="89">
        <f t="shared" ref="R359:R364" si="75">IF(Q359="","",R358-Q359)</f>
        <v>12</v>
      </c>
      <c r="S359" s="93"/>
      <c r="T359" s="89" t="s">
        <v>52</v>
      </c>
      <c r="U359" s="162">
        <f>IF($J$1="March","",Y358)</f>
        <v>11200</v>
      </c>
      <c r="V359" s="91"/>
      <c r="W359" s="162">
        <f t="shared" si="73"/>
        <v>11200</v>
      </c>
      <c r="X359" s="91"/>
      <c r="Y359" s="162">
        <f t="shared" si="74"/>
        <v>11200</v>
      </c>
      <c r="Z359" s="94"/>
      <c r="AA359" s="45"/>
    </row>
    <row r="360" spans="1:27" s="43" customFormat="1" ht="21" customHeight="1" x14ac:dyDescent="0.25">
      <c r="A360" s="44"/>
      <c r="B360" s="367" t="s">
        <v>47</v>
      </c>
      <c r="C360" s="368"/>
      <c r="D360" s="45"/>
      <c r="E360" s="45"/>
      <c r="F360" s="63" t="s">
        <v>69</v>
      </c>
      <c r="G360" s="58">
        <f>IF($J$1="January",U356,IF($J$1="February",U357,IF($J$1="March",U358,IF($J$1="April",U359,IF($J$1="May",U360,IF($J$1="June",U361,IF($J$1="July",U362,IF($J$1="August",U363,IF($J$1="August",U363,IF($J$1="September",U364,IF($J$1="October",U365,IF($J$1="November",U366,IF($J$1="December",U367)))))))))))))</f>
        <v>0</v>
      </c>
      <c r="H360" s="62"/>
      <c r="I360" s="64">
        <f>IF(C364&gt;0,$K$2,C362)</f>
        <v>27</v>
      </c>
      <c r="J360" s="65" t="s">
        <v>66</v>
      </c>
      <c r="K360" s="66">
        <f>K356/$K$2*I360</f>
        <v>15677.419354838708</v>
      </c>
      <c r="L360" s="67"/>
      <c r="M360" s="45"/>
      <c r="N360" s="88"/>
      <c r="O360" s="89" t="s">
        <v>53</v>
      </c>
      <c r="P360" s="89">
        <v>29</v>
      </c>
      <c r="Q360" s="89">
        <v>2</v>
      </c>
      <c r="R360" s="89">
        <f t="shared" si="75"/>
        <v>10</v>
      </c>
      <c r="S360" s="93"/>
      <c r="T360" s="89" t="s">
        <v>53</v>
      </c>
      <c r="U360" s="162">
        <f>IF($J$1="April","",Y359)</f>
        <v>11200</v>
      </c>
      <c r="V360" s="91"/>
      <c r="W360" s="162">
        <f t="shared" si="73"/>
        <v>11200</v>
      </c>
      <c r="X360" s="91">
        <v>5000</v>
      </c>
      <c r="Y360" s="162">
        <f t="shared" si="74"/>
        <v>6200</v>
      </c>
      <c r="Z360" s="94"/>
      <c r="AA360" s="45"/>
    </row>
    <row r="361" spans="1:27" s="43" customFormat="1" ht="21" customHeight="1" x14ac:dyDescent="0.25">
      <c r="A361" s="44"/>
      <c r="B361" s="54"/>
      <c r="C361" s="54"/>
      <c r="D361" s="45"/>
      <c r="E361" s="45"/>
      <c r="F361" s="63" t="s">
        <v>23</v>
      </c>
      <c r="G361" s="179">
        <f>IF($J$1="January",V356,IF($J$1="February",V357,IF($J$1="March",V358,IF($J$1="April",V359,IF($J$1="May",V360,IF($J$1="June",V361,IF($J$1="July",V362,IF($J$1="August",V363,IF($J$1="August",V363,IF($J$1="September",V364,IF($J$1="October",V365,IF($J$1="November",V366,IF($J$1="December",V367)))))))))))))</f>
        <v>11500</v>
      </c>
      <c r="H361" s="62"/>
      <c r="I361" s="108">
        <v>51.5</v>
      </c>
      <c r="J361" s="65" t="s">
        <v>67</v>
      </c>
      <c r="K361" s="68">
        <f>K356/$K$2/8*I361</f>
        <v>3737.9032258064517</v>
      </c>
      <c r="L361" s="69"/>
      <c r="M361" s="45"/>
      <c r="N361" s="88"/>
      <c r="O361" s="89" t="s">
        <v>54</v>
      </c>
      <c r="P361" s="89">
        <v>27</v>
      </c>
      <c r="Q361" s="89">
        <v>3</v>
      </c>
      <c r="R361" s="89">
        <f t="shared" si="75"/>
        <v>7</v>
      </c>
      <c r="S361" s="93"/>
      <c r="T361" s="89" t="s">
        <v>54</v>
      </c>
      <c r="U361" s="162">
        <f>IF($J$1="May","",Y360)</f>
        <v>6200</v>
      </c>
      <c r="V361" s="91"/>
      <c r="W361" s="162">
        <f t="shared" si="73"/>
        <v>6200</v>
      </c>
      <c r="X361" s="91">
        <v>5000</v>
      </c>
      <c r="Y361" s="162">
        <f t="shared" si="74"/>
        <v>1200</v>
      </c>
      <c r="Z361" s="94"/>
      <c r="AA361" s="45"/>
    </row>
    <row r="362" spans="1:27" s="43" customFormat="1" ht="21" customHeight="1" x14ac:dyDescent="0.25">
      <c r="A362" s="44"/>
      <c r="B362" s="63" t="s">
        <v>7</v>
      </c>
      <c r="C362" s="54">
        <f>IF($J$1="January",P356,IF($J$1="February",P357,IF($J$1="March",P358,IF($J$1="April",P359,IF($J$1="May",P360,IF($J$1="June",P361,IF($J$1="July",P362,IF($J$1="August",P363,IF($J$1="August",P363,IF($J$1="September",P364,IF($J$1="October",P365,IF($J$1="November",P366,IF($J$1="December",P367)))))))))))))</f>
        <v>27</v>
      </c>
      <c r="D362" s="45"/>
      <c r="E362" s="45"/>
      <c r="F362" s="63" t="s">
        <v>70</v>
      </c>
      <c r="G362" s="179">
        <f>IF($J$1="January",W356,IF($J$1="February",W357,IF($J$1="March",W358,IF($J$1="April",W359,IF($J$1="May",W360,IF($J$1="June",W361,IF($J$1="July",W362,IF($J$1="August",W363,IF($J$1="August",W363,IF($J$1="September",W364,IF($J$1="October",W365,IF($J$1="November",W366,IF($J$1="December",W367)))))))))))))</f>
        <v>11500</v>
      </c>
      <c r="H362" s="62"/>
      <c r="I362" s="361" t="s">
        <v>74</v>
      </c>
      <c r="J362" s="362"/>
      <c r="K362" s="68">
        <f>K360+K361</f>
        <v>19415.322580645159</v>
      </c>
      <c r="L362" s="69"/>
      <c r="M362" s="45"/>
      <c r="N362" s="88"/>
      <c r="O362" s="89" t="s">
        <v>55</v>
      </c>
      <c r="P362" s="89">
        <v>29</v>
      </c>
      <c r="Q362" s="89">
        <v>2</v>
      </c>
      <c r="R362" s="89">
        <f t="shared" si="75"/>
        <v>5</v>
      </c>
      <c r="S362" s="93"/>
      <c r="T362" s="89" t="s">
        <v>55</v>
      </c>
      <c r="U362" s="162">
        <f>IF($J$1="June","",Y361)</f>
        <v>1200</v>
      </c>
      <c r="V362" s="91">
        <f>5000+10000</f>
        <v>15000</v>
      </c>
      <c r="W362" s="162">
        <f t="shared" si="73"/>
        <v>16200</v>
      </c>
      <c r="X362" s="91">
        <v>15000</v>
      </c>
      <c r="Y362" s="162">
        <f t="shared" si="74"/>
        <v>1200</v>
      </c>
      <c r="Z362" s="94"/>
      <c r="AA362" s="45"/>
    </row>
    <row r="363" spans="1:27" s="43" customFormat="1" ht="21" customHeight="1" x14ac:dyDescent="0.25">
      <c r="A363" s="44"/>
      <c r="B363" s="63" t="s">
        <v>6</v>
      </c>
      <c r="C363" s="54">
        <f>IF($J$1="January",Q356,IF($J$1="February",Q357,IF($J$1="March",Q358,IF($J$1="April",Q359,IF($J$1="May",Q360,IF($J$1="June",Q361,IF($J$1="July",Q362,IF($J$1="August",Q363,IF($J$1="August",Q363,IF($J$1="September",Q364,IF($J$1="October",Q365,IF($J$1="November",Q366,IF($J$1="December",Q367)))))))))))))</f>
        <v>4</v>
      </c>
      <c r="D363" s="45"/>
      <c r="E363" s="45"/>
      <c r="F363" s="63" t="s">
        <v>24</v>
      </c>
      <c r="G363" s="179">
        <f>IF($J$1="January",X356,IF($J$1="February",X357,IF($J$1="March",X358,IF($J$1="April",X359,IF($J$1="May",X360,IF($J$1="June",X361,IF($J$1="July",X362,IF($J$1="August",X363,IF($J$1="August",X363,IF($J$1="September",X364,IF($J$1="October",X365,IF($J$1="November",X366,IF($J$1="December",X367)))))))))))))</f>
        <v>4000</v>
      </c>
      <c r="H363" s="62"/>
      <c r="I363" s="361" t="s">
        <v>75</v>
      </c>
      <c r="J363" s="362"/>
      <c r="K363" s="58">
        <f>G363</f>
        <v>4000</v>
      </c>
      <c r="L363" s="70"/>
      <c r="M363" s="45"/>
      <c r="N363" s="88"/>
      <c r="O363" s="89" t="s">
        <v>56</v>
      </c>
      <c r="P363" s="89">
        <v>27</v>
      </c>
      <c r="Q363" s="89">
        <v>4</v>
      </c>
      <c r="R363" s="89">
        <f t="shared" si="75"/>
        <v>1</v>
      </c>
      <c r="S363" s="93"/>
      <c r="T363" s="89" t="s">
        <v>56</v>
      </c>
      <c r="U363" s="162">
        <f>IF($J$1="July","",Y362)</f>
        <v>1200</v>
      </c>
      <c r="V363" s="91">
        <f>5000+5000</f>
        <v>10000</v>
      </c>
      <c r="W363" s="162">
        <f t="shared" si="73"/>
        <v>11200</v>
      </c>
      <c r="X363" s="91">
        <v>10200</v>
      </c>
      <c r="Y363" s="162">
        <f t="shared" si="74"/>
        <v>1000</v>
      </c>
      <c r="Z363" s="94"/>
      <c r="AA363" s="45"/>
    </row>
    <row r="364" spans="1:27" s="43" customFormat="1" ht="21" customHeight="1" x14ac:dyDescent="0.25">
      <c r="A364" s="44"/>
      <c r="B364" s="71" t="s">
        <v>73</v>
      </c>
      <c r="C364" s="54">
        <f>IF($J$1="January",R356,IF($J$1="February",R357,IF($J$1="March",R358,IF($J$1="April",R359,IF($J$1="May",R360,IF($J$1="June",R361,IF($J$1="July",R362,IF($J$1="August",R363,IF($J$1="August",R363,IF($J$1="September",R364,IF($J$1="October",R365,IF($J$1="November",R366,IF($J$1="December",R367)))))))))))))</f>
        <v>0</v>
      </c>
      <c r="D364" s="45"/>
      <c r="E364" s="45"/>
      <c r="F364" s="63" t="s">
        <v>72</v>
      </c>
      <c r="G364" s="179">
        <f>IF($J$1="January",Y356,IF($J$1="February",Y357,IF($J$1="March",Y358,IF($J$1="April",Y359,IF($J$1="May",Y360,IF($J$1="June",Y361,IF($J$1="July",Y362,IF($J$1="August",Y363,IF($J$1="August",Y363,IF($J$1="September",Y364,IF($J$1="October",Y365,IF($J$1="November",Y366,IF($J$1="December",Y367)))))))))))))</f>
        <v>7500</v>
      </c>
      <c r="H364" s="45"/>
      <c r="I364" s="363" t="s">
        <v>68</v>
      </c>
      <c r="J364" s="364"/>
      <c r="K364" s="72">
        <f>K362-K363</f>
        <v>15415.322580645159</v>
      </c>
      <c r="L364" s="73"/>
      <c r="M364" s="45"/>
      <c r="N364" s="88"/>
      <c r="O364" s="89" t="s">
        <v>61</v>
      </c>
      <c r="P364" s="89">
        <v>29</v>
      </c>
      <c r="Q364" s="89">
        <v>1</v>
      </c>
      <c r="R364" s="89">
        <f t="shared" si="75"/>
        <v>0</v>
      </c>
      <c r="S364" s="93"/>
      <c r="T364" s="89" t="s">
        <v>61</v>
      </c>
      <c r="U364" s="162">
        <f>IF($J$1="August","",Y363)</f>
        <v>1000</v>
      </c>
      <c r="V364" s="91">
        <f>5000+5000</f>
        <v>10000</v>
      </c>
      <c r="W364" s="162">
        <f t="shared" si="73"/>
        <v>11000</v>
      </c>
      <c r="X364" s="91">
        <v>11000</v>
      </c>
      <c r="Y364" s="162">
        <f t="shared" si="74"/>
        <v>0</v>
      </c>
      <c r="Z364" s="94"/>
      <c r="AA364" s="45"/>
    </row>
    <row r="365" spans="1:27" s="43" customFormat="1" ht="21" customHeight="1" x14ac:dyDescent="0.25">
      <c r="A365" s="44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61"/>
      <c r="M365" s="45"/>
      <c r="N365" s="88"/>
      <c r="O365" s="89" t="s">
        <v>57</v>
      </c>
      <c r="P365" s="89">
        <v>27</v>
      </c>
      <c r="Q365" s="89">
        <v>4</v>
      </c>
      <c r="R365" s="89">
        <v>0</v>
      </c>
      <c r="S365" s="93"/>
      <c r="T365" s="89" t="s">
        <v>57</v>
      </c>
      <c r="U365" s="162">
        <f>IF($J$1="September","",Y364)</f>
        <v>0</v>
      </c>
      <c r="V365" s="91">
        <f>10000+1000+500</f>
        <v>11500</v>
      </c>
      <c r="W365" s="162">
        <f t="shared" si="73"/>
        <v>11500</v>
      </c>
      <c r="X365" s="91">
        <v>4000</v>
      </c>
      <c r="Y365" s="162">
        <f t="shared" si="74"/>
        <v>7500</v>
      </c>
      <c r="Z365" s="94"/>
      <c r="AA365" s="45"/>
    </row>
    <row r="366" spans="1:27" s="43" customFormat="1" ht="21" customHeight="1" x14ac:dyDescent="0.25">
      <c r="A366" s="44"/>
      <c r="B366" s="365" t="s">
        <v>103</v>
      </c>
      <c r="C366" s="365"/>
      <c r="D366" s="365"/>
      <c r="E366" s="365"/>
      <c r="F366" s="365"/>
      <c r="G366" s="365"/>
      <c r="H366" s="365"/>
      <c r="I366" s="365"/>
      <c r="J366" s="365"/>
      <c r="K366" s="365"/>
      <c r="L366" s="61"/>
      <c r="M366" s="45"/>
      <c r="N366" s="88"/>
      <c r="O366" s="89" t="s">
        <v>62</v>
      </c>
      <c r="P366" s="89"/>
      <c r="Q366" s="89"/>
      <c r="R366" s="89">
        <v>0</v>
      </c>
      <c r="S366" s="93"/>
      <c r="T366" s="89" t="s">
        <v>62</v>
      </c>
      <c r="U366" s="162" t="str">
        <f>IF($J$1="October","",Y365)</f>
        <v/>
      </c>
      <c r="V366" s="91"/>
      <c r="W366" s="162" t="str">
        <f t="shared" si="73"/>
        <v/>
      </c>
      <c r="X366" s="91"/>
      <c r="Y366" s="162" t="str">
        <f t="shared" si="74"/>
        <v/>
      </c>
      <c r="Z366" s="94"/>
      <c r="AA366" s="45"/>
    </row>
    <row r="367" spans="1:27" s="43" customFormat="1" ht="21" customHeight="1" x14ac:dyDescent="0.25">
      <c r="A367" s="44"/>
      <c r="B367" s="365"/>
      <c r="C367" s="365"/>
      <c r="D367" s="365"/>
      <c r="E367" s="365"/>
      <c r="F367" s="365"/>
      <c r="G367" s="365"/>
      <c r="H367" s="365"/>
      <c r="I367" s="365"/>
      <c r="J367" s="365"/>
      <c r="K367" s="365"/>
      <c r="L367" s="61"/>
      <c r="M367" s="45"/>
      <c r="N367" s="88"/>
      <c r="O367" s="89" t="s">
        <v>63</v>
      </c>
      <c r="P367" s="89"/>
      <c r="Q367" s="89"/>
      <c r="R367" s="89">
        <v>0</v>
      </c>
      <c r="S367" s="93"/>
      <c r="T367" s="89" t="s">
        <v>63</v>
      </c>
      <c r="U367" s="162" t="str">
        <f>IF($J$1="November","",Y366)</f>
        <v/>
      </c>
      <c r="V367" s="91"/>
      <c r="W367" s="162" t="str">
        <f t="shared" si="73"/>
        <v/>
      </c>
      <c r="X367" s="91"/>
      <c r="Y367" s="162" t="str">
        <f t="shared" si="74"/>
        <v/>
      </c>
      <c r="Z367" s="94"/>
      <c r="AA367" s="45"/>
    </row>
    <row r="368" spans="1:27" s="43" customFormat="1" ht="21" customHeight="1" thickBot="1" x14ac:dyDescent="0.3">
      <c r="A368" s="74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6"/>
      <c r="N368" s="95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7"/>
    </row>
    <row r="369" spans="1:26" s="43" customFormat="1" ht="21" customHeight="1" x14ac:dyDescent="0.25">
      <c r="A369" s="383" t="s">
        <v>45</v>
      </c>
      <c r="B369" s="384"/>
      <c r="C369" s="384"/>
      <c r="D369" s="384"/>
      <c r="E369" s="384"/>
      <c r="F369" s="384"/>
      <c r="G369" s="384"/>
      <c r="H369" s="384"/>
      <c r="I369" s="384"/>
      <c r="J369" s="384"/>
      <c r="K369" s="384"/>
      <c r="L369" s="385"/>
      <c r="M369" s="103"/>
      <c r="N369" s="81"/>
      <c r="O369" s="372" t="s">
        <v>47</v>
      </c>
      <c r="P369" s="373"/>
      <c r="Q369" s="373"/>
      <c r="R369" s="374"/>
      <c r="S369" s="82"/>
      <c r="T369" s="372" t="s">
        <v>48</v>
      </c>
      <c r="U369" s="373"/>
      <c r="V369" s="373"/>
      <c r="W369" s="373"/>
      <c r="X369" s="373"/>
      <c r="Y369" s="374"/>
      <c r="Z369" s="83"/>
    </row>
    <row r="370" spans="1:26" s="43" customFormat="1" ht="21" customHeight="1" x14ac:dyDescent="0.25">
      <c r="A370" s="44"/>
      <c r="B370" s="45"/>
      <c r="C370" s="375" t="s">
        <v>101</v>
      </c>
      <c r="D370" s="375"/>
      <c r="E370" s="375"/>
      <c r="F370" s="375"/>
      <c r="G370" s="46" t="str">
        <f>$J$1</f>
        <v>October</v>
      </c>
      <c r="H370" s="376">
        <f>$K$1</f>
        <v>2020</v>
      </c>
      <c r="I370" s="376"/>
      <c r="J370" s="45"/>
      <c r="K370" s="47"/>
      <c r="L370" s="48"/>
      <c r="M370" s="47"/>
      <c r="N370" s="84"/>
      <c r="O370" s="85" t="s">
        <v>58</v>
      </c>
      <c r="P370" s="85" t="s">
        <v>7</v>
      </c>
      <c r="Q370" s="85" t="s">
        <v>6</v>
      </c>
      <c r="R370" s="85" t="s">
        <v>59</v>
      </c>
      <c r="S370" s="86"/>
      <c r="T370" s="85" t="s">
        <v>58</v>
      </c>
      <c r="U370" s="85" t="s">
        <v>60</v>
      </c>
      <c r="V370" s="85" t="s">
        <v>23</v>
      </c>
      <c r="W370" s="85" t="s">
        <v>22</v>
      </c>
      <c r="X370" s="85" t="s">
        <v>24</v>
      </c>
      <c r="Y370" s="85" t="s">
        <v>64</v>
      </c>
      <c r="Z370" s="87"/>
    </row>
    <row r="371" spans="1:26" s="43" customFormat="1" ht="21" customHeight="1" x14ac:dyDescent="0.25">
      <c r="A371" s="44"/>
      <c r="B371" s="45"/>
      <c r="C371" s="45"/>
      <c r="D371" s="50"/>
      <c r="E371" s="50"/>
      <c r="F371" s="50"/>
      <c r="G371" s="50"/>
      <c r="H371" s="50"/>
      <c r="I371" s="45"/>
      <c r="J371" s="51" t="s">
        <v>1</v>
      </c>
      <c r="K371" s="52">
        <v>1400</v>
      </c>
      <c r="L371" s="53"/>
      <c r="M371" s="45"/>
      <c r="N371" s="88"/>
      <c r="O371" s="89" t="s">
        <v>50</v>
      </c>
      <c r="P371" s="89"/>
      <c r="Q371" s="89"/>
      <c r="R371" s="89">
        <f>15-Q371+3</f>
        <v>18</v>
      </c>
      <c r="S371" s="90"/>
      <c r="T371" s="89" t="s">
        <v>50</v>
      </c>
      <c r="U371" s="91"/>
      <c r="V371" s="91"/>
      <c r="W371" s="91">
        <f>V371+U371</f>
        <v>0</v>
      </c>
      <c r="X371" s="91"/>
      <c r="Y371" s="91">
        <f>W371-X371</f>
        <v>0</v>
      </c>
      <c r="Z371" s="87"/>
    </row>
    <row r="372" spans="1:26" s="43" customFormat="1" ht="21" customHeight="1" x14ac:dyDescent="0.25">
      <c r="A372" s="44"/>
      <c r="B372" s="45" t="s">
        <v>0</v>
      </c>
      <c r="C372" s="100" t="s">
        <v>264</v>
      </c>
      <c r="D372" s="45"/>
      <c r="E372" s="45"/>
      <c r="F372" s="45"/>
      <c r="G372" s="45"/>
      <c r="H372" s="56"/>
      <c r="I372" s="50"/>
      <c r="J372" s="45"/>
      <c r="K372" s="45"/>
      <c r="L372" s="57"/>
      <c r="M372" s="103"/>
      <c r="N372" s="92"/>
      <c r="O372" s="89" t="s">
        <v>76</v>
      </c>
      <c r="P372" s="89"/>
      <c r="Q372" s="89"/>
      <c r="R372" s="253">
        <f>R371-Q372+5</f>
        <v>23</v>
      </c>
      <c r="S372" s="93"/>
      <c r="T372" s="89" t="s">
        <v>76</v>
      </c>
      <c r="U372" s="162">
        <f>IF($J$1="January","",Y371)</f>
        <v>0</v>
      </c>
      <c r="V372" s="91"/>
      <c r="W372" s="162">
        <f>IF(U372="","",U372+V372)</f>
        <v>0</v>
      </c>
      <c r="X372" s="91"/>
      <c r="Y372" s="162">
        <f>IF(W372="","",W372-X372)</f>
        <v>0</v>
      </c>
      <c r="Z372" s="94"/>
    </row>
    <row r="373" spans="1:26" s="43" customFormat="1" ht="21" customHeight="1" x14ac:dyDescent="0.25">
      <c r="A373" s="44"/>
      <c r="B373" s="59" t="s">
        <v>46</v>
      </c>
      <c r="C373" s="100"/>
      <c r="D373" s="45"/>
      <c r="E373" s="45"/>
      <c r="F373" s="366" t="s">
        <v>48</v>
      </c>
      <c r="G373" s="366"/>
      <c r="H373" s="45"/>
      <c r="I373" s="366" t="s">
        <v>49</v>
      </c>
      <c r="J373" s="366"/>
      <c r="K373" s="366"/>
      <c r="L373" s="61"/>
      <c r="M373" s="45"/>
      <c r="N373" s="88"/>
      <c r="O373" s="89" t="s">
        <v>51</v>
      </c>
      <c r="P373" s="89"/>
      <c r="Q373" s="89"/>
      <c r="R373" s="253">
        <f>R372-Q373+5</f>
        <v>28</v>
      </c>
      <c r="S373" s="93"/>
      <c r="T373" s="89" t="s">
        <v>51</v>
      </c>
      <c r="U373" s="162">
        <f>IF($J$1="February","",Y372)</f>
        <v>0</v>
      </c>
      <c r="V373" s="91"/>
      <c r="W373" s="162">
        <f t="shared" ref="W373:W382" si="76">IF(U373="","",U373+V373)</f>
        <v>0</v>
      </c>
      <c r="X373" s="91"/>
      <c r="Y373" s="162">
        <f t="shared" ref="Y373:Y382" si="77">IF(W373="","",W373-X373)</f>
        <v>0</v>
      </c>
      <c r="Z373" s="94"/>
    </row>
    <row r="374" spans="1:26" s="43" customFormat="1" ht="21" customHeight="1" x14ac:dyDescent="0.25">
      <c r="A374" s="44"/>
      <c r="B374" s="45"/>
      <c r="C374" s="45"/>
      <c r="D374" s="45"/>
      <c r="E374" s="45"/>
      <c r="F374" s="45"/>
      <c r="G374" s="45"/>
      <c r="H374" s="62"/>
      <c r="L374" s="49"/>
      <c r="M374" s="45"/>
      <c r="N374" s="88"/>
      <c r="O374" s="89" t="s">
        <v>52</v>
      </c>
      <c r="P374" s="89"/>
      <c r="Q374" s="89"/>
      <c r="R374" s="89">
        <v>0</v>
      </c>
      <c r="S374" s="93"/>
      <c r="T374" s="89" t="s">
        <v>52</v>
      </c>
      <c r="U374" s="162">
        <f>IF($J$1="March","",Y373)</f>
        <v>0</v>
      </c>
      <c r="V374" s="91"/>
      <c r="W374" s="162">
        <f t="shared" si="76"/>
        <v>0</v>
      </c>
      <c r="X374" s="91"/>
      <c r="Y374" s="162">
        <f t="shared" si="77"/>
        <v>0</v>
      </c>
      <c r="Z374" s="94"/>
    </row>
    <row r="375" spans="1:26" s="43" customFormat="1" ht="21" customHeight="1" x14ac:dyDescent="0.25">
      <c r="A375" s="44"/>
      <c r="B375" s="367" t="s">
        <v>47</v>
      </c>
      <c r="C375" s="368"/>
      <c r="D375" s="45"/>
      <c r="E375" s="45"/>
      <c r="F375" s="63" t="s">
        <v>69</v>
      </c>
      <c r="G375" s="58">
        <f>IF($J$1="January",U371,IF($J$1="February",U372,IF($J$1="March",U373,IF($J$1="April",U374,IF($J$1="May",U375,IF($J$1="June",U376,IF($J$1="July",U377,IF($J$1="August",U378,IF($J$1="August",U378,IF($J$1="September",U379,IF($J$1="October",U380,IF($J$1="November",U381,IF($J$1="December",U382)))))))))))))</f>
        <v>0</v>
      </c>
      <c r="H375" s="62"/>
      <c r="I375" s="64">
        <v>19</v>
      </c>
      <c r="J375" s="65" t="s">
        <v>66</v>
      </c>
      <c r="K375" s="66">
        <f>K371*I375</f>
        <v>26600</v>
      </c>
      <c r="L375" s="67"/>
      <c r="M375" s="45"/>
      <c r="N375" s="88"/>
      <c r="O375" s="89" t="s">
        <v>53</v>
      </c>
      <c r="P375" s="89"/>
      <c r="Q375" s="89"/>
      <c r="R375" s="89">
        <v>0</v>
      </c>
      <c r="S375" s="93"/>
      <c r="T375" s="89" t="s">
        <v>53</v>
      </c>
      <c r="U375" s="162">
        <f>IF($J$1="April","",Y374)</f>
        <v>0</v>
      </c>
      <c r="V375" s="91"/>
      <c r="W375" s="162">
        <f t="shared" si="76"/>
        <v>0</v>
      </c>
      <c r="X375" s="91"/>
      <c r="Y375" s="162">
        <f t="shared" si="77"/>
        <v>0</v>
      </c>
      <c r="Z375" s="94"/>
    </row>
    <row r="376" spans="1:26" s="43" customFormat="1" ht="21" customHeight="1" x14ac:dyDescent="0.25">
      <c r="A376" s="44"/>
      <c r="B376" s="54"/>
      <c r="C376" s="54"/>
      <c r="D376" s="45"/>
      <c r="E376" s="45"/>
      <c r="F376" s="63" t="s">
        <v>23</v>
      </c>
      <c r="G376" s="58">
        <f>IF($J$1="January",V371,IF($J$1="February",V372,IF($J$1="March",V373,IF($J$1="April",V374,IF($J$1="May",V375,IF($J$1="June",V376,IF($J$1="July",V377,IF($J$1="August",V378,IF($J$1="August",V378,IF($J$1="September",V379,IF($J$1="October",V380,IF($J$1="November",V381,IF($J$1="December",V382)))))))))))))</f>
        <v>5000</v>
      </c>
      <c r="H376" s="62"/>
      <c r="I376" s="108">
        <v>43</v>
      </c>
      <c r="J376" s="65" t="s">
        <v>67</v>
      </c>
      <c r="K376" s="68">
        <f>K371/8*I376</f>
        <v>7525</v>
      </c>
      <c r="L376" s="69"/>
      <c r="M376" s="45"/>
      <c r="N376" s="88"/>
      <c r="O376" s="89" t="s">
        <v>54</v>
      </c>
      <c r="P376" s="89"/>
      <c r="Q376" s="89"/>
      <c r="R376" s="89">
        <v>0</v>
      </c>
      <c r="S376" s="93"/>
      <c r="T376" s="89" t="s">
        <v>54</v>
      </c>
      <c r="U376" s="162">
        <f>IF($J$1="May","",Y375)</f>
        <v>0</v>
      </c>
      <c r="V376" s="91"/>
      <c r="W376" s="162">
        <f t="shared" si="76"/>
        <v>0</v>
      </c>
      <c r="X376" s="91"/>
      <c r="Y376" s="162">
        <f t="shared" si="77"/>
        <v>0</v>
      </c>
      <c r="Z376" s="94"/>
    </row>
    <row r="377" spans="1:26" s="43" customFormat="1" ht="21" customHeight="1" x14ac:dyDescent="0.25">
      <c r="A377" s="44"/>
      <c r="B377" s="63" t="s">
        <v>7</v>
      </c>
      <c r="C377" s="54">
        <f>IF($J$1="January",P371,IF($J$1="February",P372,IF($J$1="March",P373,IF($J$1="April",P374,IF($J$1="May",P375,IF($J$1="June",P376,IF($J$1="July",P377,IF($J$1="August",P378,IF($J$1="August",P378,IF($J$1="September",P379,IF($J$1="October",P380,IF($J$1="November",P381,IF($J$1="December",P382)))))))))))))</f>
        <v>0</v>
      </c>
      <c r="D377" s="45"/>
      <c r="E377" s="45"/>
      <c r="F377" s="63" t="s">
        <v>70</v>
      </c>
      <c r="G377" s="58">
        <f>IF($J$1="January",W371,IF($J$1="February",W372,IF($J$1="March",W373,IF($J$1="April",W374,IF($J$1="May",W375,IF($J$1="June",W376,IF($J$1="July",W377,IF($J$1="August",W378,IF($J$1="August",W378,IF($J$1="September",W379,IF($J$1="October",W380,IF($J$1="November",W381,IF($J$1="December",W382)))))))))))))</f>
        <v>5000</v>
      </c>
      <c r="H377" s="62"/>
      <c r="I377" s="361" t="s">
        <v>74</v>
      </c>
      <c r="J377" s="362"/>
      <c r="K377" s="68">
        <f>K375+K376</f>
        <v>34125</v>
      </c>
      <c r="L377" s="69"/>
      <c r="M377" s="45"/>
      <c r="N377" s="88"/>
      <c r="O377" s="89" t="s">
        <v>55</v>
      </c>
      <c r="P377" s="89"/>
      <c r="Q377" s="89"/>
      <c r="R377" s="89">
        <v>0</v>
      </c>
      <c r="S377" s="93"/>
      <c r="T377" s="89" t="s">
        <v>55</v>
      </c>
      <c r="U377" s="162">
        <f>IF($J$1="June","",Y376)</f>
        <v>0</v>
      </c>
      <c r="V377" s="91"/>
      <c r="W377" s="162">
        <f t="shared" si="76"/>
        <v>0</v>
      </c>
      <c r="X377" s="91"/>
      <c r="Y377" s="162">
        <f t="shared" si="77"/>
        <v>0</v>
      </c>
      <c r="Z377" s="94"/>
    </row>
    <row r="378" spans="1:26" s="43" customFormat="1" ht="21" customHeight="1" x14ac:dyDescent="0.25">
      <c r="A378" s="44"/>
      <c r="B378" s="63" t="s">
        <v>6</v>
      </c>
      <c r="C378" s="54">
        <f>IF($J$1="January",Q371,IF($J$1="February",Q372,IF($J$1="March",Q373,IF($J$1="April",Q374,IF($J$1="May",Q375,IF($J$1="June",Q376,IF($J$1="July",Q377,IF($J$1="August",Q378,IF($J$1="August",Q378,IF($J$1="September",Q379,IF($J$1="October",Q380,IF($J$1="November",Q381,IF($J$1="December",Q382)))))))))))))</f>
        <v>0</v>
      </c>
      <c r="D378" s="45"/>
      <c r="E378" s="45"/>
      <c r="F378" s="63" t="s">
        <v>24</v>
      </c>
      <c r="G378" s="58">
        <f>IF($J$1="January",X371,IF($J$1="February",X372,IF($J$1="March",X373,IF($J$1="April",X374,IF($J$1="May",X375,IF($J$1="June",X376,IF($J$1="July",X377,IF($J$1="August",X378,IF($J$1="August",X378,IF($J$1="September",X379,IF($J$1="October",X380,IF($J$1="November",X381,IF($J$1="December",X382)))))))))))))</f>
        <v>5000</v>
      </c>
      <c r="H378" s="62"/>
      <c r="I378" s="361" t="s">
        <v>75</v>
      </c>
      <c r="J378" s="362"/>
      <c r="K378" s="58">
        <f>G378</f>
        <v>5000</v>
      </c>
      <c r="L378" s="70"/>
      <c r="M378" s="45"/>
      <c r="N378" s="88"/>
      <c r="O378" s="89" t="s">
        <v>56</v>
      </c>
      <c r="P378" s="89"/>
      <c r="Q378" s="89"/>
      <c r="R378" s="89">
        <v>0</v>
      </c>
      <c r="S378" s="93"/>
      <c r="T378" s="89" t="s">
        <v>56</v>
      </c>
      <c r="U378" s="162">
        <f>IF($J$1="July","",Y377)</f>
        <v>0</v>
      </c>
      <c r="V378" s="91"/>
      <c r="W378" s="162">
        <f t="shared" si="76"/>
        <v>0</v>
      </c>
      <c r="X378" s="91"/>
      <c r="Y378" s="162">
        <f t="shared" si="77"/>
        <v>0</v>
      </c>
      <c r="Z378" s="94"/>
    </row>
    <row r="379" spans="1:26" s="43" customFormat="1" ht="21" customHeight="1" x14ac:dyDescent="0.25">
      <c r="A379" s="44"/>
      <c r="B379" s="71" t="s">
        <v>73</v>
      </c>
      <c r="C379" s="54">
        <f>IF($J$1="January",R371,IF($J$1="February",R372,IF($J$1="March",R373,IF($J$1="April",R374,IF($J$1="May",R375,IF($J$1="June",R376,IF($J$1="July",R377,IF($J$1="August",R378,IF($J$1="August",R378,IF($J$1="September",R379,IF($J$1="October",R380,IF($J$1="November",R381,IF($J$1="December",R382)))))))))))))</f>
        <v>0</v>
      </c>
      <c r="D379" s="45"/>
      <c r="E379" s="45"/>
      <c r="F379" s="63" t="s">
        <v>72</v>
      </c>
      <c r="G379" s="58">
        <f>IF($J$1="January",Y371,IF($J$1="February",Y372,IF($J$1="March",Y373,IF($J$1="April",Y374,IF($J$1="May",Y375,IF($J$1="June",Y376,IF($J$1="July",Y377,IF($J$1="August",Y378,IF($J$1="August",Y378,IF($J$1="September",Y379,IF($J$1="October",Y380,IF($J$1="November",Y381,IF($J$1="December",Y382)))))))))))))</f>
        <v>0</v>
      </c>
      <c r="H379" s="45"/>
      <c r="I379" s="363" t="s">
        <v>68</v>
      </c>
      <c r="J379" s="364"/>
      <c r="K379" s="72">
        <f>K377-K378</f>
        <v>29125</v>
      </c>
      <c r="L379" s="73"/>
      <c r="M379" s="45"/>
      <c r="N379" s="88"/>
      <c r="O379" s="89" t="s">
        <v>61</v>
      </c>
      <c r="P379" s="89"/>
      <c r="Q379" s="89"/>
      <c r="R379" s="89">
        <v>0</v>
      </c>
      <c r="S379" s="93"/>
      <c r="T379" s="89" t="s">
        <v>61</v>
      </c>
      <c r="U379" s="162">
        <f>IF($J$1="August","",Y378)</f>
        <v>0</v>
      </c>
      <c r="V379" s="91"/>
      <c r="W379" s="162">
        <f t="shared" si="76"/>
        <v>0</v>
      </c>
      <c r="X379" s="91"/>
      <c r="Y379" s="162">
        <f t="shared" si="77"/>
        <v>0</v>
      </c>
      <c r="Z379" s="94"/>
    </row>
    <row r="380" spans="1:26" s="43" customFormat="1" ht="21" customHeight="1" x14ac:dyDescent="0.25">
      <c r="A380" s="44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61"/>
      <c r="M380" s="45"/>
      <c r="N380" s="88"/>
      <c r="O380" s="89" t="s">
        <v>57</v>
      </c>
      <c r="P380" s="89"/>
      <c r="Q380" s="89"/>
      <c r="R380" s="89">
        <v>0</v>
      </c>
      <c r="S380" s="93"/>
      <c r="T380" s="89" t="s">
        <v>57</v>
      </c>
      <c r="U380" s="162">
        <f>IF($J$1="September","",Y379)</f>
        <v>0</v>
      </c>
      <c r="V380" s="91">
        <f>3000+2000</f>
        <v>5000</v>
      </c>
      <c r="W380" s="162">
        <f t="shared" si="76"/>
        <v>5000</v>
      </c>
      <c r="X380" s="91">
        <v>5000</v>
      </c>
      <c r="Y380" s="162">
        <f t="shared" si="77"/>
        <v>0</v>
      </c>
      <c r="Z380" s="94"/>
    </row>
    <row r="381" spans="1:26" s="43" customFormat="1" ht="21" customHeight="1" x14ac:dyDescent="0.25">
      <c r="A381" s="44"/>
      <c r="B381" s="365" t="s">
        <v>103</v>
      </c>
      <c r="C381" s="365"/>
      <c r="D381" s="365"/>
      <c r="E381" s="365"/>
      <c r="F381" s="365"/>
      <c r="G381" s="365"/>
      <c r="H381" s="365"/>
      <c r="I381" s="365"/>
      <c r="J381" s="365"/>
      <c r="K381" s="365"/>
      <c r="L381" s="61"/>
      <c r="M381" s="45"/>
      <c r="N381" s="88"/>
      <c r="O381" s="89" t="s">
        <v>62</v>
      </c>
      <c r="P381" s="89"/>
      <c r="Q381" s="89"/>
      <c r="R381" s="89">
        <v>0</v>
      </c>
      <c r="S381" s="93"/>
      <c r="T381" s="89" t="s">
        <v>62</v>
      </c>
      <c r="U381" s="162" t="str">
        <f>IF($J$1="October","",Y380)</f>
        <v/>
      </c>
      <c r="V381" s="91"/>
      <c r="W381" s="162" t="str">
        <f t="shared" si="76"/>
        <v/>
      </c>
      <c r="X381" s="91"/>
      <c r="Y381" s="162" t="str">
        <f t="shared" si="77"/>
        <v/>
      </c>
      <c r="Z381" s="94"/>
    </row>
    <row r="382" spans="1:26" s="43" customFormat="1" ht="21" customHeight="1" x14ac:dyDescent="0.25">
      <c r="A382" s="44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61"/>
      <c r="M382" s="45"/>
      <c r="N382" s="88"/>
      <c r="O382" s="89" t="s">
        <v>63</v>
      </c>
      <c r="P382" s="89"/>
      <c r="Q382" s="89"/>
      <c r="R382" s="89">
        <v>0</v>
      </c>
      <c r="S382" s="93"/>
      <c r="T382" s="89" t="s">
        <v>63</v>
      </c>
      <c r="U382" s="162" t="str">
        <f>IF($J$1="November","",Y381)</f>
        <v/>
      </c>
      <c r="V382" s="91"/>
      <c r="W382" s="162" t="str">
        <f t="shared" si="76"/>
        <v/>
      </c>
      <c r="X382" s="91"/>
      <c r="Y382" s="162" t="str">
        <f t="shared" si="77"/>
        <v/>
      </c>
      <c r="Z382" s="94"/>
    </row>
    <row r="383" spans="1:26" s="43" customFormat="1" ht="21" customHeight="1" thickBot="1" x14ac:dyDescent="0.3">
      <c r="A383" s="74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6"/>
      <c r="N383" s="95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7"/>
    </row>
    <row r="384" spans="1:26" s="43" customFormat="1" ht="21" customHeight="1" x14ac:dyDescent="0.25">
      <c r="A384" s="383" t="s">
        <v>45</v>
      </c>
      <c r="B384" s="384"/>
      <c r="C384" s="384"/>
      <c r="D384" s="384"/>
      <c r="E384" s="384"/>
      <c r="F384" s="384"/>
      <c r="G384" s="384"/>
      <c r="H384" s="384"/>
      <c r="I384" s="384"/>
      <c r="J384" s="384"/>
      <c r="K384" s="384"/>
      <c r="L384" s="385"/>
      <c r="M384" s="131"/>
      <c r="N384" s="81"/>
      <c r="O384" s="372" t="s">
        <v>47</v>
      </c>
      <c r="P384" s="373"/>
      <c r="Q384" s="373"/>
      <c r="R384" s="374"/>
      <c r="S384" s="82"/>
      <c r="T384" s="372" t="s">
        <v>48</v>
      </c>
      <c r="U384" s="373"/>
      <c r="V384" s="373"/>
      <c r="W384" s="373"/>
      <c r="X384" s="373"/>
      <c r="Y384" s="374"/>
      <c r="Z384" s="80"/>
    </row>
    <row r="385" spans="1:26" s="43" customFormat="1" ht="21" customHeight="1" x14ac:dyDescent="0.25">
      <c r="A385" s="44"/>
      <c r="B385" s="45"/>
      <c r="C385" s="375" t="s">
        <v>101</v>
      </c>
      <c r="D385" s="375"/>
      <c r="E385" s="375"/>
      <c r="F385" s="375"/>
      <c r="G385" s="46" t="str">
        <f>$J$1</f>
        <v>October</v>
      </c>
      <c r="H385" s="376">
        <f>$K$1</f>
        <v>2020</v>
      </c>
      <c r="I385" s="376"/>
      <c r="J385" s="45"/>
      <c r="K385" s="47"/>
      <c r="L385" s="48"/>
      <c r="M385" s="47"/>
      <c r="N385" s="84"/>
      <c r="O385" s="85" t="s">
        <v>58</v>
      </c>
      <c r="P385" s="85" t="s">
        <v>7</v>
      </c>
      <c r="Q385" s="85" t="s">
        <v>6</v>
      </c>
      <c r="R385" s="85" t="s">
        <v>59</v>
      </c>
      <c r="S385" s="86"/>
      <c r="T385" s="85" t="s">
        <v>58</v>
      </c>
      <c r="U385" s="85" t="s">
        <v>60</v>
      </c>
      <c r="V385" s="85" t="s">
        <v>23</v>
      </c>
      <c r="W385" s="85" t="s">
        <v>22</v>
      </c>
      <c r="X385" s="85" t="s">
        <v>24</v>
      </c>
      <c r="Y385" s="85" t="s">
        <v>64</v>
      </c>
      <c r="Z385" s="80"/>
    </row>
    <row r="386" spans="1:26" s="43" customFormat="1" ht="21" customHeight="1" x14ac:dyDescent="0.25">
      <c r="A386" s="44"/>
      <c r="B386" s="45"/>
      <c r="C386" s="45"/>
      <c r="D386" s="50"/>
      <c r="E386" s="50"/>
      <c r="F386" s="50"/>
      <c r="G386" s="50"/>
      <c r="H386" s="50"/>
      <c r="I386" s="45"/>
      <c r="J386" s="51" t="s">
        <v>1</v>
      </c>
      <c r="K386" s="52">
        <v>17500</v>
      </c>
      <c r="L386" s="53"/>
      <c r="M386" s="45"/>
      <c r="N386" s="88"/>
      <c r="O386" s="89" t="s">
        <v>50</v>
      </c>
      <c r="P386" s="89">
        <v>25</v>
      </c>
      <c r="Q386" s="89">
        <v>6</v>
      </c>
      <c r="R386" s="89">
        <f>15-Q386+4</f>
        <v>13</v>
      </c>
      <c r="S386" s="90"/>
      <c r="T386" s="89" t="s">
        <v>50</v>
      </c>
      <c r="U386" s="91">
        <v>6030</v>
      </c>
      <c r="V386" s="91"/>
      <c r="W386" s="91">
        <f>V386+U386</f>
        <v>6030</v>
      </c>
      <c r="X386" s="91">
        <v>1000</v>
      </c>
      <c r="Y386" s="91">
        <f>W386-X386</f>
        <v>5030</v>
      </c>
      <c r="Z386" s="80"/>
    </row>
    <row r="387" spans="1:26" s="43" customFormat="1" ht="21" customHeight="1" x14ac:dyDescent="0.25">
      <c r="A387" s="44"/>
      <c r="B387" s="45" t="s">
        <v>0</v>
      </c>
      <c r="C387" s="100" t="s">
        <v>110</v>
      </c>
      <c r="D387" s="45"/>
      <c r="E387" s="45"/>
      <c r="F387" s="45"/>
      <c r="G387" s="45"/>
      <c r="H387" s="56"/>
      <c r="I387" s="50"/>
      <c r="J387" s="45"/>
      <c r="K387" s="45"/>
      <c r="L387" s="57"/>
      <c r="M387" s="131"/>
      <c r="N387" s="92"/>
      <c r="O387" s="89" t="s">
        <v>76</v>
      </c>
      <c r="P387" s="89">
        <v>26</v>
      </c>
      <c r="Q387" s="89">
        <v>3</v>
      </c>
      <c r="R387" s="89">
        <f>R386-Q387</f>
        <v>10</v>
      </c>
      <c r="S387" s="93"/>
      <c r="T387" s="89" t="s">
        <v>76</v>
      </c>
      <c r="U387" s="162">
        <f t="shared" ref="U387:U392" si="78">Y386</f>
        <v>5030</v>
      </c>
      <c r="V387" s="91"/>
      <c r="W387" s="91">
        <f>V387+U387</f>
        <v>5030</v>
      </c>
      <c r="X387" s="91">
        <v>1000</v>
      </c>
      <c r="Y387" s="162">
        <f>IF(W387="","",W387-X387)</f>
        <v>4030</v>
      </c>
      <c r="Z387" s="80"/>
    </row>
    <row r="388" spans="1:26" s="43" customFormat="1" ht="21" customHeight="1" x14ac:dyDescent="0.25">
      <c r="A388" s="44"/>
      <c r="B388" s="59" t="s">
        <v>46</v>
      </c>
      <c r="C388" s="60"/>
      <c r="D388" s="45"/>
      <c r="E388" s="45"/>
      <c r="F388" s="366" t="s">
        <v>48</v>
      </c>
      <c r="G388" s="366"/>
      <c r="H388" s="45"/>
      <c r="I388" s="366" t="s">
        <v>49</v>
      </c>
      <c r="J388" s="366"/>
      <c r="K388" s="366"/>
      <c r="L388" s="61"/>
      <c r="M388" s="45"/>
      <c r="N388" s="88"/>
      <c r="O388" s="89" t="s">
        <v>51</v>
      </c>
      <c r="P388" s="89">
        <v>27</v>
      </c>
      <c r="Q388" s="89">
        <v>4</v>
      </c>
      <c r="R388" s="89">
        <f>R387-Q388</f>
        <v>6</v>
      </c>
      <c r="S388" s="93"/>
      <c r="T388" s="89" t="s">
        <v>51</v>
      </c>
      <c r="U388" s="162">
        <f t="shared" si="78"/>
        <v>4030</v>
      </c>
      <c r="V388" s="91"/>
      <c r="W388" s="162">
        <f t="shared" ref="W388:W397" si="79">IF(U388="","",U388+V388)</f>
        <v>4030</v>
      </c>
      <c r="X388" s="91">
        <v>3500</v>
      </c>
      <c r="Y388" s="162">
        <f t="shared" ref="Y388:Y397" si="80">IF(W388="","",W388-X388)</f>
        <v>530</v>
      </c>
      <c r="Z388" s="80"/>
    </row>
    <row r="389" spans="1:26" s="43" customFormat="1" ht="21" customHeight="1" x14ac:dyDescent="0.25">
      <c r="A389" s="44"/>
      <c r="B389" s="45"/>
      <c r="C389" s="45"/>
      <c r="D389" s="45"/>
      <c r="E389" s="45"/>
      <c r="F389" s="45"/>
      <c r="G389" s="45"/>
      <c r="H389" s="62"/>
      <c r="L389" s="49"/>
      <c r="M389" s="45"/>
      <c r="N389" s="88"/>
      <c r="O389" s="89" t="s">
        <v>52</v>
      </c>
      <c r="P389" s="89">
        <v>15</v>
      </c>
      <c r="Q389" s="89">
        <v>15</v>
      </c>
      <c r="R389" s="89">
        <v>0</v>
      </c>
      <c r="S389" s="93"/>
      <c r="T389" s="89" t="s">
        <v>52</v>
      </c>
      <c r="U389" s="162">
        <f t="shared" si="78"/>
        <v>530</v>
      </c>
      <c r="V389" s="91">
        <v>1000</v>
      </c>
      <c r="W389" s="162">
        <f t="shared" si="79"/>
        <v>1530</v>
      </c>
      <c r="X389" s="91"/>
      <c r="Y389" s="162">
        <f t="shared" si="80"/>
        <v>1530</v>
      </c>
      <c r="Z389" s="80"/>
    </row>
    <row r="390" spans="1:26" s="43" customFormat="1" ht="21" customHeight="1" x14ac:dyDescent="0.25">
      <c r="A390" s="44"/>
      <c r="B390" s="367" t="s">
        <v>47</v>
      </c>
      <c r="C390" s="368"/>
      <c r="D390" s="45"/>
      <c r="E390" s="45"/>
      <c r="F390" s="63" t="s">
        <v>69</v>
      </c>
      <c r="G390" s="58">
        <f>IF($J$1="January",U386,IF($J$1="February",U387,IF($J$1="March",U388,IF($J$1="April",U389,IF($J$1="May",U390,IF($J$1="June",U391,IF($J$1="July",U392,IF($J$1="August",U393,IF($J$1="August",U393,IF($J$1="September",U394,IF($J$1="October",U395,IF($J$1="November",U396,IF($J$1="December",U397)))))))))))))</f>
        <v>0</v>
      </c>
      <c r="H390" s="62"/>
      <c r="I390" s="64">
        <f>IF(C394&gt;0,$K$2,C392)</f>
        <v>26</v>
      </c>
      <c r="J390" s="65" t="s">
        <v>66</v>
      </c>
      <c r="K390" s="66">
        <f>K386/$K$2*I390</f>
        <v>14677.419354838708</v>
      </c>
      <c r="L390" s="67"/>
      <c r="M390" s="45"/>
      <c r="N390" s="88"/>
      <c r="O390" s="89" t="s">
        <v>53</v>
      </c>
      <c r="P390" s="89">
        <v>27</v>
      </c>
      <c r="Q390" s="89">
        <v>4</v>
      </c>
      <c r="R390" s="89">
        <v>0</v>
      </c>
      <c r="S390" s="93"/>
      <c r="T390" s="89" t="s">
        <v>53</v>
      </c>
      <c r="U390" s="162">
        <f t="shared" si="78"/>
        <v>1530</v>
      </c>
      <c r="V390" s="91">
        <v>1000</v>
      </c>
      <c r="W390" s="162">
        <f>V390+U390</f>
        <v>2530</v>
      </c>
      <c r="X390" s="91">
        <v>1530</v>
      </c>
      <c r="Y390" s="162">
        <f t="shared" si="80"/>
        <v>1000</v>
      </c>
      <c r="Z390" s="80"/>
    </row>
    <row r="391" spans="1:26" s="43" customFormat="1" ht="21" customHeight="1" x14ac:dyDescent="0.25">
      <c r="A391" s="44"/>
      <c r="B391" s="54"/>
      <c r="C391" s="54"/>
      <c r="D391" s="45"/>
      <c r="E391" s="45"/>
      <c r="F391" s="63" t="s">
        <v>23</v>
      </c>
      <c r="G391" s="58">
        <f>IF($J$1="January",V386,IF($J$1="February",V387,IF($J$1="March",V388,IF($J$1="April",V389,IF($J$1="May",V390,IF($J$1="June",V391,IF($J$1="July",V392,IF($J$1="August",V393,IF($J$1="August",V393,IF($J$1="September",V394,IF($J$1="October",V395,IF($J$1="November",V396,IF($J$1="December",V397)))))))))))))</f>
        <v>2200</v>
      </c>
      <c r="H391" s="62"/>
      <c r="I391" s="108">
        <v>26</v>
      </c>
      <c r="J391" s="65" t="s">
        <v>67</v>
      </c>
      <c r="K391" s="68">
        <f>K386/$K$2/8*I391</f>
        <v>1834.6774193548385</v>
      </c>
      <c r="L391" s="69"/>
      <c r="M391" s="45"/>
      <c r="N391" s="88"/>
      <c r="O391" s="89" t="s">
        <v>54</v>
      </c>
      <c r="P391" s="89">
        <v>25</v>
      </c>
      <c r="Q391" s="89">
        <v>5</v>
      </c>
      <c r="R391" s="89">
        <v>0</v>
      </c>
      <c r="S391" s="93"/>
      <c r="T391" s="89" t="s">
        <v>54</v>
      </c>
      <c r="U391" s="162">
        <f t="shared" si="78"/>
        <v>1000</v>
      </c>
      <c r="V391" s="91"/>
      <c r="W391" s="162">
        <f t="shared" si="79"/>
        <v>1000</v>
      </c>
      <c r="X391" s="91">
        <v>1000</v>
      </c>
      <c r="Y391" s="162">
        <f t="shared" si="80"/>
        <v>0</v>
      </c>
      <c r="Z391" s="80"/>
    </row>
    <row r="392" spans="1:26" s="43" customFormat="1" ht="21" customHeight="1" x14ac:dyDescent="0.25">
      <c r="A392" s="44"/>
      <c r="B392" s="63" t="s">
        <v>7</v>
      </c>
      <c r="C392" s="54">
        <f>IF($J$1="January",P386,IF($J$1="February",P387,IF($J$1="March",P388,IF($J$1="April",P389,IF($J$1="May",P390,IF($J$1="June",P391,IF($J$1="July",P392,IF($J$1="August",P393,IF($J$1="August",P393,IF($J$1="September",P394,IF($J$1="October",P395,IF($J$1="November",P396,IF($J$1="December",P397)))))))))))))</f>
        <v>26</v>
      </c>
      <c r="D392" s="45"/>
      <c r="E392" s="45"/>
      <c r="F392" s="63" t="s">
        <v>70</v>
      </c>
      <c r="G392" s="58">
        <f>IF($J$1="January",W386,IF($J$1="February",W387,IF($J$1="March",W388,IF($J$1="April",W389,IF($J$1="May",W390,IF($J$1="June",W391,IF($J$1="July",W392,IF($J$1="August",W393,IF($J$1="August",W393,IF($J$1="September",W394,IF($J$1="October",W395,IF($J$1="November",W396,IF($J$1="December",W397)))))))))))))</f>
        <v>2200</v>
      </c>
      <c r="H392" s="62"/>
      <c r="I392" s="361" t="s">
        <v>74</v>
      </c>
      <c r="J392" s="362"/>
      <c r="K392" s="68">
        <f>K390+K391</f>
        <v>16512.096774193546</v>
      </c>
      <c r="L392" s="69"/>
      <c r="M392" s="45"/>
      <c r="N392" s="88"/>
      <c r="O392" s="89" t="s">
        <v>55</v>
      </c>
      <c r="P392" s="89">
        <v>22</v>
      </c>
      <c r="Q392" s="89">
        <v>9</v>
      </c>
      <c r="R392" s="89">
        <v>0</v>
      </c>
      <c r="S392" s="93"/>
      <c r="T392" s="89" t="s">
        <v>55</v>
      </c>
      <c r="U392" s="162">
        <f t="shared" si="78"/>
        <v>0</v>
      </c>
      <c r="V392" s="91">
        <f>10000+4000</f>
        <v>14000</v>
      </c>
      <c r="W392" s="162">
        <f t="shared" si="79"/>
        <v>14000</v>
      </c>
      <c r="X392" s="91">
        <v>14000</v>
      </c>
      <c r="Y392" s="162">
        <f t="shared" si="80"/>
        <v>0</v>
      </c>
      <c r="Z392" s="80"/>
    </row>
    <row r="393" spans="1:26" s="43" customFormat="1" ht="21" customHeight="1" x14ac:dyDescent="0.25">
      <c r="A393" s="44"/>
      <c r="B393" s="63" t="s">
        <v>6</v>
      </c>
      <c r="C393" s="54">
        <f>IF($J$1="January",Q386,IF($J$1="February",Q387,IF($J$1="March",Q388,IF($J$1="April",Q389,IF($J$1="May",Q390,IF($J$1="June",Q391,IF($J$1="July",Q392,IF($J$1="August",Q393,IF($J$1="August",Q393,IF($J$1="September",Q394,IF($J$1="October",Q395,IF($J$1="November",Q396,IF($J$1="December",Q397)))))))))))))</f>
        <v>5</v>
      </c>
      <c r="D393" s="45"/>
      <c r="E393" s="45"/>
      <c r="F393" s="63" t="s">
        <v>24</v>
      </c>
      <c r="G393" s="58">
        <f>IF($J$1="January",X386,IF($J$1="February",X387,IF($J$1="March",X388,IF($J$1="April",X389,IF($J$1="May",X390,IF($J$1="June",X391,IF($J$1="July",X392,IF($J$1="August",X393,IF($J$1="August",X393,IF($J$1="September",X394,IF($J$1="October",X395,IF($J$1="November",X396,IF($J$1="December",X397)))))))))))))</f>
        <v>2200</v>
      </c>
      <c r="H393" s="62"/>
      <c r="I393" s="361" t="s">
        <v>75</v>
      </c>
      <c r="J393" s="362"/>
      <c r="K393" s="58">
        <f>G393</f>
        <v>2200</v>
      </c>
      <c r="L393" s="70"/>
      <c r="M393" s="45"/>
      <c r="N393" s="88"/>
      <c r="O393" s="89" t="s">
        <v>56</v>
      </c>
      <c r="P393" s="89">
        <v>6</v>
      </c>
      <c r="Q393" s="89"/>
      <c r="R393" s="89">
        <v>0</v>
      </c>
      <c r="S393" s="93"/>
      <c r="T393" s="89" t="s">
        <v>56</v>
      </c>
      <c r="U393" s="162">
        <f>Y392</f>
        <v>0</v>
      </c>
      <c r="V393" s="91">
        <v>3000</v>
      </c>
      <c r="W393" s="162">
        <f t="shared" si="79"/>
        <v>3000</v>
      </c>
      <c r="X393" s="91">
        <v>3000</v>
      </c>
      <c r="Y393" s="162">
        <f t="shared" si="80"/>
        <v>0</v>
      </c>
      <c r="Z393" s="80"/>
    </row>
    <row r="394" spans="1:26" s="43" customFormat="1" ht="21" customHeight="1" x14ac:dyDescent="0.25">
      <c r="A394" s="44"/>
      <c r="B394" s="71" t="s">
        <v>73</v>
      </c>
      <c r="C394" s="54">
        <f>IF($J$1="January",R386,IF($J$1="February",R387,IF($J$1="March",R388,IF($J$1="April",R389,IF($J$1="May",R390,IF($J$1="June",R391,IF($J$1="July",R392,IF($J$1="August",R393,IF($J$1="August",R393,IF($J$1="September",R394,IF($J$1="October",R395,IF($J$1="November",R396,IF($J$1="December",R397)))))))))))))</f>
        <v>0</v>
      </c>
      <c r="D394" s="45"/>
      <c r="E394" s="45"/>
      <c r="F394" s="63" t="s">
        <v>72</v>
      </c>
      <c r="G394" s="58">
        <f>IF($J$1="January",Y386,IF($J$1="February",Y387,IF($J$1="March",Y388,IF($J$1="April",Y389,IF($J$1="May",Y390,IF($J$1="June",Y391,IF($J$1="July",Y392,IF($J$1="August",Y393,IF($J$1="August",Y393,IF($J$1="September",Y394,IF($J$1="October",Y395,IF($J$1="November",Y396,IF($J$1="December",Y397)))))))))))))</f>
        <v>0</v>
      </c>
      <c r="H394" s="45"/>
      <c r="I394" s="363" t="s">
        <v>68</v>
      </c>
      <c r="J394" s="364"/>
      <c r="K394" s="72">
        <f>K392-K393</f>
        <v>14312.096774193546</v>
      </c>
      <c r="L394" s="73"/>
      <c r="M394" s="45"/>
      <c r="N394" s="88"/>
      <c r="O394" s="89" t="s">
        <v>61</v>
      </c>
      <c r="P394" s="89">
        <v>27</v>
      </c>
      <c r="Q394" s="89">
        <v>3</v>
      </c>
      <c r="R394" s="89">
        <v>0</v>
      </c>
      <c r="S394" s="93"/>
      <c r="T394" s="89" t="s">
        <v>61</v>
      </c>
      <c r="U394" s="162">
        <f t="shared" ref="U394:U396" si="81">Y393</f>
        <v>0</v>
      </c>
      <c r="V394" s="91">
        <f>5000+1000+2000</f>
        <v>8000</v>
      </c>
      <c r="W394" s="162">
        <f t="shared" si="79"/>
        <v>8000</v>
      </c>
      <c r="X394" s="91">
        <v>8000</v>
      </c>
      <c r="Y394" s="162">
        <f t="shared" si="80"/>
        <v>0</v>
      </c>
      <c r="Z394" s="80"/>
    </row>
    <row r="395" spans="1:26" s="43" customFormat="1" ht="21" customHeight="1" x14ac:dyDescent="0.25">
      <c r="A395" s="44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61"/>
      <c r="M395" s="45"/>
      <c r="N395" s="88"/>
      <c r="O395" s="89" t="s">
        <v>57</v>
      </c>
      <c r="P395" s="89">
        <v>26</v>
      </c>
      <c r="Q395" s="89">
        <v>5</v>
      </c>
      <c r="R395" s="89">
        <v>0</v>
      </c>
      <c r="S395" s="93"/>
      <c r="T395" s="89" t="s">
        <v>57</v>
      </c>
      <c r="U395" s="162">
        <f t="shared" si="81"/>
        <v>0</v>
      </c>
      <c r="V395" s="91">
        <v>2200</v>
      </c>
      <c r="W395" s="162">
        <f t="shared" si="79"/>
        <v>2200</v>
      </c>
      <c r="X395" s="91">
        <v>2200</v>
      </c>
      <c r="Y395" s="162">
        <f t="shared" si="80"/>
        <v>0</v>
      </c>
      <c r="Z395" s="80"/>
    </row>
    <row r="396" spans="1:26" s="43" customFormat="1" ht="21" customHeight="1" x14ac:dyDescent="0.25">
      <c r="A396" s="44"/>
      <c r="B396" s="365" t="s">
        <v>103</v>
      </c>
      <c r="C396" s="365"/>
      <c r="D396" s="365"/>
      <c r="E396" s="365"/>
      <c r="F396" s="365"/>
      <c r="G396" s="365"/>
      <c r="H396" s="365"/>
      <c r="I396" s="365"/>
      <c r="J396" s="365"/>
      <c r="K396" s="365"/>
      <c r="L396" s="61"/>
      <c r="M396" s="45"/>
      <c r="N396" s="88"/>
      <c r="O396" s="89" t="s">
        <v>62</v>
      </c>
      <c r="P396" s="89"/>
      <c r="Q396" s="89"/>
      <c r="R396" s="89">
        <v>0</v>
      </c>
      <c r="S396" s="93"/>
      <c r="T396" s="89" t="s">
        <v>62</v>
      </c>
      <c r="U396" s="162">
        <f t="shared" si="81"/>
        <v>0</v>
      </c>
      <c r="V396" s="91"/>
      <c r="W396" s="162">
        <f t="shared" si="79"/>
        <v>0</v>
      </c>
      <c r="X396" s="91"/>
      <c r="Y396" s="162">
        <f t="shared" si="80"/>
        <v>0</v>
      </c>
      <c r="Z396" s="80"/>
    </row>
    <row r="397" spans="1:26" s="43" customFormat="1" ht="21" customHeight="1" x14ac:dyDescent="0.25">
      <c r="A397" s="4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61"/>
      <c r="M397" s="45"/>
      <c r="N397" s="88"/>
      <c r="O397" s="89" t="s">
        <v>63</v>
      </c>
      <c r="P397" s="89"/>
      <c r="Q397" s="89"/>
      <c r="R397" s="89">
        <v>0</v>
      </c>
      <c r="S397" s="93"/>
      <c r="T397" s="89" t="s">
        <v>63</v>
      </c>
      <c r="U397" s="162">
        <f>Y396</f>
        <v>0</v>
      </c>
      <c r="V397" s="91"/>
      <c r="W397" s="162">
        <f t="shared" si="79"/>
        <v>0</v>
      </c>
      <c r="X397" s="91"/>
      <c r="Y397" s="162">
        <f t="shared" si="80"/>
        <v>0</v>
      </c>
      <c r="Z397" s="80"/>
    </row>
    <row r="398" spans="1:26" s="43" customFormat="1" ht="21" customHeight="1" thickBot="1" x14ac:dyDescent="0.3">
      <c r="A398" s="74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6"/>
      <c r="N398" s="95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80"/>
    </row>
    <row r="399" spans="1:26" s="45" customFormat="1" ht="21" customHeight="1" thickBot="1" x14ac:dyDescent="0.3"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 spans="1:26" s="43" customFormat="1" ht="21" hidden="1" customHeight="1" x14ac:dyDescent="0.25">
      <c r="A400" s="383" t="s">
        <v>45</v>
      </c>
      <c r="B400" s="384"/>
      <c r="C400" s="384"/>
      <c r="D400" s="384"/>
      <c r="E400" s="384"/>
      <c r="F400" s="384"/>
      <c r="G400" s="384"/>
      <c r="H400" s="384"/>
      <c r="I400" s="384"/>
      <c r="J400" s="384"/>
      <c r="K400" s="384"/>
      <c r="L400" s="385"/>
      <c r="M400" s="131"/>
      <c r="N400" s="81"/>
      <c r="O400" s="372" t="s">
        <v>47</v>
      </c>
      <c r="P400" s="373"/>
      <c r="Q400" s="373"/>
      <c r="R400" s="374"/>
      <c r="S400" s="82"/>
      <c r="T400" s="372" t="s">
        <v>48</v>
      </c>
      <c r="U400" s="373"/>
      <c r="V400" s="373"/>
      <c r="W400" s="373"/>
      <c r="X400" s="373"/>
      <c r="Y400" s="374"/>
      <c r="Z400" s="80"/>
    </row>
    <row r="401" spans="1:26" s="43" customFormat="1" ht="21" hidden="1" customHeight="1" x14ac:dyDescent="0.25">
      <c r="A401" s="44"/>
      <c r="B401" s="45"/>
      <c r="C401" s="375" t="s">
        <v>101</v>
      </c>
      <c r="D401" s="375"/>
      <c r="E401" s="375"/>
      <c r="F401" s="375"/>
      <c r="G401" s="46" t="str">
        <f>$J$1</f>
        <v>October</v>
      </c>
      <c r="H401" s="376">
        <f>$K$1</f>
        <v>2020</v>
      </c>
      <c r="I401" s="376"/>
      <c r="J401" s="45"/>
      <c r="K401" s="47"/>
      <c r="L401" s="48"/>
      <c r="M401" s="47"/>
      <c r="N401" s="84"/>
      <c r="O401" s="85" t="s">
        <v>58</v>
      </c>
      <c r="P401" s="85" t="s">
        <v>7</v>
      </c>
      <c r="Q401" s="85" t="s">
        <v>6</v>
      </c>
      <c r="R401" s="85" t="s">
        <v>59</v>
      </c>
      <c r="S401" s="86"/>
      <c r="T401" s="85" t="s">
        <v>58</v>
      </c>
      <c r="U401" s="85" t="s">
        <v>60</v>
      </c>
      <c r="V401" s="85" t="s">
        <v>23</v>
      </c>
      <c r="W401" s="85" t="s">
        <v>22</v>
      </c>
      <c r="X401" s="85" t="s">
        <v>24</v>
      </c>
      <c r="Y401" s="85" t="s">
        <v>64</v>
      </c>
      <c r="Z401" s="80"/>
    </row>
    <row r="402" spans="1:26" s="43" customFormat="1" ht="21" hidden="1" customHeight="1" x14ac:dyDescent="0.25">
      <c r="A402" s="44"/>
      <c r="B402" s="45"/>
      <c r="C402" s="45"/>
      <c r="D402" s="50"/>
      <c r="E402" s="50"/>
      <c r="F402" s="50"/>
      <c r="G402" s="50"/>
      <c r="H402" s="50"/>
      <c r="I402" s="45"/>
      <c r="J402" s="51" t="s">
        <v>1</v>
      </c>
      <c r="K402" s="52"/>
      <c r="L402" s="53"/>
      <c r="M402" s="45"/>
      <c r="N402" s="88"/>
      <c r="O402" s="89" t="s">
        <v>50</v>
      </c>
      <c r="P402" s="89"/>
      <c r="Q402" s="89"/>
      <c r="R402" s="89">
        <v>15</v>
      </c>
      <c r="S402" s="90"/>
      <c r="T402" s="89" t="s">
        <v>50</v>
      </c>
      <c r="U402" s="91"/>
      <c r="V402" s="91"/>
      <c r="W402" s="91">
        <f>V402+U402</f>
        <v>0</v>
      </c>
      <c r="X402" s="91"/>
      <c r="Y402" s="91">
        <f>W402-X402</f>
        <v>0</v>
      </c>
      <c r="Z402" s="80"/>
    </row>
    <row r="403" spans="1:26" s="43" customFormat="1" ht="21" hidden="1" customHeight="1" x14ac:dyDescent="0.25">
      <c r="A403" s="44"/>
      <c r="B403" s="45" t="s">
        <v>0</v>
      </c>
      <c r="C403" s="100"/>
      <c r="D403" s="45"/>
      <c r="E403" s="45"/>
      <c r="F403" s="45"/>
      <c r="G403" s="45"/>
      <c r="H403" s="56"/>
      <c r="I403" s="50"/>
      <c r="J403" s="45"/>
      <c r="K403" s="45"/>
      <c r="L403" s="57"/>
      <c r="M403" s="131"/>
      <c r="N403" s="92"/>
      <c r="O403" s="89" t="s">
        <v>76</v>
      </c>
      <c r="P403" s="89"/>
      <c r="Q403" s="89"/>
      <c r="R403" s="89">
        <f>R402-Q403</f>
        <v>15</v>
      </c>
      <c r="S403" s="93"/>
      <c r="T403" s="89" t="s">
        <v>76</v>
      </c>
      <c r="U403" s="162"/>
      <c r="V403" s="91"/>
      <c r="W403" s="162" t="str">
        <f>IF(U403="","",U403+V403)</f>
        <v/>
      </c>
      <c r="X403" s="91"/>
      <c r="Y403" s="162" t="str">
        <f>IF(W403="","",W403-X403)</f>
        <v/>
      </c>
      <c r="Z403" s="80"/>
    </row>
    <row r="404" spans="1:26" s="43" customFormat="1" ht="21" hidden="1" customHeight="1" x14ac:dyDescent="0.25">
      <c r="A404" s="44"/>
      <c r="B404" s="59" t="s">
        <v>46</v>
      </c>
      <c r="C404" s="60"/>
      <c r="D404" s="45"/>
      <c r="E404" s="45"/>
      <c r="F404" s="366" t="s">
        <v>48</v>
      </c>
      <c r="G404" s="366"/>
      <c r="H404" s="45"/>
      <c r="I404" s="366" t="s">
        <v>49</v>
      </c>
      <c r="J404" s="366"/>
      <c r="K404" s="366"/>
      <c r="L404" s="61"/>
      <c r="M404" s="45"/>
      <c r="N404" s="88"/>
      <c r="O404" s="89" t="s">
        <v>51</v>
      </c>
      <c r="P404" s="89"/>
      <c r="Q404" s="89"/>
      <c r="R404" s="89">
        <v>0</v>
      </c>
      <c r="S404" s="93"/>
      <c r="T404" s="89" t="s">
        <v>51</v>
      </c>
      <c r="U404" s="162"/>
      <c r="V404" s="91"/>
      <c r="W404" s="162" t="str">
        <f t="shared" ref="W404:W413" si="82">IF(U404="","",U404+V404)</f>
        <v/>
      </c>
      <c r="X404" s="91"/>
      <c r="Y404" s="162" t="str">
        <f t="shared" ref="Y404:Y413" si="83">IF(W404="","",W404-X404)</f>
        <v/>
      </c>
      <c r="Z404" s="80"/>
    </row>
    <row r="405" spans="1:26" s="43" customFormat="1" ht="21" hidden="1" customHeight="1" x14ac:dyDescent="0.25">
      <c r="A405" s="44"/>
      <c r="B405" s="45"/>
      <c r="C405" s="45"/>
      <c r="D405" s="45"/>
      <c r="E405" s="45"/>
      <c r="F405" s="45"/>
      <c r="G405" s="45"/>
      <c r="H405" s="62"/>
      <c r="L405" s="49"/>
      <c r="M405" s="45"/>
      <c r="N405" s="88"/>
      <c r="O405" s="89" t="s">
        <v>52</v>
      </c>
      <c r="P405" s="89"/>
      <c r="Q405" s="89"/>
      <c r="R405" s="89" t="str">
        <f t="shared" ref="R405:R413" si="84">IF(Q405="","",R404-Q405)</f>
        <v/>
      </c>
      <c r="S405" s="93"/>
      <c r="T405" s="89" t="s">
        <v>52</v>
      </c>
      <c r="U405" s="162"/>
      <c r="V405" s="91"/>
      <c r="W405" s="162" t="str">
        <f t="shared" si="82"/>
        <v/>
      </c>
      <c r="X405" s="91"/>
      <c r="Y405" s="162" t="str">
        <f t="shared" si="83"/>
        <v/>
      </c>
      <c r="Z405" s="80"/>
    </row>
    <row r="406" spans="1:26" s="43" customFormat="1" ht="21" hidden="1" customHeight="1" x14ac:dyDescent="0.25">
      <c r="A406" s="44"/>
      <c r="B406" s="367" t="s">
        <v>47</v>
      </c>
      <c r="C406" s="368"/>
      <c r="D406" s="45"/>
      <c r="E406" s="45"/>
      <c r="F406" s="63" t="s">
        <v>69</v>
      </c>
      <c r="G406" s="58">
        <f>IF($J$1="January",U402,IF($J$1="February",U403,IF($J$1="March",U404,IF($J$1="April",U405,IF($J$1="May",U406,IF($J$1="June",U407,IF($J$1="July",U408,IF($J$1="August",U409,IF($J$1="August",U409,IF($J$1="September",U410,IF($J$1="October",U411,IF($J$1="November",U412,IF($J$1="December",U413)))))))))))))</f>
        <v>0</v>
      </c>
      <c r="H406" s="62"/>
      <c r="I406" s="64">
        <f>IF(C410&gt;0,$K$2,C408)</f>
        <v>31</v>
      </c>
      <c r="J406" s="65" t="s">
        <v>66</v>
      </c>
      <c r="K406" s="66">
        <f>K402/$K$2*I406</f>
        <v>0</v>
      </c>
      <c r="L406" s="67"/>
      <c r="M406" s="45"/>
      <c r="N406" s="88"/>
      <c r="O406" s="89" t="s">
        <v>53</v>
      </c>
      <c r="P406" s="89"/>
      <c r="Q406" s="89"/>
      <c r="R406" s="89" t="str">
        <f t="shared" si="84"/>
        <v/>
      </c>
      <c r="S406" s="93"/>
      <c r="T406" s="89" t="s">
        <v>53</v>
      </c>
      <c r="U406" s="162"/>
      <c r="V406" s="91"/>
      <c r="W406" s="162" t="str">
        <f t="shared" si="82"/>
        <v/>
      </c>
      <c r="X406" s="91"/>
      <c r="Y406" s="162" t="str">
        <f t="shared" si="83"/>
        <v/>
      </c>
      <c r="Z406" s="80"/>
    </row>
    <row r="407" spans="1:26" s="43" customFormat="1" ht="21" hidden="1" customHeight="1" x14ac:dyDescent="0.25">
      <c r="A407" s="44"/>
      <c r="B407" s="54"/>
      <c r="C407" s="54"/>
      <c r="D407" s="45"/>
      <c r="E407" s="45"/>
      <c r="F407" s="63" t="s">
        <v>23</v>
      </c>
      <c r="G407" s="58">
        <f>IF($J$1="January",V402,IF($J$1="February",V403,IF($J$1="March",V404,IF($J$1="April",V405,IF($J$1="May",V406,IF($J$1="June",V407,IF($J$1="July",V408,IF($J$1="August",V409,IF($J$1="August",V409,IF($J$1="September",V410,IF($J$1="October",V411,IF($J$1="November",V412,IF($J$1="December",V413)))))))))))))</f>
        <v>0</v>
      </c>
      <c r="H407" s="62"/>
      <c r="I407" s="108"/>
      <c r="J407" s="65" t="s">
        <v>67</v>
      </c>
      <c r="K407" s="68">
        <f>K402/$K$2/8*I407</f>
        <v>0</v>
      </c>
      <c r="L407" s="69"/>
      <c r="M407" s="45"/>
      <c r="N407" s="88"/>
      <c r="O407" s="89" t="s">
        <v>54</v>
      </c>
      <c r="P407" s="89"/>
      <c r="Q407" s="89"/>
      <c r="R407" s="89" t="str">
        <f t="shared" si="84"/>
        <v/>
      </c>
      <c r="S407" s="93"/>
      <c r="T407" s="89" t="s">
        <v>54</v>
      </c>
      <c r="U407" s="162"/>
      <c r="V407" s="91"/>
      <c r="W407" s="162" t="str">
        <f t="shared" si="82"/>
        <v/>
      </c>
      <c r="X407" s="91"/>
      <c r="Y407" s="162" t="str">
        <f t="shared" si="83"/>
        <v/>
      </c>
      <c r="Z407" s="80"/>
    </row>
    <row r="408" spans="1:26" s="43" customFormat="1" ht="21" hidden="1" customHeight="1" x14ac:dyDescent="0.25">
      <c r="A408" s="44"/>
      <c r="B408" s="63" t="s">
        <v>7</v>
      </c>
      <c r="C408" s="54">
        <f>IF($J$1="January",P402,IF($J$1="February",P403,IF($J$1="March",P404,IF($J$1="April",P405,IF($J$1="May",P406,IF($J$1="June",P407,IF($J$1="July",P408,IF($J$1="August",P409,IF($J$1="August",P409,IF($J$1="September",P410,IF($J$1="October",P411,IF($J$1="November",P412,IF($J$1="December",P413)))))))))))))</f>
        <v>0</v>
      </c>
      <c r="D408" s="45"/>
      <c r="E408" s="45"/>
      <c r="F408" s="63" t="s">
        <v>70</v>
      </c>
      <c r="G408" s="58" t="str">
        <f>IF($J$1="January",W402,IF($J$1="February",W403,IF($J$1="March",W404,IF($J$1="April",W405,IF($J$1="May",W406,IF($J$1="June",W407,IF($J$1="July",W408,IF($J$1="August",W409,IF($J$1="August",W409,IF($J$1="September",W410,IF($J$1="October",W411,IF($J$1="November",W412,IF($J$1="December",W413)))))))))))))</f>
        <v/>
      </c>
      <c r="H408" s="62"/>
      <c r="I408" s="361" t="s">
        <v>74</v>
      </c>
      <c r="J408" s="362"/>
      <c r="K408" s="68">
        <f>K406+K407</f>
        <v>0</v>
      </c>
      <c r="L408" s="69"/>
      <c r="M408" s="45"/>
      <c r="N408" s="88"/>
      <c r="O408" s="89" t="s">
        <v>55</v>
      </c>
      <c r="P408" s="89"/>
      <c r="Q408" s="89"/>
      <c r="R408" s="89" t="str">
        <f t="shared" si="84"/>
        <v/>
      </c>
      <c r="S408" s="93"/>
      <c r="T408" s="89" t="s">
        <v>55</v>
      </c>
      <c r="U408" s="162"/>
      <c r="V408" s="91"/>
      <c r="W408" s="162" t="str">
        <f t="shared" si="82"/>
        <v/>
      </c>
      <c r="X408" s="91"/>
      <c r="Y408" s="162" t="str">
        <f t="shared" si="83"/>
        <v/>
      </c>
      <c r="Z408" s="80"/>
    </row>
    <row r="409" spans="1:26" s="43" customFormat="1" ht="21" hidden="1" customHeight="1" x14ac:dyDescent="0.25">
      <c r="A409" s="44"/>
      <c r="B409" s="63" t="s">
        <v>6</v>
      </c>
      <c r="C409" s="54">
        <f>IF($J$1="January",Q402,IF($J$1="February",Q403,IF($J$1="March",Q404,IF($J$1="April",Q405,IF($J$1="May",Q406,IF($J$1="June",Q407,IF($J$1="July",Q408,IF($J$1="August",Q409,IF($J$1="August",Q409,IF($J$1="September",Q410,IF($J$1="October",Q411,IF($J$1="November",Q412,IF($J$1="December",Q413)))))))))))))</f>
        <v>0</v>
      </c>
      <c r="D409" s="45"/>
      <c r="E409" s="45"/>
      <c r="F409" s="63" t="s">
        <v>24</v>
      </c>
      <c r="G409" s="58">
        <f>IF($J$1="January",X402,IF($J$1="February",X403,IF($J$1="March",X404,IF($J$1="April",X405,IF($J$1="May",X406,IF($J$1="June",X407,IF($J$1="July",X408,IF($J$1="August",X409,IF($J$1="August",X409,IF($J$1="September",X410,IF($J$1="October",X411,IF($J$1="November",X412,IF($J$1="December",X413)))))))))))))</f>
        <v>0</v>
      </c>
      <c r="H409" s="62"/>
      <c r="I409" s="361" t="s">
        <v>75</v>
      </c>
      <c r="J409" s="362"/>
      <c r="K409" s="58">
        <f>G409</f>
        <v>0</v>
      </c>
      <c r="L409" s="70"/>
      <c r="M409" s="45"/>
      <c r="N409" s="88"/>
      <c r="O409" s="89" t="s">
        <v>56</v>
      </c>
      <c r="P409" s="89"/>
      <c r="Q409" s="89"/>
      <c r="R409" s="89" t="str">
        <f t="shared" si="84"/>
        <v/>
      </c>
      <c r="S409" s="93"/>
      <c r="T409" s="89" t="s">
        <v>56</v>
      </c>
      <c r="U409" s="162"/>
      <c r="V409" s="91"/>
      <c r="W409" s="162" t="str">
        <f t="shared" si="82"/>
        <v/>
      </c>
      <c r="X409" s="91"/>
      <c r="Y409" s="162" t="str">
        <f t="shared" si="83"/>
        <v/>
      </c>
      <c r="Z409" s="80"/>
    </row>
    <row r="410" spans="1:26" s="43" customFormat="1" ht="21" hidden="1" customHeight="1" x14ac:dyDescent="0.25">
      <c r="A410" s="44"/>
      <c r="B410" s="71" t="s">
        <v>73</v>
      </c>
      <c r="C410" s="54" t="str">
        <f>IF($J$1="January",R402,IF($J$1="February",R403,IF($J$1="March",R404,IF($J$1="April",R405,IF($J$1="May",R406,IF($J$1="June",R407,IF($J$1="July",R408,IF($J$1="August",R409,IF($J$1="August",R409,IF($J$1="September",R410,IF($J$1="October",R411,IF($J$1="November",R412,IF($J$1="December",R413)))))))))))))</f>
        <v/>
      </c>
      <c r="D410" s="45"/>
      <c r="E410" s="45"/>
      <c r="F410" s="63" t="s">
        <v>72</v>
      </c>
      <c r="G410" s="58" t="str">
        <f>IF($J$1="January",Y402,IF($J$1="February",Y403,IF($J$1="March",Y404,IF($J$1="April",Y405,IF($J$1="May",Y406,IF($J$1="June",Y407,IF($J$1="July",Y408,IF($J$1="August",Y409,IF($J$1="August",Y409,IF($J$1="September",Y410,IF($J$1="October",Y411,IF($J$1="November",Y412,IF($J$1="December",Y413)))))))))))))</f>
        <v/>
      </c>
      <c r="H410" s="45"/>
      <c r="I410" s="363" t="s">
        <v>68</v>
      </c>
      <c r="J410" s="364"/>
      <c r="K410" s="72">
        <f>K408-K409</f>
        <v>0</v>
      </c>
      <c r="L410" s="73"/>
      <c r="M410" s="45"/>
      <c r="N410" s="88"/>
      <c r="O410" s="89" t="s">
        <v>61</v>
      </c>
      <c r="P410" s="89"/>
      <c r="Q410" s="89"/>
      <c r="R410" s="89" t="str">
        <f t="shared" si="84"/>
        <v/>
      </c>
      <c r="S410" s="93"/>
      <c r="T410" s="89" t="s">
        <v>61</v>
      </c>
      <c r="U410" s="162"/>
      <c r="V410" s="91"/>
      <c r="W410" s="162" t="str">
        <f t="shared" si="82"/>
        <v/>
      </c>
      <c r="X410" s="91"/>
      <c r="Y410" s="162" t="str">
        <f t="shared" si="83"/>
        <v/>
      </c>
      <c r="Z410" s="80"/>
    </row>
    <row r="411" spans="1:26" s="43" customFormat="1" ht="21" hidden="1" customHeight="1" x14ac:dyDescent="0.25">
      <c r="A411" s="44"/>
      <c r="B411" s="45"/>
      <c r="C411" s="45"/>
      <c r="D411" s="45"/>
      <c r="E411" s="45"/>
      <c r="F411" s="45"/>
      <c r="G411" s="45"/>
      <c r="H411" s="45"/>
      <c r="I411" s="45"/>
      <c r="J411" s="177"/>
      <c r="K411" s="177"/>
      <c r="L411" s="61"/>
      <c r="M411" s="45"/>
      <c r="N411" s="88"/>
      <c r="O411" s="89" t="s">
        <v>57</v>
      </c>
      <c r="P411" s="89"/>
      <c r="Q411" s="89"/>
      <c r="R411" s="89" t="str">
        <f t="shared" si="84"/>
        <v/>
      </c>
      <c r="S411" s="93"/>
      <c r="T411" s="89" t="s">
        <v>57</v>
      </c>
      <c r="U411" s="162"/>
      <c r="V411" s="91"/>
      <c r="W411" s="162" t="str">
        <f t="shared" si="82"/>
        <v/>
      </c>
      <c r="X411" s="91"/>
      <c r="Y411" s="162" t="str">
        <f t="shared" si="83"/>
        <v/>
      </c>
      <c r="Z411" s="80"/>
    </row>
    <row r="412" spans="1:26" s="43" customFormat="1" ht="21" hidden="1" customHeight="1" x14ac:dyDescent="0.25">
      <c r="A412" s="44"/>
      <c r="B412" s="365" t="s">
        <v>103</v>
      </c>
      <c r="C412" s="365"/>
      <c r="D412" s="365"/>
      <c r="E412" s="365"/>
      <c r="F412" s="365"/>
      <c r="G412" s="365"/>
      <c r="H412" s="365"/>
      <c r="I412" s="365"/>
      <c r="J412" s="365"/>
      <c r="K412" s="365"/>
      <c r="L412" s="61"/>
      <c r="M412" s="45"/>
      <c r="N412" s="88"/>
      <c r="O412" s="89" t="s">
        <v>62</v>
      </c>
      <c r="P412" s="89"/>
      <c r="Q412" s="89"/>
      <c r="R412" s="89" t="str">
        <f t="shared" si="84"/>
        <v/>
      </c>
      <c r="S412" s="93"/>
      <c r="T412" s="89" t="s">
        <v>62</v>
      </c>
      <c r="U412" s="162"/>
      <c r="V412" s="91"/>
      <c r="W412" s="162" t="str">
        <f t="shared" si="82"/>
        <v/>
      </c>
      <c r="X412" s="91"/>
      <c r="Y412" s="162" t="str">
        <f t="shared" si="83"/>
        <v/>
      </c>
      <c r="Z412" s="80"/>
    </row>
    <row r="413" spans="1:26" s="43" customFormat="1" ht="21" hidden="1" customHeight="1" x14ac:dyDescent="0.25">
      <c r="A413" s="44"/>
      <c r="B413" s="365"/>
      <c r="C413" s="365"/>
      <c r="D413" s="365"/>
      <c r="E413" s="365"/>
      <c r="F413" s="365"/>
      <c r="G413" s="365"/>
      <c r="H413" s="365"/>
      <c r="I413" s="365"/>
      <c r="J413" s="365"/>
      <c r="K413" s="365"/>
      <c r="L413" s="61"/>
      <c r="M413" s="45"/>
      <c r="N413" s="88"/>
      <c r="O413" s="89" t="s">
        <v>63</v>
      </c>
      <c r="P413" s="89"/>
      <c r="Q413" s="89"/>
      <c r="R413" s="89" t="str">
        <f t="shared" si="84"/>
        <v/>
      </c>
      <c r="S413" s="93"/>
      <c r="T413" s="89" t="s">
        <v>63</v>
      </c>
      <c r="U413" s="162"/>
      <c r="V413" s="91"/>
      <c r="W413" s="162" t="str">
        <f t="shared" si="82"/>
        <v/>
      </c>
      <c r="X413" s="91"/>
      <c r="Y413" s="162" t="str">
        <f t="shared" si="83"/>
        <v/>
      </c>
      <c r="Z413" s="80"/>
    </row>
    <row r="414" spans="1:26" s="43" customFormat="1" ht="21" hidden="1" customHeight="1" thickBot="1" x14ac:dyDescent="0.3">
      <c r="A414" s="74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6"/>
      <c r="N414" s="95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80"/>
    </row>
    <row r="415" spans="1:26" s="45" customFormat="1" ht="21" hidden="1" customHeight="1" thickBot="1" x14ac:dyDescent="0.3"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 spans="1:26" s="43" customFormat="1" ht="21" hidden="1" customHeight="1" x14ac:dyDescent="0.25">
      <c r="A416" s="420" t="s">
        <v>45</v>
      </c>
      <c r="B416" s="421"/>
      <c r="C416" s="421"/>
      <c r="D416" s="421"/>
      <c r="E416" s="421"/>
      <c r="F416" s="421"/>
      <c r="G416" s="421"/>
      <c r="H416" s="421"/>
      <c r="I416" s="421"/>
      <c r="J416" s="421"/>
      <c r="K416" s="421"/>
      <c r="L416" s="422"/>
      <c r="M416" s="131"/>
      <c r="N416" s="81"/>
      <c r="O416" s="372" t="s">
        <v>47</v>
      </c>
      <c r="P416" s="373"/>
      <c r="Q416" s="373"/>
      <c r="R416" s="374"/>
      <c r="S416" s="82"/>
      <c r="T416" s="372" t="s">
        <v>48</v>
      </c>
      <c r="U416" s="373"/>
      <c r="V416" s="373"/>
      <c r="W416" s="373"/>
      <c r="X416" s="373"/>
      <c r="Y416" s="374"/>
      <c r="Z416" s="80"/>
    </row>
    <row r="417" spans="1:26" s="43" customFormat="1" ht="21" hidden="1" customHeight="1" x14ac:dyDescent="0.25">
      <c r="A417" s="44"/>
      <c r="B417" s="45"/>
      <c r="C417" s="375" t="s">
        <v>101</v>
      </c>
      <c r="D417" s="375"/>
      <c r="E417" s="375"/>
      <c r="F417" s="375"/>
      <c r="G417" s="46" t="str">
        <f>$J$1</f>
        <v>October</v>
      </c>
      <c r="H417" s="376">
        <f>$K$1</f>
        <v>2020</v>
      </c>
      <c r="I417" s="376"/>
      <c r="J417" s="45"/>
      <c r="K417" s="47"/>
      <c r="L417" s="48"/>
      <c r="M417" s="47"/>
      <c r="N417" s="84"/>
      <c r="O417" s="85" t="s">
        <v>58</v>
      </c>
      <c r="P417" s="85" t="s">
        <v>7</v>
      </c>
      <c r="Q417" s="85" t="s">
        <v>6</v>
      </c>
      <c r="R417" s="85" t="s">
        <v>59</v>
      </c>
      <c r="S417" s="86"/>
      <c r="T417" s="85" t="s">
        <v>58</v>
      </c>
      <c r="U417" s="85" t="s">
        <v>60</v>
      </c>
      <c r="V417" s="85" t="s">
        <v>23</v>
      </c>
      <c r="W417" s="85" t="s">
        <v>22</v>
      </c>
      <c r="X417" s="85" t="s">
        <v>24</v>
      </c>
      <c r="Y417" s="85" t="s">
        <v>64</v>
      </c>
      <c r="Z417" s="80"/>
    </row>
    <row r="418" spans="1:26" s="43" customFormat="1" ht="21" hidden="1" customHeight="1" x14ac:dyDescent="0.25">
      <c r="A418" s="44"/>
      <c r="B418" s="45"/>
      <c r="C418" s="45"/>
      <c r="D418" s="50"/>
      <c r="E418" s="50"/>
      <c r="F418" s="50"/>
      <c r="G418" s="50"/>
      <c r="H418" s="50"/>
      <c r="I418" s="45"/>
      <c r="J418" s="51" t="s">
        <v>1</v>
      </c>
      <c r="K418" s="52"/>
      <c r="L418" s="53"/>
      <c r="M418" s="45"/>
      <c r="N418" s="88"/>
      <c r="O418" s="89" t="s">
        <v>50</v>
      </c>
      <c r="P418" s="89"/>
      <c r="Q418" s="89"/>
      <c r="R418" s="89">
        <v>15</v>
      </c>
      <c r="S418" s="90"/>
      <c r="T418" s="89" t="s">
        <v>50</v>
      </c>
      <c r="U418" s="91"/>
      <c r="V418" s="91"/>
      <c r="W418" s="91">
        <f>V418+U418</f>
        <v>0</v>
      </c>
      <c r="X418" s="91"/>
      <c r="Y418" s="91">
        <f>W418-X418</f>
        <v>0</v>
      </c>
      <c r="Z418" s="80"/>
    </row>
    <row r="419" spans="1:26" s="43" customFormat="1" ht="21" hidden="1" customHeight="1" x14ac:dyDescent="0.25">
      <c r="A419" s="44"/>
      <c r="B419" s="45" t="s">
        <v>0</v>
      </c>
      <c r="C419" s="100"/>
      <c r="D419" s="45"/>
      <c r="E419" s="45"/>
      <c r="F419" s="45"/>
      <c r="G419" s="45"/>
      <c r="H419" s="56"/>
      <c r="I419" s="50"/>
      <c r="J419" s="45"/>
      <c r="K419" s="45"/>
      <c r="L419" s="57"/>
      <c r="M419" s="131"/>
      <c r="N419" s="92"/>
      <c r="O419" s="89" t="s">
        <v>76</v>
      </c>
      <c r="P419" s="89"/>
      <c r="Q419" s="89"/>
      <c r="R419" s="89">
        <v>0</v>
      </c>
      <c r="S419" s="93"/>
      <c r="T419" s="89" t="s">
        <v>76</v>
      </c>
      <c r="U419" s="162">
        <f>Y418</f>
        <v>0</v>
      </c>
      <c r="V419" s="91"/>
      <c r="W419" s="162">
        <f>IF(U419="","",U419+V419)</f>
        <v>0</v>
      </c>
      <c r="X419" s="91"/>
      <c r="Y419" s="162">
        <f>IF(W419="","",W419-X419)</f>
        <v>0</v>
      </c>
      <c r="Z419" s="80"/>
    </row>
    <row r="420" spans="1:26" s="43" customFormat="1" ht="21" hidden="1" customHeight="1" x14ac:dyDescent="0.25">
      <c r="A420" s="44"/>
      <c r="B420" s="59" t="s">
        <v>46</v>
      </c>
      <c r="C420" s="60"/>
      <c r="D420" s="45"/>
      <c r="E420" s="45"/>
      <c r="F420" s="366" t="s">
        <v>48</v>
      </c>
      <c r="G420" s="366"/>
      <c r="H420" s="45"/>
      <c r="I420" s="366" t="s">
        <v>49</v>
      </c>
      <c r="J420" s="366"/>
      <c r="K420" s="366"/>
      <c r="L420" s="61"/>
      <c r="M420" s="45"/>
      <c r="N420" s="88"/>
      <c r="O420" s="89" t="s">
        <v>51</v>
      </c>
      <c r="P420" s="89"/>
      <c r="Q420" s="89"/>
      <c r="R420" s="89">
        <v>0</v>
      </c>
      <c r="S420" s="93"/>
      <c r="T420" s="89" t="s">
        <v>51</v>
      </c>
      <c r="U420" s="162"/>
      <c r="V420" s="91"/>
      <c r="W420" s="162" t="str">
        <f t="shared" ref="W420:W429" si="85">IF(U420="","",U420+V420)</f>
        <v/>
      </c>
      <c r="X420" s="91"/>
      <c r="Y420" s="162" t="str">
        <f t="shared" ref="Y420:Y429" si="86">IF(W420="","",W420-X420)</f>
        <v/>
      </c>
      <c r="Z420" s="80"/>
    </row>
    <row r="421" spans="1:26" s="43" customFormat="1" ht="21" hidden="1" customHeight="1" x14ac:dyDescent="0.25">
      <c r="A421" s="44"/>
      <c r="B421" s="45"/>
      <c r="C421" s="45"/>
      <c r="D421" s="45"/>
      <c r="E421" s="45"/>
      <c r="F421" s="45"/>
      <c r="G421" s="45"/>
      <c r="H421" s="62"/>
      <c r="L421" s="49"/>
      <c r="M421" s="45"/>
      <c r="N421" s="88"/>
      <c r="O421" s="89" t="s">
        <v>52</v>
      </c>
      <c r="P421" s="89"/>
      <c r="Q421" s="89"/>
      <c r="R421" s="89">
        <v>0</v>
      </c>
      <c r="S421" s="93"/>
      <c r="T421" s="89" t="s">
        <v>52</v>
      </c>
      <c r="U421" s="162" t="str">
        <f>IF($J$1="April",Y420,Y420)</f>
        <v/>
      </c>
      <c r="V421" s="91"/>
      <c r="W421" s="162" t="str">
        <f t="shared" si="85"/>
        <v/>
      </c>
      <c r="X421" s="91"/>
      <c r="Y421" s="162" t="str">
        <f t="shared" si="86"/>
        <v/>
      </c>
      <c r="Z421" s="80"/>
    </row>
    <row r="422" spans="1:26" s="43" customFormat="1" ht="21" hidden="1" customHeight="1" x14ac:dyDescent="0.25">
      <c r="A422" s="44"/>
      <c r="B422" s="367" t="s">
        <v>47</v>
      </c>
      <c r="C422" s="368"/>
      <c r="D422" s="45"/>
      <c r="E422" s="45"/>
      <c r="F422" s="63" t="s">
        <v>69</v>
      </c>
      <c r="G422" s="58">
        <f>IF($J$1="January",U418,IF($J$1="February",U419,IF($J$1="March",U420,IF($J$1="April",U421,IF($J$1="May",U422,IF($J$1="June",U423,IF($J$1="July",U424,IF($J$1="August",U425,IF($J$1="August",U425,IF($J$1="September",U426,IF($J$1="October",U427,IF($J$1="November",U428,IF($J$1="December",U429)))))))))))))</f>
        <v>0</v>
      </c>
      <c r="H422" s="62"/>
      <c r="I422" s="64"/>
      <c r="J422" s="65" t="s">
        <v>66</v>
      </c>
      <c r="K422" s="66">
        <f>K418/$K$2*I422</f>
        <v>0</v>
      </c>
      <c r="L422" s="67"/>
      <c r="M422" s="45"/>
      <c r="N422" s="88"/>
      <c r="O422" s="89" t="s">
        <v>53</v>
      </c>
      <c r="P422" s="89"/>
      <c r="Q422" s="89"/>
      <c r="R422" s="89">
        <v>0</v>
      </c>
      <c r="S422" s="93"/>
      <c r="T422" s="89" t="s">
        <v>53</v>
      </c>
      <c r="U422" s="162"/>
      <c r="V422" s="91"/>
      <c r="W422" s="162" t="str">
        <f t="shared" si="85"/>
        <v/>
      </c>
      <c r="X422" s="91"/>
      <c r="Y422" s="162" t="str">
        <f t="shared" si="86"/>
        <v/>
      </c>
      <c r="Z422" s="80"/>
    </row>
    <row r="423" spans="1:26" s="43" customFormat="1" ht="21" hidden="1" customHeight="1" x14ac:dyDescent="0.25">
      <c r="A423" s="44"/>
      <c r="B423" s="54"/>
      <c r="C423" s="54"/>
      <c r="D423" s="45"/>
      <c r="E423" s="45"/>
      <c r="F423" s="63" t="s">
        <v>23</v>
      </c>
      <c r="G423" s="58">
        <f>IF($J$1="January",V418,IF($J$1="February",V419,IF($J$1="March",V420,IF($J$1="April",V421,IF($J$1="May",V422,IF($J$1="June",V423,IF($J$1="July",V424,IF($J$1="August",V425,IF($J$1="August",V425,IF($J$1="September",V426,IF($J$1="October",V427,IF($J$1="November",V428,IF($J$1="December",V429)))))))))))))</f>
        <v>0</v>
      </c>
      <c r="H423" s="62"/>
      <c r="I423" s="108"/>
      <c r="J423" s="65" t="s">
        <v>67</v>
      </c>
      <c r="K423" s="68">
        <f>K418/$K$2/8*I423</f>
        <v>0</v>
      </c>
      <c r="L423" s="69"/>
      <c r="M423" s="45"/>
      <c r="N423" s="88"/>
      <c r="O423" s="89" t="s">
        <v>54</v>
      </c>
      <c r="P423" s="89"/>
      <c r="Q423" s="89"/>
      <c r="R423" s="89">
        <v>0</v>
      </c>
      <c r="S423" s="93"/>
      <c r="T423" s="89" t="s">
        <v>54</v>
      </c>
      <c r="U423" s="162" t="str">
        <f>Y422</f>
        <v/>
      </c>
      <c r="V423" s="91"/>
      <c r="W423" s="162">
        <f>V423</f>
        <v>0</v>
      </c>
      <c r="X423" s="91"/>
      <c r="Y423" s="162">
        <f t="shared" si="86"/>
        <v>0</v>
      </c>
      <c r="Z423" s="80"/>
    </row>
    <row r="424" spans="1:26" s="43" customFormat="1" ht="21" hidden="1" customHeight="1" x14ac:dyDescent="0.25">
      <c r="A424" s="44"/>
      <c r="B424" s="63" t="s">
        <v>7</v>
      </c>
      <c r="C424" s="54">
        <f>IF($J$1="January",P418,IF($J$1="February",P419,IF($J$1="March",P420,IF($J$1="April",P421,IF($J$1="May",P422,IF($J$1="June",P423,IF($J$1="July",P424,IF($J$1="August",P425,IF($J$1="August",P425,IF($J$1="September",P426,IF($J$1="October",P427,IF($J$1="November",P428,IF($J$1="December",P429)))))))))))))</f>
        <v>0</v>
      </c>
      <c r="D424" s="45"/>
      <c r="E424" s="45"/>
      <c r="F424" s="63" t="s">
        <v>70</v>
      </c>
      <c r="G424" s="58">
        <f>IF($J$1="January",W418,IF($J$1="February",W419,IF($J$1="March",W420,IF($J$1="April",W421,IF($J$1="May",W422,IF($J$1="June",W423,IF($J$1="July",W424,IF($J$1="August",W425,IF($J$1="August",W425,IF($J$1="September",W426,IF($J$1="October",W427,IF($J$1="November",W428,IF($J$1="December",W429)))))))))))))</f>
        <v>0</v>
      </c>
      <c r="H424" s="62"/>
      <c r="I424" s="361" t="s">
        <v>74</v>
      </c>
      <c r="J424" s="362"/>
      <c r="K424" s="68">
        <f>K422+K423</f>
        <v>0</v>
      </c>
      <c r="L424" s="69"/>
      <c r="M424" s="45"/>
      <c r="N424" s="88"/>
      <c r="O424" s="89" t="s">
        <v>55</v>
      </c>
      <c r="P424" s="89"/>
      <c r="Q424" s="89"/>
      <c r="R424" s="89">
        <v>0</v>
      </c>
      <c r="S424" s="93"/>
      <c r="T424" s="89" t="s">
        <v>55</v>
      </c>
      <c r="U424" s="162"/>
      <c r="V424" s="91"/>
      <c r="W424" s="162" t="str">
        <f t="shared" si="85"/>
        <v/>
      </c>
      <c r="X424" s="91"/>
      <c r="Y424" s="162" t="str">
        <f t="shared" si="86"/>
        <v/>
      </c>
      <c r="Z424" s="80"/>
    </row>
    <row r="425" spans="1:26" s="43" customFormat="1" ht="21" hidden="1" customHeight="1" x14ac:dyDescent="0.25">
      <c r="A425" s="44"/>
      <c r="B425" s="63" t="s">
        <v>6</v>
      </c>
      <c r="C425" s="54">
        <f>IF($J$1="January",Q418,IF($J$1="February",Q419,IF($J$1="March",Q420,IF($J$1="April",Q421,IF($J$1="May",Q422,IF($J$1="June",Q423,IF($J$1="July",Q424,IF($J$1="August",Q425,IF($J$1="August",Q425,IF($J$1="September",Q426,IF($J$1="October",Q427,IF($J$1="November",Q428,IF($J$1="December",Q429)))))))))))))</f>
        <v>0</v>
      </c>
      <c r="D425" s="45"/>
      <c r="E425" s="45"/>
      <c r="F425" s="63" t="s">
        <v>24</v>
      </c>
      <c r="G425" s="58">
        <f>IF($J$1="January",X418,IF($J$1="February",X419,IF($J$1="March",X420,IF($J$1="April",X421,IF($J$1="May",X422,IF($J$1="June",X423,IF($J$1="July",X424,IF($J$1="August",X425,IF($J$1="August",X425,IF($J$1="September",X426,IF($J$1="October",X427,IF($J$1="November",X428,IF($J$1="December",X429)))))))))))))</f>
        <v>0</v>
      </c>
      <c r="H425" s="62"/>
      <c r="I425" s="361" t="s">
        <v>75</v>
      </c>
      <c r="J425" s="362"/>
      <c r="K425" s="58">
        <f>G425</f>
        <v>0</v>
      </c>
      <c r="L425" s="70"/>
      <c r="M425" s="45"/>
      <c r="N425" s="88"/>
      <c r="O425" s="89" t="s">
        <v>56</v>
      </c>
      <c r="P425" s="89"/>
      <c r="Q425" s="89"/>
      <c r="R425" s="89">
        <v>0</v>
      </c>
      <c r="S425" s="93"/>
      <c r="T425" s="89" t="s">
        <v>56</v>
      </c>
      <c r="U425" s="162" t="str">
        <f>Y424</f>
        <v/>
      </c>
      <c r="V425" s="91"/>
      <c r="W425" s="162">
        <f>V425</f>
        <v>0</v>
      </c>
      <c r="X425" s="91"/>
      <c r="Y425" s="162">
        <f t="shared" si="86"/>
        <v>0</v>
      </c>
      <c r="Z425" s="80"/>
    </row>
    <row r="426" spans="1:26" s="43" customFormat="1" ht="21" hidden="1" customHeight="1" x14ac:dyDescent="0.25">
      <c r="A426" s="44"/>
      <c r="B426" s="71" t="s">
        <v>73</v>
      </c>
      <c r="C426" s="54">
        <f>IF($J$1="January",R418,IF($J$1="February",R419,IF($J$1="March",R420,IF($J$1="April",R421,IF($J$1="May",R422,IF($J$1="June",R423,IF($J$1="July",R424,IF($J$1="August",R425,IF($J$1="August",R425,IF($J$1="September",R426,IF($J$1="October",R427,IF($J$1="November",R428,IF($J$1="December",R429)))))))))))))</f>
        <v>0</v>
      </c>
      <c r="D426" s="45"/>
      <c r="E426" s="45"/>
      <c r="F426" s="63" t="s">
        <v>72</v>
      </c>
      <c r="G426" s="58">
        <f>IF($J$1="January",Y418,IF($J$1="February",Y419,IF($J$1="March",Y420,IF($J$1="April",Y421,IF($J$1="May",Y422,IF($J$1="June",Y423,IF($J$1="July",Y424,IF($J$1="August",Y425,IF($J$1="August",Y425,IF($J$1="September",Y426,IF($J$1="October",Y427,IF($J$1="November",Y428,IF($J$1="December",Y429)))))))))))))</f>
        <v>0</v>
      </c>
      <c r="H426" s="45"/>
      <c r="I426" s="363" t="s">
        <v>68</v>
      </c>
      <c r="J426" s="364"/>
      <c r="K426" s="72">
        <f>K424-K425</f>
        <v>0</v>
      </c>
      <c r="L426" s="73"/>
      <c r="M426" s="45"/>
      <c r="N426" s="88"/>
      <c r="O426" s="89" t="s">
        <v>61</v>
      </c>
      <c r="P426" s="89"/>
      <c r="Q426" s="89"/>
      <c r="R426" s="89">
        <v>0</v>
      </c>
      <c r="S426" s="93"/>
      <c r="T426" s="89" t="s">
        <v>61</v>
      </c>
      <c r="U426" s="162">
        <f>Y425</f>
        <v>0</v>
      </c>
      <c r="V426" s="91"/>
      <c r="W426" s="162">
        <f t="shared" si="85"/>
        <v>0</v>
      </c>
      <c r="X426" s="91"/>
      <c r="Y426" s="162">
        <f t="shared" si="86"/>
        <v>0</v>
      </c>
      <c r="Z426" s="80"/>
    </row>
    <row r="427" spans="1:26" s="43" customFormat="1" ht="21" hidden="1" customHeight="1" x14ac:dyDescent="0.25">
      <c r="A427" s="44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61"/>
      <c r="M427" s="45"/>
      <c r="N427" s="88"/>
      <c r="O427" s="89" t="s">
        <v>57</v>
      </c>
      <c r="P427" s="89"/>
      <c r="Q427" s="89"/>
      <c r="R427" s="89">
        <v>0</v>
      </c>
      <c r="S427" s="93"/>
      <c r="T427" s="89" t="s">
        <v>57</v>
      </c>
      <c r="U427" s="162">
        <f>Y426</f>
        <v>0</v>
      </c>
      <c r="V427" s="91"/>
      <c r="W427" s="162">
        <f t="shared" si="85"/>
        <v>0</v>
      </c>
      <c r="X427" s="91"/>
      <c r="Y427" s="162">
        <f t="shared" si="86"/>
        <v>0</v>
      </c>
      <c r="Z427" s="80"/>
    </row>
    <row r="428" spans="1:26" s="43" customFormat="1" ht="21" hidden="1" customHeight="1" x14ac:dyDescent="0.25">
      <c r="A428" s="44"/>
      <c r="B428" s="365" t="s">
        <v>103</v>
      </c>
      <c r="C428" s="365"/>
      <c r="D428" s="365"/>
      <c r="E428" s="365"/>
      <c r="F428" s="365"/>
      <c r="G428" s="365"/>
      <c r="H428" s="365"/>
      <c r="I428" s="365"/>
      <c r="J428" s="365"/>
      <c r="K428" s="365"/>
      <c r="L428" s="61"/>
      <c r="M428" s="45"/>
      <c r="N428" s="88"/>
      <c r="O428" s="89" t="s">
        <v>62</v>
      </c>
      <c r="P428" s="89"/>
      <c r="Q428" s="89"/>
      <c r="R428" s="89">
        <v>0</v>
      </c>
      <c r="S428" s="93"/>
      <c r="T428" s="89" t="s">
        <v>62</v>
      </c>
      <c r="U428" s="162">
        <f t="shared" ref="U428" si="87">Y427</f>
        <v>0</v>
      </c>
      <c r="V428" s="91"/>
      <c r="W428" s="162">
        <f t="shared" si="85"/>
        <v>0</v>
      </c>
      <c r="X428" s="91"/>
      <c r="Y428" s="162">
        <f t="shared" si="86"/>
        <v>0</v>
      </c>
      <c r="Z428" s="80"/>
    </row>
    <row r="429" spans="1:26" s="43" customFormat="1" ht="21" hidden="1" customHeight="1" x14ac:dyDescent="0.25">
      <c r="A429" s="44"/>
      <c r="B429" s="365"/>
      <c r="C429" s="365"/>
      <c r="D429" s="365"/>
      <c r="E429" s="365"/>
      <c r="F429" s="365"/>
      <c r="G429" s="365"/>
      <c r="H429" s="365"/>
      <c r="I429" s="365"/>
      <c r="J429" s="365"/>
      <c r="K429" s="365"/>
      <c r="L429" s="61"/>
      <c r="M429" s="45"/>
      <c r="N429" s="88"/>
      <c r="O429" s="89" t="s">
        <v>63</v>
      </c>
      <c r="P429" s="89"/>
      <c r="Q429" s="89"/>
      <c r="R429" s="89" t="str">
        <f t="shared" ref="R429" si="88">IF(Q429="","",R428-Q429)</f>
        <v/>
      </c>
      <c r="S429" s="93"/>
      <c r="T429" s="89" t="s">
        <v>63</v>
      </c>
      <c r="U429" s="162" t="str">
        <f>IF($J$1="Dec",Y428,"")</f>
        <v/>
      </c>
      <c r="V429" s="91"/>
      <c r="W429" s="162" t="str">
        <f t="shared" si="85"/>
        <v/>
      </c>
      <c r="X429" s="91"/>
      <c r="Y429" s="162" t="str">
        <f t="shared" si="86"/>
        <v/>
      </c>
      <c r="Z429" s="80"/>
    </row>
    <row r="430" spans="1:26" s="43" customFormat="1" ht="21" hidden="1" customHeight="1" thickBot="1" x14ac:dyDescent="0.3">
      <c r="A430" s="74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6"/>
      <c r="N430" s="95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80"/>
    </row>
    <row r="431" spans="1:26" s="43" customFormat="1" ht="21" customHeight="1" x14ac:dyDescent="0.25">
      <c r="A431" s="377" t="s">
        <v>45</v>
      </c>
      <c r="B431" s="378"/>
      <c r="C431" s="378"/>
      <c r="D431" s="378"/>
      <c r="E431" s="378"/>
      <c r="F431" s="378"/>
      <c r="G431" s="378"/>
      <c r="H431" s="378"/>
      <c r="I431" s="378"/>
      <c r="J431" s="378"/>
      <c r="K431" s="378"/>
      <c r="L431" s="379"/>
      <c r="M431" s="182"/>
      <c r="N431" s="81"/>
      <c r="O431" s="372" t="s">
        <v>47</v>
      </c>
      <c r="P431" s="373"/>
      <c r="Q431" s="373"/>
      <c r="R431" s="374"/>
      <c r="S431" s="82"/>
      <c r="T431" s="372" t="s">
        <v>48</v>
      </c>
      <c r="U431" s="373"/>
      <c r="V431" s="373"/>
      <c r="W431" s="373"/>
      <c r="X431" s="373"/>
      <c r="Y431" s="374"/>
      <c r="Z431" s="83"/>
    </row>
    <row r="432" spans="1:26" s="43" customFormat="1" ht="21" customHeight="1" x14ac:dyDescent="0.25">
      <c r="A432" s="44"/>
      <c r="B432" s="45"/>
      <c r="C432" s="375" t="s">
        <v>101</v>
      </c>
      <c r="D432" s="375"/>
      <c r="E432" s="375"/>
      <c r="F432" s="375"/>
      <c r="G432" s="46" t="str">
        <f>$J$1</f>
        <v>October</v>
      </c>
      <c r="H432" s="376">
        <f>$K$1</f>
        <v>2020</v>
      </c>
      <c r="I432" s="376"/>
      <c r="J432" s="45"/>
      <c r="K432" s="47"/>
      <c r="L432" s="48"/>
      <c r="M432" s="47"/>
      <c r="N432" s="84"/>
      <c r="O432" s="85" t="s">
        <v>58</v>
      </c>
      <c r="P432" s="85" t="s">
        <v>7</v>
      </c>
      <c r="Q432" s="85" t="s">
        <v>6</v>
      </c>
      <c r="R432" s="85" t="s">
        <v>59</v>
      </c>
      <c r="S432" s="86"/>
      <c r="T432" s="85" t="s">
        <v>58</v>
      </c>
      <c r="U432" s="85" t="s">
        <v>60</v>
      </c>
      <c r="V432" s="85" t="s">
        <v>23</v>
      </c>
      <c r="W432" s="85" t="s">
        <v>22</v>
      </c>
      <c r="X432" s="85" t="s">
        <v>24</v>
      </c>
      <c r="Y432" s="85" t="s">
        <v>64</v>
      </c>
      <c r="Z432" s="87"/>
    </row>
    <row r="433" spans="1:26" s="43" customFormat="1" ht="21" customHeight="1" x14ac:dyDescent="0.25">
      <c r="A433" s="44"/>
      <c r="B433" s="45"/>
      <c r="C433" s="45"/>
      <c r="D433" s="50"/>
      <c r="E433" s="50"/>
      <c r="F433" s="50"/>
      <c r="G433" s="50"/>
      <c r="H433" s="50"/>
      <c r="I433" s="45"/>
      <c r="J433" s="51" t="s">
        <v>1</v>
      </c>
      <c r="K433" s="52">
        <v>23000</v>
      </c>
      <c r="L433" s="53"/>
      <c r="M433" s="45"/>
      <c r="N433" s="88"/>
      <c r="O433" s="89" t="s">
        <v>50</v>
      </c>
      <c r="P433" s="89">
        <v>29</v>
      </c>
      <c r="Q433" s="89">
        <v>2</v>
      </c>
      <c r="R433" s="89">
        <f>15-Q433</f>
        <v>13</v>
      </c>
      <c r="S433" s="90"/>
      <c r="T433" s="89" t="s">
        <v>50</v>
      </c>
      <c r="U433" s="91">
        <v>5000</v>
      </c>
      <c r="V433" s="91">
        <v>1000</v>
      </c>
      <c r="W433" s="91">
        <f>V433+U433</f>
        <v>6000</v>
      </c>
      <c r="X433" s="91">
        <v>2000</v>
      </c>
      <c r="Y433" s="91">
        <f>W433-X433</f>
        <v>4000</v>
      </c>
      <c r="Z433" s="87"/>
    </row>
    <row r="434" spans="1:26" s="43" customFormat="1" ht="21" customHeight="1" x14ac:dyDescent="0.25">
      <c r="A434" s="44"/>
      <c r="B434" s="45" t="s">
        <v>0</v>
      </c>
      <c r="C434" s="100" t="s">
        <v>123</v>
      </c>
      <c r="D434" s="45"/>
      <c r="E434" s="45"/>
      <c r="F434" s="45"/>
      <c r="G434" s="45"/>
      <c r="H434" s="56"/>
      <c r="I434" s="50"/>
      <c r="J434" s="45"/>
      <c r="K434" s="45"/>
      <c r="L434" s="57"/>
      <c r="M434" s="182"/>
      <c r="N434" s="92"/>
      <c r="O434" s="89" t="s">
        <v>76</v>
      </c>
      <c r="P434" s="89">
        <v>28</v>
      </c>
      <c r="Q434" s="89">
        <v>1</v>
      </c>
      <c r="R434" s="89">
        <f t="shared" ref="R434:R442" si="89">R433-Q434</f>
        <v>12</v>
      </c>
      <c r="S434" s="93"/>
      <c r="T434" s="89" t="s">
        <v>76</v>
      </c>
      <c r="U434" s="162">
        <f>IF($J$1="January","",Y433)</f>
        <v>4000</v>
      </c>
      <c r="V434" s="91"/>
      <c r="W434" s="162">
        <f>IF(U434="","",U434+V434)</f>
        <v>4000</v>
      </c>
      <c r="X434" s="91">
        <v>2000</v>
      </c>
      <c r="Y434" s="162">
        <f>IF(W434="","",W434-X434)</f>
        <v>2000</v>
      </c>
      <c r="Z434" s="94"/>
    </row>
    <row r="435" spans="1:26" s="43" customFormat="1" ht="21" customHeight="1" x14ac:dyDescent="0.25">
      <c r="A435" s="44"/>
      <c r="B435" s="59" t="s">
        <v>46</v>
      </c>
      <c r="C435" s="100"/>
      <c r="D435" s="45"/>
      <c r="E435" s="45"/>
      <c r="F435" s="366" t="s">
        <v>48</v>
      </c>
      <c r="G435" s="366"/>
      <c r="H435" s="45"/>
      <c r="I435" s="366" t="s">
        <v>49</v>
      </c>
      <c r="J435" s="366"/>
      <c r="K435" s="366"/>
      <c r="L435" s="61"/>
      <c r="M435" s="45"/>
      <c r="N435" s="88"/>
      <c r="O435" s="89" t="s">
        <v>51</v>
      </c>
      <c r="P435" s="89">
        <v>30</v>
      </c>
      <c r="Q435" s="89">
        <v>1</v>
      </c>
      <c r="R435" s="89">
        <f t="shared" si="89"/>
        <v>11</v>
      </c>
      <c r="S435" s="93"/>
      <c r="T435" s="89" t="s">
        <v>51</v>
      </c>
      <c r="U435" s="162">
        <f>IF($J$1="February","",Y434)</f>
        <v>2000</v>
      </c>
      <c r="V435" s="91"/>
      <c r="W435" s="162">
        <f t="shared" ref="W435:W444" si="90">IF(U435="","",U435+V435)</f>
        <v>2000</v>
      </c>
      <c r="X435" s="91">
        <v>1400</v>
      </c>
      <c r="Y435" s="162">
        <f t="shared" ref="Y435:Y444" si="91">IF(W435="","",W435-X435)</f>
        <v>600</v>
      </c>
      <c r="Z435" s="94"/>
    </row>
    <row r="436" spans="1:26" s="43" customFormat="1" ht="21" customHeight="1" x14ac:dyDescent="0.25">
      <c r="A436" s="44"/>
      <c r="B436" s="45"/>
      <c r="C436" s="45"/>
      <c r="D436" s="45"/>
      <c r="E436" s="45"/>
      <c r="F436" s="45"/>
      <c r="G436" s="45"/>
      <c r="H436" s="62"/>
      <c r="L436" s="49"/>
      <c r="M436" s="45"/>
      <c r="N436" s="88"/>
      <c r="O436" s="89" t="s">
        <v>52</v>
      </c>
      <c r="P436" s="89">
        <v>29</v>
      </c>
      <c r="Q436" s="89">
        <v>1</v>
      </c>
      <c r="R436" s="89">
        <f t="shared" si="89"/>
        <v>10</v>
      </c>
      <c r="S436" s="93"/>
      <c r="T436" s="89" t="s">
        <v>52</v>
      </c>
      <c r="U436" s="162">
        <f>IF($J$1="March","",Y435)</f>
        <v>600</v>
      </c>
      <c r="V436" s="91"/>
      <c r="W436" s="162">
        <f t="shared" si="90"/>
        <v>600</v>
      </c>
      <c r="X436" s="91">
        <v>600</v>
      </c>
      <c r="Y436" s="162">
        <f t="shared" si="91"/>
        <v>0</v>
      </c>
      <c r="Z436" s="94"/>
    </row>
    <row r="437" spans="1:26" s="43" customFormat="1" ht="21" customHeight="1" x14ac:dyDescent="0.25">
      <c r="A437" s="44"/>
      <c r="B437" s="367" t="s">
        <v>47</v>
      </c>
      <c r="C437" s="368"/>
      <c r="D437" s="45"/>
      <c r="E437" s="45"/>
      <c r="F437" s="63" t="s">
        <v>69</v>
      </c>
      <c r="G437" s="58">
        <f>IF($J$1="January",U433,IF($J$1="February",U434,IF($J$1="March",U435,IF($J$1="April",U436,IF($J$1="May",U437,IF($J$1="June",U438,IF($J$1="July",U439,IF($J$1="August",U440,IF($J$1="August",U440,IF($J$1="September",U441,IF($J$1="October",U442,IF($J$1="November",U443,IF($J$1="December",U444)))))))))))))</f>
        <v>5000</v>
      </c>
      <c r="H437" s="62"/>
      <c r="I437" s="64">
        <f>IF(C441&gt;0,$K$2,C439)</f>
        <v>31</v>
      </c>
      <c r="J437" s="65" t="s">
        <v>66</v>
      </c>
      <c r="K437" s="66">
        <f>K433/$K$2*I437</f>
        <v>23000</v>
      </c>
      <c r="L437" s="67"/>
      <c r="M437" s="45"/>
      <c r="N437" s="88"/>
      <c r="O437" s="89" t="s">
        <v>53</v>
      </c>
      <c r="P437" s="89">
        <v>30</v>
      </c>
      <c r="Q437" s="89">
        <v>1</v>
      </c>
      <c r="R437" s="89">
        <f t="shared" si="89"/>
        <v>9</v>
      </c>
      <c r="S437" s="93"/>
      <c r="T437" s="89" t="s">
        <v>53</v>
      </c>
      <c r="U437" s="162">
        <f>IF($J$1="April","",Y436)</f>
        <v>0</v>
      </c>
      <c r="V437" s="91"/>
      <c r="W437" s="162">
        <f t="shared" si="90"/>
        <v>0</v>
      </c>
      <c r="X437" s="91"/>
      <c r="Y437" s="162">
        <f t="shared" si="91"/>
        <v>0</v>
      </c>
      <c r="Z437" s="94"/>
    </row>
    <row r="438" spans="1:26" s="43" customFormat="1" ht="21" customHeight="1" x14ac:dyDescent="0.25">
      <c r="A438" s="44"/>
      <c r="B438" s="54"/>
      <c r="C438" s="54"/>
      <c r="D438" s="45"/>
      <c r="E438" s="45"/>
      <c r="F438" s="63" t="s">
        <v>23</v>
      </c>
      <c r="G438" s="58">
        <f>IF($J$1="January",V433,IF($J$1="February",V434,IF($J$1="March",V435,IF($J$1="April",V436,IF($J$1="May",V437,IF($J$1="June",V438,IF($J$1="July",V439,IF($J$1="August",V440,IF($J$1="August",V440,IF($J$1="September",V441,IF($J$1="October",V442,IF($J$1="November",V443,IF($J$1="December",V444)))))))))))))</f>
        <v>0</v>
      </c>
      <c r="H438" s="62"/>
      <c r="I438" s="231">
        <v>54</v>
      </c>
      <c r="J438" s="65" t="s">
        <v>67</v>
      </c>
      <c r="K438" s="68">
        <f>K433/$K$2/8*I438</f>
        <v>5008.0645161290322</v>
      </c>
      <c r="L438" s="69"/>
      <c r="M438" s="45"/>
      <c r="N438" s="88"/>
      <c r="O438" s="89" t="s">
        <v>54</v>
      </c>
      <c r="P438" s="89">
        <v>27</v>
      </c>
      <c r="Q438" s="89">
        <v>3</v>
      </c>
      <c r="R438" s="89">
        <f t="shared" si="89"/>
        <v>6</v>
      </c>
      <c r="S438" s="93"/>
      <c r="T438" s="89" t="s">
        <v>54</v>
      </c>
      <c r="U438" s="162">
        <f>IF($J$1="May","",Y437)</f>
        <v>0</v>
      </c>
      <c r="V438" s="91"/>
      <c r="W438" s="162">
        <f t="shared" si="90"/>
        <v>0</v>
      </c>
      <c r="X438" s="91"/>
      <c r="Y438" s="162">
        <f t="shared" si="91"/>
        <v>0</v>
      </c>
      <c r="Z438" s="94"/>
    </row>
    <row r="439" spans="1:26" s="43" customFormat="1" ht="21" customHeight="1" x14ac:dyDescent="0.25">
      <c r="A439" s="44"/>
      <c r="B439" s="63" t="s">
        <v>7</v>
      </c>
      <c r="C439" s="54">
        <f>IF($J$1="January",P433,IF($J$1="February",P434,IF($J$1="March",P435,IF($J$1="April",P436,IF($J$1="May",P437,IF($J$1="June",P438,IF($J$1="July",P439,IF($J$1="August",P440,IF($J$1="August",P440,IF($J$1="September",P441,IF($J$1="October",P442,IF($J$1="November",P443,IF($J$1="December",P444)))))))))))))</f>
        <v>30</v>
      </c>
      <c r="D439" s="45"/>
      <c r="E439" s="45"/>
      <c r="F439" s="63" t="s">
        <v>70</v>
      </c>
      <c r="G439" s="58">
        <f>IF($J$1="January",W433,IF($J$1="February",W434,IF($J$1="March",W435,IF($J$1="April",W436,IF($J$1="May",W437,IF($J$1="June",W438,IF($J$1="July",W439,IF($J$1="August",W440,IF($J$1="August",W440,IF($J$1="September",W441,IF($J$1="October",W442,IF($J$1="November",W443,IF($J$1="December",W444)))))))))))))</f>
        <v>5000</v>
      </c>
      <c r="H439" s="62"/>
      <c r="I439" s="361" t="s">
        <v>74</v>
      </c>
      <c r="J439" s="362"/>
      <c r="K439" s="68">
        <f>K437+K438</f>
        <v>28008.06451612903</v>
      </c>
      <c r="L439" s="69"/>
      <c r="M439" s="45"/>
      <c r="N439" s="88"/>
      <c r="O439" s="89" t="s">
        <v>55</v>
      </c>
      <c r="P439" s="89">
        <v>29</v>
      </c>
      <c r="Q439" s="89">
        <v>2</v>
      </c>
      <c r="R439" s="89">
        <f t="shared" si="89"/>
        <v>4</v>
      </c>
      <c r="S439" s="93"/>
      <c r="T439" s="89" t="s">
        <v>55</v>
      </c>
      <c r="U439" s="162">
        <f>IF($J$1="June","",Y438)</f>
        <v>0</v>
      </c>
      <c r="V439" s="91">
        <f>10000+10000</f>
        <v>20000</v>
      </c>
      <c r="W439" s="162">
        <f t="shared" si="90"/>
        <v>20000</v>
      </c>
      <c r="X439" s="91">
        <v>13000</v>
      </c>
      <c r="Y439" s="162">
        <f t="shared" si="91"/>
        <v>7000</v>
      </c>
      <c r="Z439" s="94"/>
    </row>
    <row r="440" spans="1:26" s="43" customFormat="1" ht="21" customHeight="1" x14ac:dyDescent="0.25">
      <c r="A440" s="44"/>
      <c r="B440" s="63" t="s">
        <v>6</v>
      </c>
      <c r="C440" s="54">
        <f>IF($J$1="January",Q433,IF($J$1="February",Q434,IF($J$1="March",Q435,IF($J$1="April",Q436,IF($J$1="May",Q437,IF($J$1="June",Q438,IF($J$1="July",Q439,IF($J$1="August",Q440,IF($J$1="August",Q440,IF($J$1="September",Q441,IF($J$1="October",Q442,IF($J$1="November",Q443,IF($J$1="December",Q444)))))))))))))</f>
        <v>1</v>
      </c>
      <c r="D440" s="45"/>
      <c r="E440" s="45"/>
      <c r="F440" s="63" t="s">
        <v>24</v>
      </c>
      <c r="G440" s="58">
        <f>IF($J$1="January",X433,IF($J$1="February",X434,IF($J$1="March",X435,IF($J$1="April",X436,IF($J$1="May",X437,IF($J$1="June",X438,IF($J$1="July",X439,IF($J$1="August",X440,IF($J$1="August",X440,IF($J$1="September",X441,IF($J$1="October",X442,IF($J$1="November",X443,IF($J$1="December",X444)))))))))))))</f>
        <v>2000</v>
      </c>
      <c r="H440" s="62"/>
      <c r="I440" s="361" t="s">
        <v>75</v>
      </c>
      <c r="J440" s="362"/>
      <c r="K440" s="58">
        <f>G440</f>
        <v>2000</v>
      </c>
      <c r="L440" s="70"/>
      <c r="M440" s="45"/>
      <c r="N440" s="88"/>
      <c r="O440" s="89" t="s">
        <v>56</v>
      </c>
      <c r="P440" s="89">
        <v>29</v>
      </c>
      <c r="Q440" s="89">
        <v>2</v>
      </c>
      <c r="R440" s="89">
        <f t="shared" si="89"/>
        <v>2</v>
      </c>
      <c r="S440" s="93"/>
      <c r="T440" s="89" t="s">
        <v>56</v>
      </c>
      <c r="U440" s="162">
        <f>IF($J$1="July","",Y439)</f>
        <v>7000</v>
      </c>
      <c r="V440" s="91">
        <f>1000+1000</f>
        <v>2000</v>
      </c>
      <c r="W440" s="162">
        <f t="shared" si="90"/>
        <v>9000</v>
      </c>
      <c r="X440" s="91">
        <v>2000</v>
      </c>
      <c r="Y440" s="162">
        <f t="shared" si="91"/>
        <v>7000</v>
      </c>
      <c r="Z440" s="94"/>
    </row>
    <row r="441" spans="1:26" s="43" customFormat="1" ht="21" customHeight="1" x14ac:dyDescent="0.25">
      <c r="A441" s="44"/>
      <c r="B441" s="71" t="s">
        <v>73</v>
      </c>
      <c r="C441" s="54">
        <f>IF($J$1="January",R433,IF($J$1="February",R434,IF($J$1="March",R435,IF($J$1="April",R436,IF($J$1="May",R437,IF($J$1="June",R438,IF($J$1="July",R439,IF($J$1="August",R440,IF($J$1="August",R440,IF($J$1="September",R441,IF($J$1="October",R442,IF($J$1="November",R443,IF($J$1="December",R444)))))))))))))</f>
        <v>1</v>
      </c>
      <c r="D441" s="45"/>
      <c r="E441" s="45"/>
      <c r="F441" s="63" t="s">
        <v>72</v>
      </c>
      <c r="G441" s="58">
        <f>IF($J$1="January",Y433,IF($J$1="February",Y434,IF($J$1="March",Y435,IF($J$1="April",Y436,IF($J$1="May",Y437,IF($J$1="June",Y438,IF($J$1="July",Y439,IF($J$1="August",Y440,IF($J$1="August",Y440,IF($J$1="September",Y441,IF($J$1="October",Y442,IF($J$1="November",Y443,IF($J$1="December",Y444)))))))))))))</f>
        <v>3000</v>
      </c>
      <c r="H441" s="45"/>
      <c r="I441" s="363" t="s">
        <v>68</v>
      </c>
      <c r="J441" s="364"/>
      <c r="K441" s="72">
        <f>K439-K440</f>
        <v>26008.06451612903</v>
      </c>
      <c r="L441" s="73"/>
      <c r="M441" s="45"/>
      <c r="N441" s="88"/>
      <c r="O441" s="89" t="s">
        <v>61</v>
      </c>
      <c r="P441" s="89">
        <v>30</v>
      </c>
      <c r="Q441" s="89">
        <v>0</v>
      </c>
      <c r="R441" s="89">
        <f t="shared" si="89"/>
        <v>2</v>
      </c>
      <c r="S441" s="93"/>
      <c r="T441" s="89" t="s">
        <v>61</v>
      </c>
      <c r="U441" s="162">
        <f>IF($J$1="August","",Y440)</f>
        <v>7000</v>
      </c>
      <c r="V441" s="91"/>
      <c r="W441" s="162">
        <f t="shared" si="90"/>
        <v>7000</v>
      </c>
      <c r="X441" s="91">
        <v>2000</v>
      </c>
      <c r="Y441" s="162">
        <f t="shared" si="91"/>
        <v>5000</v>
      </c>
      <c r="Z441" s="94"/>
    </row>
    <row r="442" spans="1:26" s="43" customFormat="1" ht="21" customHeight="1" x14ac:dyDescent="0.25">
      <c r="A442" s="44"/>
      <c r="B442" s="45"/>
      <c r="C442" s="45"/>
      <c r="D442" s="45"/>
      <c r="E442" s="45"/>
      <c r="F442" s="45"/>
      <c r="G442" s="45"/>
      <c r="H442" s="45"/>
      <c r="I442" s="45"/>
      <c r="J442" s="45"/>
      <c r="K442" s="177"/>
      <c r="L442" s="61"/>
      <c r="M442" s="45"/>
      <c r="N442" s="88"/>
      <c r="O442" s="89" t="s">
        <v>57</v>
      </c>
      <c r="P442" s="89">
        <v>30</v>
      </c>
      <c r="Q442" s="89">
        <v>1</v>
      </c>
      <c r="R442" s="89">
        <f t="shared" si="89"/>
        <v>1</v>
      </c>
      <c r="S442" s="93"/>
      <c r="T442" s="89" t="s">
        <v>57</v>
      </c>
      <c r="U442" s="162">
        <f>IF($J$1="September","",Y441)</f>
        <v>5000</v>
      </c>
      <c r="V442" s="91"/>
      <c r="W442" s="162">
        <f t="shared" si="90"/>
        <v>5000</v>
      </c>
      <c r="X442" s="91">
        <v>2000</v>
      </c>
      <c r="Y442" s="162">
        <f t="shared" si="91"/>
        <v>3000</v>
      </c>
      <c r="Z442" s="94"/>
    </row>
    <row r="443" spans="1:26" s="43" customFormat="1" ht="21" customHeight="1" x14ac:dyDescent="0.25">
      <c r="A443" s="44"/>
      <c r="B443" s="365" t="s">
        <v>103</v>
      </c>
      <c r="C443" s="365"/>
      <c r="D443" s="365"/>
      <c r="E443" s="365"/>
      <c r="F443" s="365"/>
      <c r="G443" s="365"/>
      <c r="H443" s="365"/>
      <c r="I443" s="365"/>
      <c r="J443" s="365"/>
      <c r="K443" s="365"/>
      <c r="L443" s="61"/>
      <c r="M443" s="45"/>
      <c r="N443" s="88"/>
      <c r="O443" s="89" t="s">
        <v>62</v>
      </c>
      <c r="P443" s="89"/>
      <c r="Q443" s="89"/>
      <c r="R443" s="89">
        <v>0</v>
      </c>
      <c r="S443" s="93"/>
      <c r="T443" s="89" t="s">
        <v>62</v>
      </c>
      <c r="U443" s="162" t="str">
        <f>IF($J$1="October","",Y442)</f>
        <v/>
      </c>
      <c r="V443" s="91"/>
      <c r="W443" s="162" t="str">
        <f t="shared" si="90"/>
        <v/>
      </c>
      <c r="X443" s="91"/>
      <c r="Y443" s="162" t="str">
        <f t="shared" si="91"/>
        <v/>
      </c>
      <c r="Z443" s="94"/>
    </row>
    <row r="444" spans="1:26" s="43" customFormat="1" ht="21" customHeight="1" x14ac:dyDescent="0.25">
      <c r="A444" s="44"/>
      <c r="B444" s="365"/>
      <c r="C444" s="365"/>
      <c r="D444" s="365"/>
      <c r="E444" s="365"/>
      <c r="F444" s="365"/>
      <c r="G444" s="365"/>
      <c r="H444" s="365"/>
      <c r="I444" s="365"/>
      <c r="J444" s="365"/>
      <c r="K444" s="365"/>
      <c r="L444" s="61"/>
      <c r="M444" s="45"/>
      <c r="N444" s="88"/>
      <c r="O444" s="89" t="s">
        <v>63</v>
      </c>
      <c r="P444" s="89"/>
      <c r="Q444" s="89"/>
      <c r="R444" s="89">
        <v>0</v>
      </c>
      <c r="S444" s="93"/>
      <c r="T444" s="89" t="s">
        <v>63</v>
      </c>
      <c r="U444" s="162" t="str">
        <f>IF($J$1="November","",Y443)</f>
        <v/>
      </c>
      <c r="V444" s="91"/>
      <c r="W444" s="162" t="str">
        <f t="shared" si="90"/>
        <v/>
      </c>
      <c r="X444" s="91"/>
      <c r="Y444" s="162" t="str">
        <f t="shared" si="91"/>
        <v/>
      </c>
      <c r="Z444" s="94"/>
    </row>
    <row r="445" spans="1:26" s="43" customFormat="1" ht="21" customHeight="1" thickBot="1" x14ac:dyDescent="0.3">
      <c r="A445" s="74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6"/>
      <c r="N445" s="95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7"/>
    </row>
    <row r="446" spans="1:26" s="43" customFormat="1" ht="21" customHeight="1" thickBot="1" x14ac:dyDescent="0.3">
      <c r="A446" s="44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61"/>
      <c r="N446" s="88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109"/>
    </row>
    <row r="447" spans="1:26" s="43" customFormat="1" ht="21" customHeight="1" x14ac:dyDescent="0.25">
      <c r="A447" s="383" t="s">
        <v>45</v>
      </c>
      <c r="B447" s="384"/>
      <c r="C447" s="384"/>
      <c r="D447" s="384"/>
      <c r="E447" s="384"/>
      <c r="F447" s="384"/>
      <c r="G447" s="384"/>
      <c r="H447" s="384"/>
      <c r="I447" s="384"/>
      <c r="J447" s="384"/>
      <c r="K447" s="384"/>
      <c r="L447" s="385"/>
      <c r="M447" s="130"/>
      <c r="N447" s="81"/>
      <c r="O447" s="372" t="s">
        <v>47</v>
      </c>
      <c r="P447" s="373"/>
      <c r="Q447" s="373"/>
      <c r="R447" s="374"/>
      <c r="S447" s="82"/>
      <c r="T447" s="372" t="s">
        <v>48</v>
      </c>
      <c r="U447" s="373"/>
      <c r="V447" s="373"/>
      <c r="W447" s="373"/>
      <c r="X447" s="373"/>
      <c r="Y447" s="374"/>
      <c r="Z447" s="83"/>
    </row>
    <row r="448" spans="1:26" s="43" customFormat="1" ht="21" customHeight="1" x14ac:dyDescent="0.25">
      <c r="A448" s="44"/>
      <c r="B448" s="45"/>
      <c r="C448" s="375" t="s">
        <v>101</v>
      </c>
      <c r="D448" s="375"/>
      <c r="E448" s="375"/>
      <c r="F448" s="375"/>
      <c r="G448" s="46" t="str">
        <f>$J$1</f>
        <v>October</v>
      </c>
      <c r="H448" s="376">
        <f>$K$1</f>
        <v>2020</v>
      </c>
      <c r="I448" s="376"/>
      <c r="J448" s="45"/>
      <c r="K448" s="47"/>
      <c r="L448" s="48"/>
      <c r="M448" s="47"/>
      <c r="N448" s="84"/>
      <c r="O448" s="85" t="s">
        <v>58</v>
      </c>
      <c r="P448" s="85" t="s">
        <v>7</v>
      </c>
      <c r="Q448" s="85" t="s">
        <v>6</v>
      </c>
      <c r="R448" s="85" t="s">
        <v>59</v>
      </c>
      <c r="S448" s="86"/>
      <c r="T448" s="85" t="s">
        <v>58</v>
      </c>
      <c r="U448" s="85" t="s">
        <v>60</v>
      </c>
      <c r="V448" s="85" t="s">
        <v>23</v>
      </c>
      <c r="W448" s="85" t="s">
        <v>22</v>
      </c>
      <c r="X448" s="85" t="s">
        <v>24</v>
      </c>
      <c r="Y448" s="85" t="s">
        <v>64</v>
      </c>
      <c r="Z448" s="87"/>
    </row>
    <row r="449" spans="1:26" s="43" customFormat="1" ht="21" customHeight="1" x14ac:dyDescent="0.25">
      <c r="A449" s="44"/>
      <c r="B449" s="45"/>
      <c r="C449" s="45"/>
      <c r="D449" s="50"/>
      <c r="E449" s="50"/>
      <c r="F449" s="50"/>
      <c r="G449" s="50"/>
      <c r="H449" s="50"/>
      <c r="I449" s="45"/>
      <c r="J449" s="51" t="s">
        <v>1</v>
      </c>
      <c r="K449" s="52">
        <v>16000</v>
      </c>
      <c r="L449" s="53"/>
      <c r="M449" s="45"/>
      <c r="N449" s="88"/>
      <c r="O449" s="89" t="s">
        <v>50</v>
      </c>
      <c r="P449" s="89"/>
      <c r="Q449" s="89"/>
      <c r="R449" s="89">
        <v>0</v>
      </c>
      <c r="S449" s="90"/>
      <c r="T449" s="89" t="s">
        <v>50</v>
      </c>
      <c r="U449" s="91"/>
      <c r="V449" s="91"/>
      <c r="W449" s="91">
        <f>V449+U449</f>
        <v>0</v>
      </c>
      <c r="X449" s="91"/>
      <c r="Y449" s="91">
        <f>W449-X449</f>
        <v>0</v>
      </c>
      <c r="Z449" s="87"/>
    </row>
    <row r="450" spans="1:26" s="43" customFormat="1" ht="21" customHeight="1" x14ac:dyDescent="0.25">
      <c r="A450" s="44"/>
      <c r="B450" s="45" t="s">
        <v>0</v>
      </c>
      <c r="C450" s="100" t="s">
        <v>202</v>
      </c>
      <c r="D450" s="45"/>
      <c r="E450" s="45"/>
      <c r="F450" s="45"/>
      <c r="G450" s="45"/>
      <c r="H450" s="56"/>
      <c r="I450" s="50"/>
      <c r="J450" s="45"/>
      <c r="K450" s="45"/>
      <c r="L450" s="57"/>
      <c r="M450" s="130"/>
      <c r="N450" s="92"/>
      <c r="O450" s="89" t="s">
        <v>76</v>
      </c>
      <c r="P450" s="89"/>
      <c r="Q450" s="89"/>
      <c r="R450" s="89">
        <v>0</v>
      </c>
      <c r="S450" s="93"/>
      <c r="T450" s="89" t="s">
        <v>76</v>
      </c>
      <c r="U450" s="162">
        <f>IF($J$1="January","",Y449)</f>
        <v>0</v>
      </c>
      <c r="V450" s="91"/>
      <c r="W450" s="162">
        <f>IF(U450="","",U450+V450)</f>
        <v>0</v>
      </c>
      <c r="X450" s="91"/>
      <c r="Y450" s="162">
        <f>IF(W450="","",W450-X450)</f>
        <v>0</v>
      </c>
      <c r="Z450" s="94"/>
    </row>
    <row r="451" spans="1:26" s="43" customFormat="1" ht="21" customHeight="1" x14ac:dyDescent="0.25">
      <c r="A451" s="44"/>
      <c r="B451" s="59" t="s">
        <v>46</v>
      </c>
      <c r="C451" s="100"/>
      <c r="D451" s="45"/>
      <c r="E451" s="45"/>
      <c r="F451" s="366" t="s">
        <v>48</v>
      </c>
      <c r="G451" s="366"/>
      <c r="H451" s="45"/>
      <c r="I451" s="366" t="s">
        <v>49</v>
      </c>
      <c r="J451" s="366"/>
      <c r="K451" s="366"/>
      <c r="L451" s="61"/>
      <c r="M451" s="45"/>
      <c r="N451" s="88"/>
      <c r="O451" s="89" t="s">
        <v>51</v>
      </c>
      <c r="P451" s="89"/>
      <c r="Q451" s="89"/>
      <c r="R451" s="89">
        <v>0</v>
      </c>
      <c r="S451" s="93"/>
      <c r="T451" s="89" t="s">
        <v>51</v>
      </c>
      <c r="U451" s="162">
        <f>IF($J$1="February","",Y450)</f>
        <v>0</v>
      </c>
      <c r="V451" s="91"/>
      <c r="W451" s="162">
        <f t="shared" ref="W451:W460" si="92">IF(U451="","",U451+V451)</f>
        <v>0</v>
      </c>
      <c r="X451" s="91"/>
      <c r="Y451" s="162">
        <f t="shared" ref="Y451:Y460" si="93">IF(W451="","",W451-X451)</f>
        <v>0</v>
      </c>
      <c r="Z451" s="94"/>
    </row>
    <row r="452" spans="1:26" s="43" customFormat="1" ht="21" customHeight="1" x14ac:dyDescent="0.25">
      <c r="A452" s="44"/>
      <c r="B452" s="45"/>
      <c r="C452" s="45"/>
      <c r="D452" s="45"/>
      <c r="E452" s="45"/>
      <c r="F452" s="45"/>
      <c r="G452" s="45"/>
      <c r="H452" s="62"/>
      <c r="L452" s="49"/>
      <c r="M452" s="45"/>
      <c r="N452" s="88"/>
      <c r="O452" s="89" t="s">
        <v>52</v>
      </c>
      <c r="P452" s="89"/>
      <c r="Q452" s="89"/>
      <c r="R452" s="89">
        <v>0</v>
      </c>
      <c r="S452" s="93"/>
      <c r="T452" s="89" t="s">
        <v>52</v>
      </c>
      <c r="U452" s="162">
        <f>IF($J$1="March","",Y451)</f>
        <v>0</v>
      </c>
      <c r="V452" s="91"/>
      <c r="W452" s="162">
        <f t="shared" si="92"/>
        <v>0</v>
      </c>
      <c r="X452" s="91"/>
      <c r="Y452" s="162">
        <f t="shared" si="93"/>
        <v>0</v>
      </c>
      <c r="Z452" s="94"/>
    </row>
    <row r="453" spans="1:26" s="43" customFormat="1" ht="21" customHeight="1" x14ac:dyDescent="0.25">
      <c r="A453" s="44"/>
      <c r="B453" s="367" t="s">
        <v>47</v>
      </c>
      <c r="C453" s="368"/>
      <c r="D453" s="45"/>
      <c r="E453" s="45"/>
      <c r="F453" s="63" t="s">
        <v>69</v>
      </c>
      <c r="G453" s="58">
        <f>IF($J$1="January",U449,IF($J$1="February",U450,IF($J$1="March",U451,IF($J$1="April",U452,IF($J$1="May",U453,IF($J$1="June",U454,IF($J$1="July",U455,IF($J$1="August",U456,IF($J$1="August",U456,IF($J$1="September",U457,IF($J$1="October",U458,IF($J$1="November",U459,IF($J$1="December",U460)))))))))))))</f>
        <v>0</v>
      </c>
      <c r="H453" s="62"/>
      <c r="I453" s="64">
        <f>IF(C457&gt;0,$K$2,C455)</f>
        <v>26</v>
      </c>
      <c r="J453" s="65" t="s">
        <v>66</v>
      </c>
      <c r="K453" s="66">
        <f>K449/$K$2*I453</f>
        <v>13419.354838709678</v>
      </c>
      <c r="L453" s="67"/>
      <c r="M453" s="45"/>
      <c r="N453" s="88"/>
      <c r="O453" s="89" t="s">
        <v>53</v>
      </c>
      <c r="P453" s="89"/>
      <c r="Q453" s="89"/>
      <c r="R453" s="89">
        <v>0</v>
      </c>
      <c r="S453" s="93"/>
      <c r="T453" s="89" t="s">
        <v>53</v>
      </c>
      <c r="U453" s="162">
        <f>IF($J$1="April","",Y452)</f>
        <v>0</v>
      </c>
      <c r="V453" s="91"/>
      <c r="W453" s="162">
        <f t="shared" si="92"/>
        <v>0</v>
      </c>
      <c r="X453" s="91"/>
      <c r="Y453" s="162">
        <f t="shared" si="93"/>
        <v>0</v>
      </c>
      <c r="Z453" s="94"/>
    </row>
    <row r="454" spans="1:26" s="43" customFormat="1" ht="21" customHeight="1" x14ac:dyDescent="0.25">
      <c r="A454" s="44"/>
      <c r="B454" s="54"/>
      <c r="C454" s="54"/>
      <c r="D454" s="45"/>
      <c r="E454" s="45"/>
      <c r="F454" s="63" t="s">
        <v>23</v>
      </c>
      <c r="G454" s="58">
        <f>IF($J$1="January",V449,IF($J$1="February",V450,IF($J$1="March",V451,IF($J$1="April",V452,IF($J$1="May",V453,IF($J$1="June",V454,IF($J$1="July",V455,IF($J$1="August",V456,IF($J$1="August",V456,IF($J$1="September",V457,IF($J$1="October",V458,IF($J$1="November",V459,IF($J$1="December",V460)))))))))))))</f>
        <v>5200</v>
      </c>
      <c r="H454" s="62"/>
      <c r="I454" s="108">
        <v>37.5</v>
      </c>
      <c r="J454" s="65" t="s">
        <v>67</v>
      </c>
      <c r="K454" s="68">
        <f>K449/$K$2/8*I454</f>
        <v>2419.3548387096776</v>
      </c>
      <c r="L454" s="69"/>
      <c r="M454" s="45"/>
      <c r="N454" s="88"/>
      <c r="O454" s="89" t="s">
        <v>54</v>
      </c>
      <c r="P454" s="89">
        <v>18</v>
      </c>
      <c r="Q454" s="89">
        <v>12</v>
      </c>
      <c r="R454" s="89">
        <f t="shared" ref="R454:R460" si="94">IF(Q454="","",R453-Q454)</f>
        <v>-12</v>
      </c>
      <c r="S454" s="93"/>
      <c r="T454" s="89" t="s">
        <v>54</v>
      </c>
      <c r="U454" s="162">
        <f>IF($J$1="May","",Y453)</f>
        <v>0</v>
      </c>
      <c r="V454" s="91"/>
      <c r="W454" s="162">
        <f t="shared" si="92"/>
        <v>0</v>
      </c>
      <c r="X454" s="91"/>
      <c r="Y454" s="162">
        <f t="shared" si="93"/>
        <v>0</v>
      </c>
      <c r="Z454" s="94"/>
    </row>
    <row r="455" spans="1:26" s="43" customFormat="1" ht="21" customHeight="1" x14ac:dyDescent="0.25">
      <c r="A455" s="44"/>
      <c r="B455" s="63" t="s">
        <v>7</v>
      </c>
      <c r="C455" s="54">
        <f>IF($J$1="January",P449,IF($J$1="February",P450,IF($J$1="March",P451,IF($J$1="April",P452,IF($J$1="May",P453,IF($J$1="June",P454,IF($J$1="July",P455,IF($J$1="August",P456,IF($J$1="August",P456,IF($J$1="September",P457,IF($J$1="October",P458,IF($J$1="November",P459,IF($J$1="December",P460)))))))))))))</f>
        <v>26</v>
      </c>
      <c r="D455" s="45"/>
      <c r="E455" s="45"/>
      <c r="F455" s="63" t="s">
        <v>70</v>
      </c>
      <c r="G455" s="58">
        <f>IF($J$1="January",W449,IF($J$1="February",W450,IF($J$1="March",W451,IF($J$1="April",W452,IF($J$1="May",W453,IF($J$1="June",W454,IF($J$1="July",W455,IF($J$1="August",W456,IF($J$1="August",W456,IF($J$1="September",W457,IF($J$1="October",W458,IF($J$1="November",W459,IF($J$1="December",W460)))))))))))))</f>
        <v>5200</v>
      </c>
      <c r="H455" s="62"/>
      <c r="I455" s="361" t="s">
        <v>74</v>
      </c>
      <c r="J455" s="362"/>
      <c r="K455" s="68">
        <f>K453+K454</f>
        <v>15838.709677419356</v>
      </c>
      <c r="L455" s="69"/>
      <c r="M455" s="45"/>
      <c r="N455" s="88"/>
      <c r="O455" s="89" t="s">
        <v>55</v>
      </c>
      <c r="P455" s="89">
        <v>4</v>
      </c>
      <c r="Q455" s="89"/>
      <c r="R455" s="89"/>
      <c r="S455" s="93"/>
      <c r="T455" s="89" t="s">
        <v>55</v>
      </c>
      <c r="U455" s="162">
        <f>IF($J$1="June","",Y454)</f>
        <v>0</v>
      </c>
      <c r="V455" s="91"/>
      <c r="W455" s="162">
        <f t="shared" si="92"/>
        <v>0</v>
      </c>
      <c r="X455" s="91"/>
      <c r="Y455" s="162">
        <f t="shared" si="93"/>
        <v>0</v>
      </c>
      <c r="Z455" s="94"/>
    </row>
    <row r="456" spans="1:26" s="43" customFormat="1" ht="21" customHeight="1" x14ac:dyDescent="0.25">
      <c r="A456" s="44"/>
      <c r="B456" s="63" t="s">
        <v>6</v>
      </c>
      <c r="C456" s="54">
        <f>IF($J$1="January",Q449,IF($J$1="February",Q450,IF($J$1="March",Q451,IF($J$1="April",Q452,IF($J$1="May",Q453,IF($J$1="June",Q454,IF($J$1="July",Q455,IF($J$1="August",Q456,IF($J$1="August",Q456,IF($J$1="September",Q457,IF($J$1="October",Q458,IF($J$1="November",Q459,IF($J$1="December",Q460)))))))))))))</f>
        <v>5</v>
      </c>
      <c r="D456" s="45"/>
      <c r="E456" s="45"/>
      <c r="F456" s="63" t="s">
        <v>24</v>
      </c>
      <c r="G456" s="58">
        <f>IF($J$1="January",X449,IF($J$1="February",X450,IF($J$1="March",X451,IF($J$1="April",X452,IF($J$1="May",X453,IF($J$1="June",X454,IF($J$1="July",X455,IF($J$1="August",X456,IF($J$1="August",X456,IF($J$1="September",X457,IF($J$1="October",X458,IF($J$1="November",X459,IF($J$1="December",X460)))))))))))))</f>
        <v>5200</v>
      </c>
      <c r="H456" s="62"/>
      <c r="I456" s="361" t="s">
        <v>75</v>
      </c>
      <c r="J456" s="362"/>
      <c r="K456" s="58">
        <f>G456</f>
        <v>5200</v>
      </c>
      <c r="L456" s="70"/>
      <c r="M456" s="45"/>
      <c r="N456" s="88"/>
      <c r="O456" s="89" t="s">
        <v>56</v>
      </c>
      <c r="P456" s="89">
        <v>12</v>
      </c>
      <c r="Q456" s="89">
        <v>0</v>
      </c>
      <c r="R456" s="89">
        <v>0</v>
      </c>
      <c r="S456" s="93"/>
      <c r="T456" s="89" t="s">
        <v>56</v>
      </c>
      <c r="U456" s="162">
        <f>IF($J$1="July","",Y455)</f>
        <v>0</v>
      </c>
      <c r="V456" s="91">
        <v>2000</v>
      </c>
      <c r="W456" s="162">
        <f t="shared" si="92"/>
        <v>2000</v>
      </c>
      <c r="X456" s="91">
        <v>2000</v>
      </c>
      <c r="Y456" s="162">
        <f t="shared" si="93"/>
        <v>0</v>
      </c>
      <c r="Z456" s="94"/>
    </row>
    <row r="457" spans="1:26" s="43" customFormat="1" ht="21" customHeight="1" x14ac:dyDescent="0.25">
      <c r="A457" s="44"/>
      <c r="B457" s="71" t="s">
        <v>73</v>
      </c>
      <c r="C457" s="54">
        <f>IF($J$1="January",R449,IF($J$1="February",R450,IF($J$1="March",R451,IF($J$1="April",R452,IF($J$1="May",R453,IF($J$1="June",R454,IF($J$1="July",R455,IF($J$1="August",R456,IF($J$1="August",R456,IF($J$1="September",R457,IF($J$1="October",R458,IF($J$1="November",R459,IF($J$1="December",R460)))))))))))))</f>
        <v>0</v>
      </c>
      <c r="D457" s="45"/>
      <c r="E457" s="45"/>
      <c r="F457" s="63" t="s">
        <v>72</v>
      </c>
      <c r="G457" s="58">
        <f>IF($J$1="January",Y449,IF($J$1="February",Y450,IF($J$1="March",Y451,IF($J$1="April",Y452,IF($J$1="May",Y453,IF($J$1="June",Y454,IF($J$1="July",Y455,IF($J$1="August",Y456,IF($J$1="August",Y456,IF($J$1="September",Y457,IF($J$1="October",Y458,IF($J$1="November",Y459,IF($J$1="December",Y460)))))))))))))</f>
        <v>0</v>
      </c>
      <c r="H457" s="45"/>
      <c r="I457" s="363" t="s">
        <v>68</v>
      </c>
      <c r="J457" s="364"/>
      <c r="K457" s="72">
        <f>K455-K456</f>
        <v>10638.709677419356</v>
      </c>
      <c r="L457" s="73"/>
      <c r="M457" s="45"/>
      <c r="N457" s="88"/>
      <c r="O457" s="89" t="s">
        <v>61</v>
      </c>
      <c r="P457" s="89">
        <v>26</v>
      </c>
      <c r="Q457" s="89">
        <v>4</v>
      </c>
      <c r="R457" s="89">
        <v>0</v>
      </c>
      <c r="S457" s="93"/>
      <c r="T457" s="89" t="s">
        <v>61</v>
      </c>
      <c r="U457" s="162">
        <f>IF($J$1="August","",Y456)</f>
        <v>0</v>
      </c>
      <c r="V457" s="91">
        <f>1200+1000</f>
        <v>2200</v>
      </c>
      <c r="W457" s="162">
        <f t="shared" si="92"/>
        <v>2200</v>
      </c>
      <c r="X457" s="91">
        <v>2200</v>
      </c>
      <c r="Y457" s="162">
        <f t="shared" si="93"/>
        <v>0</v>
      </c>
      <c r="Z457" s="94"/>
    </row>
    <row r="458" spans="1:26" s="43" customFormat="1" ht="21" customHeight="1" x14ac:dyDescent="0.25">
      <c r="A458" s="44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61"/>
      <c r="M458" s="45"/>
      <c r="N458" s="88"/>
      <c r="O458" s="89" t="s">
        <v>57</v>
      </c>
      <c r="P458" s="89">
        <v>26</v>
      </c>
      <c r="Q458" s="89">
        <v>5</v>
      </c>
      <c r="R458" s="89">
        <v>0</v>
      </c>
      <c r="S458" s="93"/>
      <c r="T458" s="89" t="s">
        <v>57</v>
      </c>
      <c r="U458" s="162">
        <f>IF($J$1="September","",Y457)</f>
        <v>0</v>
      </c>
      <c r="V458" s="91">
        <f>1000+4200</f>
        <v>5200</v>
      </c>
      <c r="W458" s="162">
        <f t="shared" si="92"/>
        <v>5200</v>
      </c>
      <c r="X458" s="91">
        <v>5200</v>
      </c>
      <c r="Y458" s="162">
        <f t="shared" si="93"/>
        <v>0</v>
      </c>
      <c r="Z458" s="94"/>
    </row>
    <row r="459" spans="1:26" s="43" customFormat="1" ht="21" customHeight="1" x14ac:dyDescent="0.25">
      <c r="A459" s="44"/>
      <c r="B459" s="365" t="s">
        <v>103</v>
      </c>
      <c r="C459" s="365"/>
      <c r="D459" s="365"/>
      <c r="E459" s="365"/>
      <c r="F459" s="365"/>
      <c r="G459" s="365"/>
      <c r="H459" s="365"/>
      <c r="I459" s="365"/>
      <c r="J459" s="365"/>
      <c r="K459" s="365"/>
      <c r="L459" s="61"/>
      <c r="M459" s="45"/>
      <c r="N459" s="88"/>
      <c r="O459" s="89" t="s">
        <v>62</v>
      </c>
      <c r="P459" s="89"/>
      <c r="Q459" s="89"/>
      <c r="R459" s="89">
        <v>0</v>
      </c>
      <c r="S459" s="93"/>
      <c r="T459" s="89" t="s">
        <v>62</v>
      </c>
      <c r="U459" s="162" t="str">
        <f>IF($J$1="October","",Y458)</f>
        <v/>
      </c>
      <c r="V459" s="91"/>
      <c r="W459" s="162" t="str">
        <f t="shared" si="92"/>
        <v/>
      </c>
      <c r="X459" s="91"/>
      <c r="Y459" s="162" t="str">
        <f t="shared" si="93"/>
        <v/>
      </c>
      <c r="Z459" s="94"/>
    </row>
    <row r="460" spans="1:26" s="43" customFormat="1" ht="21" customHeight="1" x14ac:dyDescent="0.25">
      <c r="A460" s="44"/>
      <c r="B460" s="365"/>
      <c r="C460" s="365"/>
      <c r="D460" s="365"/>
      <c r="E460" s="365"/>
      <c r="F460" s="365"/>
      <c r="G460" s="365"/>
      <c r="H460" s="365"/>
      <c r="I460" s="365"/>
      <c r="J460" s="365"/>
      <c r="K460" s="365"/>
      <c r="L460" s="61"/>
      <c r="M460" s="45"/>
      <c r="N460" s="88"/>
      <c r="O460" s="89" t="s">
        <v>63</v>
      </c>
      <c r="P460" s="89"/>
      <c r="Q460" s="89"/>
      <c r="R460" s="89" t="str">
        <f t="shared" si="94"/>
        <v/>
      </c>
      <c r="S460" s="93"/>
      <c r="T460" s="89" t="s">
        <v>63</v>
      </c>
      <c r="U460" s="162" t="str">
        <f>IF($J$1="November","",Y459)</f>
        <v/>
      </c>
      <c r="V460" s="91"/>
      <c r="W460" s="162" t="str">
        <f t="shared" si="92"/>
        <v/>
      </c>
      <c r="X460" s="91"/>
      <c r="Y460" s="162" t="str">
        <f t="shared" si="93"/>
        <v/>
      </c>
      <c r="Z460" s="94"/>
    </row>
    <row r="461" spans="1:26" s="43" customFormat="1" ht="21" customHeight="1" thickBot="1" x14ac:dyDescent="0.3">
      <c r="A461" s="74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6"/>
      <c r="N461" s="95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7"/>
    </row>
    <row r="462" spans="1:26" ht="21" customHeight="1" thickBot="1" x14ac:dyDescent="0.35"/>
    <row r="463" spans="1:26" s="43" customFormat="1" ht="21" customHeight="1" x14ac:dyDescent="0.25">
      <c r="A463" s="404" t="s">
        <v>45</v>
      </c>
      <c r="B463" s="405"/>
      <c r="C463" s="405"/>
      <c r="D463" s="405"/>
      <c r="E463" s="405"/>
      <c r="F463" s="405"/>
      <c r="G463" s="405"/>
      <c r="H463" s="405"/>
      <c r="I463" s="405"/>
      <c r="J463" s="405"/>
      <c r="K463" s="405"/>
      <c r="L463" s="406"/>
      <c r="M463" s="101"/>
      <c r="N463" s="81"/>
      <c r="O463" s="372" t="s">
        <v>47</v>
      </c>
      <c r="P463" s="373"/>
      <c r="Q463" s="373"/>
      <c r="R463" s="374"/>
      <c r="S463" s="82"/>
      <c r="T463" s="372" t="s">
        <v>48</v>
      </c>
      <c r="U463" s="373"/>
      <c r="V463" s="373"/>
      <c r="W463" s="373"/>
      <c r="X463" s="373"/>
      <c r="Y463" s="374"/>
      <c r="Z463" s="80"/>
    </row>
    <row r="464" spans="1:26" s="43" customFormat="1" ht="21" customHeight="1" x14ac:dyDescent="0.25">
      <c r="A464" s="44"/>
      <c r="B464" s="45"/>
      <c r="C464" s="375" t="s">
        <v>101</v>
      </c>
      <c r="D464" s="375"/>
      <c r="E464" s="375"/>
      <c r="F464" s="375"/>
      <c r="G464" s="46" t="str">
        <f>$J$1</f>
        <v>October</v>
      </c>
      <c r="H464" s="376">
        <f>$K$1</f>
        <v>2020</v>
      </c>
      <c r="I464" s="376"/>
      <c r="J464" s="45"/>
      <c r="K464" s="47"/>
      <c r="L464" s="48"/>
      <c r="M464" s="47"/>
      <c r="N464" s="84"/>
      <c r="O464" s="85" t="s">
        <v>58</v>
      </c>
      <c r="P464" s="85" t="s">
        <v>7</v>
      </c>
      <c r="Q464" s="85" t="s">
        <v>6</v>
      </c>
      <c r="R464" s="85" t="s">
        <v>59</v>
      </c>
      <c r="S464" s="86"/>
      <c r="T464" s="85" t="s">
        <v>58</v>
      </c>
      <c r="U464" s="85" t="s">
        <v>60</v>
      </c>
      <c r="V464" s="85" t="s">
        <v>23</v>
      </c>
      <c r="W464" s="85" t="s">
        <v>22</v>
      </c>
      <c r="X464" s="85" t="s">
        <v>24</v>
      </c>
      <c r="Y464" s="85" t="s">
        <v>64</v>
      </c>
      <c r="Z464" s="80"/>
    </row>
    <row r="465" spans="1:26" s="43" customFormat="1" ht="21" customHeight="1" x14ac:dyDescent="0.25">
      <c r="A465" s="44"/>
      <c r="B465" s="45"/>
      <c r="C465" s="45"/>
      <c r="D465" s="50"/>
      <c r="E465" s="50"/>
      <c r="F465" s="50"/>
      <c r="G465" s="50"/>
      <c r="H465" s="50"/>
      <c r="I465" s="45"/>
      <c r="J465" s="51" t="s">
        <v>1</v>
      </c>
      <c r="K465" s="52">
        <v>22000</v>
      </c>
      <c r="L465" s="53"/>
      <c r="M465" s="45"/>
      <c r="N465" s="88"/>
      <c r="O465" s="89" t="s">
        <v>50</v>
      </c>
      <c r="P465" s="89"/>
      <c r="Q465" s="89"/>
      <c r="R465" s="89"/>
      <c r="S465" s="90"/>
      <c r="T465" s="89" t="s">
        <v>50</v>
      </c>
      <c r="U465" s="91"/>
      <c r="V465" s="91"/>
      <c r="W465" s="91">
        <f>V465+U465</f>
        <v>0</v>
      </c>
      <c r="X465" s="91"/>
      <c r="Y465" s="91">
        <f>W465-X465</f>
        <v>0</v>
      </c>
      <c r="Z465" s="80"/>
    </row>
    <row r="466" spans="1:26" s="43" customFormat="1" ht="21" customHeight="1" x14ac:dyDescent="0.25">
      <c r="A466" s="44"/>
      <c r="B466" s="45" t="s">
        <v>0</v>
      </c>
      <c r="C466" s="100" t="s">
        <v>197</v>
      </c>
      <c r="D466" s="45"/>
      <c r="E466" s="45"/>
      <c r="F466" s="45"/>
      <c r="G466" s="45"/>
      <c r="H466" s="56"/>
      <c r="I466" s="50"/>
      <c r="J466" s="45"/>
      <c r="K466" s="45"/>
      <c r="L466" s="57"/>
      <c r="M466" s="101"/>
      <c r="N466" s="92"/>
      <c r="O466" s="89" t="s">
        <v>76</v>
      </c>
      <c r="P466" s="89"/>
      <c r="Q466" s="89"/>
      <c r="R466" s="89">
        <v>0</v>
      </c>
      <c r="S466" s="93"/>
      <c r="T466" s="89" t="s">
        <v>76</v>
      </c>
      <c r="U466" s="162">
        <f>Y465</f>
        <v>0</v>
      </c>
      <c r="V466" s="91"/>
      <c r="W466" s="91">
        <f>V466+U466</f>
        <v>0</v>
      </c>
      <c r="X466" s="91"/>
      <c r="Y466" s="162">
        <f>IF(W466="","",W466-X466)</f>
        <v>0</v>
      </c>
      <c r="Z466" s="80"/>
    </row>
    <row r="467" spans="1:26" s="43" customFormat="1" ht="21" customHeight="1" x14ac:dyDescent="0.25">
      <c r="A467" s="44"/>
      <c r="B467" s="59" t="s">
        <v>46</v>
      </c>
      <c r="C467" s="60"/>
      <c r="D467" s="45"/>
      <c r="E467" s="45"/>
      <c r="F467" s="366" t="s">
        <v>48</v>
      </c>
      <c r="G467" s="366"/>
      <c r="H467" s="45"/>
      <c r="I467" s="366" t="s">
        <v>49</v>
      </c>
      <c r="J467" s="366"/>
      <c r="K467" s="366"/>
      <c r="L467" s="61"/>
      <c r="M467" s="45"/>
      <c r="N467" s="88"/>
      <c r="O467" s="89" t="s">
        <v>51</v>
      </c>
      <c r="P467" s="89"/>
      <c r="Q467" s="89"/>
      <c r="R467" s="89">
        <v>0</v>
      </c>
      <c r="S467" s="93"/>
      <c r="T467" s="89" t="s">
        <v>51</v>
      </c>
      <c r="U467" s="162"/>
      <c r="V467" s="91"/>
      <c r="W467" s="91">
        <f>V467+U467</f>
        <v>0</v>
      </c>
      <c r="X467" s="91"/>
      <c r="Y467" s="162">
        <f t="shared" ref="Y467:Y476" si="95">IF(W467="","",W467-X467)</f>
        <v>0</v>
      </c>
      <c r="Z467" s="80"/>
    </row>
    <row r="468" spans="1:26" s="43" customFormat="1" ht="21" customHeight="1" x14ac:dyDescent="0.25">
      <c r="A468" s="44"/>
      <c r="B468" s="45"/>
      <c r="C468" s="45"/>
      <c r="D468" s="45"/>
      <c r="E468" s="45"/>
      <c r="F468" s="45"/>
      <c r="G468" s="45"/>
      <c r="H468" s="62"/>
      <c r="L468" s="49"/>
      <c r="M468" s="45"/>
      <c r="N468" s="88"/>
      <c r="O468" s="89" t="s">
        <v>52</v>
      </c>
      <c r="P468" s="89"/>
      <c r="Q468" s="89"/>
      <c r="R468" s="89">
        <v>0</v>
      </c>
      <c r="S468" s="93"/>
      <c r="T468" s="89" t="s">
        <v>52</v>
      </c>
      <c r="U468" s="162">
        <f t="shared" ref="U468:U471" si="96">Y467</f>
        <v>0</v>
      </c>
      <c r="V468" s="91"/>
      <c r="W468" s="162">
        <f t="shared" ref="W468:W476" si="97">IF(U468="","",U468+V468)</f>
        <v>0</v>
      </c>
      <c r="X468" s="91"/>
      <c r="Y468" s="162">
        <f t="shared" si="95"/>
        <v>0</v>
      </c>
      <c r="Z468" s="80"/>
    </row>
    <row r="469" spans="1:26" s="43" customFormat="1" ht="21" customHeight="1" x14ac:dyDescent="0.25">
      <c r="A469" s="44"/>
      <c r="B469" s="367" t="s">
        <v>47</v>
      </c>
      <c r="C469" s="368"/>
      <c r="D469" s="45"/>
      <c r="E469" s="45"/>
      <c r="F469" s="63" t="s">
        <v>69</v>
      </c>
      <c r="G469" s="58">
        <f>IF($J$1="January",U465,IF($J$1="February",U466,IF($J$1="March",U467,IF($J$1="April",U468,IF($J$1="May",U469,IF($J$1="June",U470,IF($J$1="July",U471,IF($J$1="August",U472,IF($J$1="August",U472,IF($J$1="September",U473,IF($J$1="October",U474,IF($J$1="November",U475,IF($J$1="December",U476)))))))))))))</f>
        <v>0</v>
      </c>
      <c r="H469" s="62"/>
      <c r="I469" s="64">
        <f>IF(C473&gt;0,$K$2,C471)</f>
        <v>31</v>
      </c>
      <c r="J469" s="65" t="s">
        <v>66</v>
      </c>
      <c r="K469" s="66">
        <f>K465/$K$2*I469</f>
        <v>22000</v>
      </c>
      <c r="L469" s="67"/>
      <c r="M469" s="45"/>
      <c r="N469" s="88"/>
      <c r="O469" s="89" t="s">
        <v>53</v>
      </c>
      <c r="P469" s="89"/>
      <c r="Q469" s="89"/>
      <c r="R469" s="89">
        <v>0</v>
      </c>
      <c r="S469" s="93"/>
      <c r="T469" s="89" t="s">
        <v>53</v>
      </c>
      <c r="U469" s="162">
        <f t="shared" si="96"/>
        <v>0</v>
      </c>
      <c r="V469" s="91"/>
      <c r="W469" s="162">
        <f t="shared" si="97"/>
        <v>0</v>
      </c>
      <c r="X469" s="91"/>
      <c r="Y469" s="162">
        <f t="shared" si="95"/>
        <v>0</v>
      </c>
      <c r="Z469" s="80"/>
    </row>
    <row r="470" spans="1:26" s="43" customFormat="1" ht="21" customHeight="1" x14ac:dyDescent="0.25">
      <c r="A470" s="44"/>
      <c r="B470" s="54"/>
      <c r="C470" s="54"/>
      <c r="D470" s="45"/>
      <c r="E470" s="45"/>
      <c r="F470" s="63" t="s">
        <v>23</v>
      </c>
      <c r="G470" s="58">
        <f>IF($J$1="January",V465,IF($J$1="February",V466,IF($J$1="March",V467,IF($J$1="April",V468,IF($J$1="May",V469,IF($J$1="June",V470,IF($J$1="July",V471,IF($J$1="August",V472,IF($J$1="August",V472,IF($J$1="September",V473,IF($J$1="October",V474,IF($J$1="November",V475,IF($J$1="December",V476)))))))))))))</f>
        <v>3000</v>
      </c>
      <c r="H470" s="62"/>
      <c r="I470" s="108">
        <v>10.5</v>
      </c>
      <c r="J470" s="65" t="s">
        <v>67</v>
      </c>
      <c r="K470" s="68">
        <f>K465/$K$2/8*I470</f>
        <v>931.45161290322574</v>
      </c>
      <c r="L470" s="69"/>
      <c r="M470" s="45"/>
      <c r="N470" s="88"/>
      <c r="O470" s="89" t="s">
        <v>54</v>
      </c>
      <c r="P470" s="89">
        <v>19</v>
      </c>
      <c r="Q470" s="89">
        <v>11</v>
      </c>
      <c r="R470" s="89">
        <v>0</v>
      </c>
      <c r="S470" s="93"/>
      <c r="T470" s="89" t="s">
        <v>54</v>
      </c>
      <c r="U470" s="162">
        <f t="shared" si="96"/>
        <v>0</v>
      </c>
      <c r="V470" s="91"/>
      <c r="W470" s="162">
        <f t="shared" si="97"/>
        <v>0</v>
      </c>
      <c r="X470" s="91"/>
      <c r="Y470" s="162">
        <f t="shared" si="95"/>
        <v>0</v>
      </c>
      <c r="Z470" s="80"/>
    </row>
    <row r="471" spans="1:26" s="43" customFormat="1" ht="21" customHeight="1" x14ac:dyDescent="0.25">
      <c r="A471" s="44"/>
      <c r="B471" s="63" t="s">
        <v>7</v>
      </c>
      <c r="C471" s="54">
        <f>IF($J$1="January",P465,IF($J$1="February",P466,IF($J$1="March",P467,IF($J$1="April",P468,IF($J$1="May",P469,IF($J$1="June",P470,IF($J$1="July",P471,IF($J$1="August",P472,IF($J$1="August",P472,IF($J$1="September",P473,IF($J$1="October",P474,IF($J$1="November",P475,IF($J$1="December",P476)))))))))))))</f>
        <v>31</v>
      </c>
      <c r="D471" s="45"/>
      <c r="E471" s="45"/>
      <c r="F471" s="63" t="s">
        <v>70</v>
      </c>
      <c r="G471" s="58">
        <f>IF($J$1="January",W465,IF($J$1="February",W466,IF($J$1="March",W467,IF($J$1="April",W468,IF($J$1="May",W469,IF($J$1="June",W470,IF($J$1="July",W471,IF($J$1="August",W472,IF($J$1="August",W472,IF($J$1="September",W473,IF($J$1="October",W474,IF($J$1="November",W475,IF($J$1="December",W476)))))))))))))</f>
        <v>3000</v>
      </c>
      <c r="H471" s="62"/>
      <c r="I471" s="361" t="s">
        <v>74</v>
      </c>
      <c r="J471" s="362"/>
      <c r="K471" s="68">
        <f>K469+K470</f>
        <v>22931.451612903227</v>
      </c>
      <c r="L471" s="69"/>
      <c r="M471" s="45"/>
      <c r="N471" s="88"/>
      <c r="O471" s="89" t="s">
        <v>55</v>
      </c>
      <c r="P471" s="89">
        <v>31</v>
      </c>
      <c r="Q471" s="89">
        <v>0</v>
      </c>
      <c r="R471" s="89">
        <v>0</v>
      </c>
      <c r="S471" s="93"/>
      <c r="T471" s="89" t="s">
        <v>55</v>
      </c>
      <c r="U471" s="162">
        <f t="shared" si="96"/>
        <v>0</v>
      </c>
      <c r="V471" s="91">
        <f>10000+4000</f>
        <v>14000</v>
      </c>
      <c r="W471" s="162">
        <f t="shared" si="97"/>
        <v>14000</v>
      </c>
      <c r="X471" s="91">
        <v>14000</v>
      </c>
      <c r="Y471" s="162">
        <f t="shared" si="95"/>
        <v>0</v>
      </c>
      <c r="Z471" s="80"/>
    </row>
    <row r="472" spans="1:26" s="43" customFormat="1" ht="21" customHeight="1" x14ac:dyDescent="0.25">
      <c r="A472" s="44"/>
      <c r="B472" s="63" t="s">
        <v>6</v>
      </c>
      <c r="C472" s="54">
        <f>IF($J$1="January",Q465,IF($J$1="February",Q466,IF($J$1="March",Q467,IF($J$1="April",Q468,IF($J$1="May",Q469,IF($J$1="June",Q470,IF($J$1="July",Q471,IF($J$1="August",Q472,IF($J$1="August",Q472,IF($J$1="September",Q473,IF($J$1="October",Q474,IF($J$1="November",Q475,IF($J$1="December",Q476)))))))))))))</f>
        <v>0</v>
      </c>
      <c r="D472" s="45"/>
      <c r="E472" s="45"/>
      <c r="F472" s="63" t="s">
        <v>24</v>
      </c>
      <c r="G472" s="58">
        <f>IF($J$1="January",X465,IF($J$1="February",X466,IF($J$1="March",X467,IF($J$1="April",X468,IF($J$1="May",X469,IF($J$1="June",X470,IF($J$1="July",X471,IF($J$1="August",X472,IF($J$1="August",X472,IF($J$1="September",X473,IF($J$1="October",X474,IF($J$1="November",X475,IF($J$1="December",X476)))))))))))))</f>
        <v>3000</v>
      </c>
      <c r="H472" s="62"/>
      <c r="I472" s="361" t="s">
        <v>75</v>
      </c>
      <c r="J472" s="362"/>
      <c r="K472" s="58">
        <f>G472</f>
        <v>3000</v>
      </c>
      <c r="L472" s="70"/>
      <c r="M472" s="45"/>
      <c r="N472" s="88"/>
      <c r="O472" s="89" t="s">
        <v>56</v>
      </c>
      <c r="P472" s="89">
        <v>30</v>
      </c>
      <c r="Q472" s="89">
        <v>1</v>
      </c>
      <c r="R472" s="89">
        <v>0</v>
      </c>
      <c r="S472" s="93"/>
      <c r="T472" s="89" t="s">
        <v>56</v>
      </c>
      <c r="U472" s="162">
        <f>Y471</f>
        <v>0</v>
      </c>
      <c r="V472" s="91">
        <v>3000</v>
      </c>
      <c r="W472" s="162">
        <f t="shared" si="97"/>
        <v>3000</v>
      </c>
      <c r="X472" s="91">
        <v>3000</v>
      </c>
      <c r="Y472" s="162">
        <f t="shared" si="95"/>
        <v>0</v>
      </c>
      <c r="Z472" s="80"/>
    </row>
    <row r="473" spans="1:26" s="43" customFormat="1" ht="21" customHeight="1" x14ac:dyDescent="0.25">
      <c r="A473" s="44"/>
      <c r="B473" s="71" t="s">
        <v>73</v>
      </c>
      <c r="C473" s="54">
        <f>IF($J$1="January",R465,IF($J$1="February",R466,IF($J$1="March",R467,IF($J$1="April",R468,IF($J$1="May",R469,IF($J$1="June",R470,IF($J$1="July",R471,IF($J$1="August",R472,IF($J$1="August",R472,IF($J$1="September",R473,IF($J$1="October",R474,IF($J$1="November",R475,IF($J$1="December",R476)))))))))))))</f>
        <v>0</v>
      </c>
      <c r="D473" s="45"/>
      <c r="E473" s="45"/>
      <c r="F473" s="63" t="s">
        <v>72</v>
      </c>
      <c r="G473" s="58">
        <f>IF($J$1="January",Y465,IF($J$1="February",Y466,IF($J$1="March",Y467,IF($J$1="April",Y468,IF($J$1="May",Y469,IF($J$1="June",Y470,IF($J$1="July",Y471,IF($J$1="August",Y472,IF($J$1="August",Y472,IF($J$1="September",Y473,IF($J$1="October",Y474,IF($J$1="November",Y475,IF($J$1="December",Y476)))))))))))))</f>
        <v>0</v>
      </c>
      <c r="H473" s="45"/>
      <c r="I473" s="363" t="s">
        <v>68</v>
      </c>
      <c r="J473" s="364"/>
      <c r="K473" s="72">
        <f>K471-K472</f>
        <v>19931.451612903227</v>
      </c>
      <c r="L473" s="73"/>
      <c r="M473" s="45"/>
      <c r="N473" s="88"/>
      <c r="O473" s="89" t="s">
        <v>61</v>
      </c>
      <c r="P473" s="89">
        <v>30</v>
      </c>
      <c r="Q473" s="89">
        <v>0</v>
      </c>
      <c r="R473" s="89">
        <v>0</v>
      </c>
      <c r="S473" s="93"/>
      <c r="T473" s="89" t="s">
        <v>61</v>
      </c>
      <c r="U473" s="162">
        <f>Y472</f>
        <v>0</v>
      </c>
      <c r="V473" s="91">
        <v>5000</v>
      </c>
      <c r="W473" s="162">
        <f t="shared" si="97"/>
        <v>5000</v>
      </c>
      <c r="X473" s="91">
        <v>5000</v>
      </c>
      <c r="Y473" s="162">
        <f t="shared" si="95"/>
        <v>0</v>
      </c>
      <c r="Z473" s="80"/>
    </row>
    <row r="474" spans="1:26" s="43" customFormat="1" ht="21" customHeight="1" x14ac:dyDescent="0.25">
      <c r="A474" s="44"/>
      <c r="B474" s="45"/>
      <c r="C474" s="45"/>
      <c r="D474" s="45"/>
      <c r="E474" s="45"/>
      <c r="F474" s="45"/>
      <c r="G474" s="45"/>
      <c r="H474" s="45"/>
      <c r="I474" s="45"/>
      <c r="J474" s="45"/>
      <c r="K474" s="177"/>
      <c r="L474" s="61"/>
      <c r="M474" s="45"/>
      <c r="N474" s="88"/>
      <c r="O474" s="89" t="s">
        <v>57</v>
      </c>
      <c r="P474" s="89">
        <v>31</v>
      </c>
      <c r="Q474" s="89">
        <v>0</v>
      </c>
      <c r="R474" s="89">
        <v>0</v>
      </c>
      <c r="S474" s="93"/>
      <c r="T474" s="89" t="s">
        <v>57</v>
      </c>
      <c r="U474" s="162">
        <f>Y473</f>
        <v>0</v>
      </c>
      <c r="V474" s="91">
        <v>3000</v>
      </c>
      <c r="W474" s="162">
        <f t="shared" si="97"/>
        <v>3000</v>
      </c>
      <c r="X474" s="91">
        <v>3000</v>
      </c>
      <c r="Y474" s="162">
        <f t="shared" si="95"/>
        <v>0</v>
      </c>
      <c r="Z474" s="80"/>
    </row>
    <row r="475" spans="1:26" s="43" customFormat="1" ht="21" customHeight="1" x14ac:dyDescent="0.25">
      <c r="A475" s="44"/>
      <c r="B475" s="365" t="s">
        <v>103</v>
      </c>
      <c r="C475" s="365"/>
      <c r="D475" s="365"/>
      <c r="E475" s="365"/>
      <c r="F475" s="365"/>
      <c r="G475" s="365"/>
      <c r="H475" s="365"/>
      <c r="I475" s="365"/>
      <c r="J475" s="365"/>
      <c r="K475" s="365"/>
      <c r="L475" s="61"/>
      <c r="M475" s="45"/>
      <c r="N475" s="88"/>
      <c r="O475" s="89" t="s">
        <v>62</v>
      </c>
      <c r="P475" s="89"/>
      <c r="Q475" s="89"/>
      <c r="R475" s="89">
        <v>0</v>
      </c>
      <c r="S475" s="93"/>
      <c r="T475" s="89" t="s">
        <v>62</v>
      </c>
      <c r="U475" s="162"/>
      <c r="V475" s="91"/>
      <c r="W475" s="162" t="str">
        <f t="shared" si="97"/>
        <v/>
      </c>
      <c r="X475" s="91"/>
      <c r="Y475" s="162" t="str">
        <f t="shared" si="95"/>
        <v/>
      </c>
      <c r="Z475" s="80"/>
    </row>
    <row r="476" spans="1:26" s="43" customFormat="1" ht="21" customHeight="1" x14ac:dyDescent="0.25">
      <c r="A476" s="44"/>
      <c r="B476" s="365"/>
      <c r="C476" s="365"/>
      <c r="D476" s="365"/>
      <c r="E476" s="365"/>
      <c r="F476" s="365"/>
      <c r="G476" s="365"/>
      <c r="H476" s="365"/>
      <c r="I476" s="365"/>
      <c r="J476" s="365"/>
      <c r="K476" s="365"/>
      <c r="L476" s="61"/>
      <c r="M476" s="45"/>
      <c r="N476" s="88"/>
      <c r="O476" s="89" t="s">
        <v>63</v>
      </c>
      <c r="P476" s="89"/>
      <c r="Q476" s="89"/>
      <c r="R476" s="89">
        <v>0</v>
      </c>
      <c r="S476" s="93"/>
      <c r="T476" s="89" t="s">
        <v>63</v>
      </c>
      <c r="U476" s="162"/>
      <c r="V476" s="91"/>
      <c r="W476" s="162" t="str">
        <f t="shared" si="97"/>
        <v/>
      </c>
      <c r="X476" s="91"/>
      <c r="Y476" s="162" t="str">
        <f t="shared" si="95"/>
        <v/>
      </c>
      <c r="Z476" s="80"/>
    </row>
    <row r="477" spans="1:26" s="43" customFormat="1" ht="21" customHeight="1" thickBot="1" x14ac:dyDescent="0.3">
      <c r="A477" s="74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6"/>
      <c r="N477" s="95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80"/>
    </row>
    <row r="478" spans="1:26" s="45" customFormat="1" ht="21" customHeight="1" thickBot="1" x14ac:dyDescent="0.3"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 spans="1:26" s="43" customFormat="1" ht="21" customHeight="1" x14ac:dyDescent="0.25">
      <c r="A479" s="383" t="s">
        <v>45</v>
      </c>
      <c r="B479" s="384"/>
      <c r="C479" s="384"/>
      <c r="D479" s="384"/>
      <c r="E479" s="384"/>
      <c r="F479" s="384"/>
      <c r="G479" s="384"/>
      <c r="H479" s="384"/>
      <c r="I479" s="384"/>
      <c r="J479" s="384"/>
      <c r="K479" s="384"/>
      <c r="L479" s="385"/>
      <c r="M479" s="103"/>
      <c r="N479" s="81"/>
      <c r="O479" s="372" t="s">
        <v>47</v>
      </c>
      <c r="P479" s="373"/>
      <c r="Q479" s="373"/>
      <c r="R479" s="374"/>
      <c r="S479" s="82"/>
      <c r="T479" s="372" t="s">
        <v>48</v>
      </c>
      <c r="U479" s="373"/>
      <c r="V479" s="373"/>
      <c r="W479" s="373"/>
      <c r="X479" s="373"/>
      <c r="Y479" s="374"/>
      <c r="Z479" s="83"/>
    </row>
    <row r="480" spans="1:26" s="43" customFormat="1" ht="21" customHeight="1" x14ac:dyDescent="0.25">
      <c r="A480" s="44"/>
      <c r="B480" s="45"/>
      <c r="C480" s="375" t="s">
        <v>101</v>
      </c>
      <c r="D480" s="375"/>
      <c r="E480" s="375"/>
      <c r="F480" s="375"/>
      <c r="G480" s="46" t="str">
        <f>$J$1</f>
        <v>October</v>
      </c>
      <c r="H480" s="376">
        <f>$K$1</f>
        <v>2020</v>
      </c>
      <c r="I480" s="376"/>
      <c r="J480" s="45"/>
      <c r="K480" s="47"/>
      <c r="L480" s="48"/>
      <c r="M480" s="47"/>
      <c r="N480" s="84"/>
      <c r="O480" s="85" t="s">
        <v>58</v>
      </c>
      <c r="P480" s="85" t="s">
        <v>7</v>
      </c>
      <c r="Q480" s="85" t="s">
        <v>6</v>
      </c>
      <c r="R480" s="85" t="s">
        <v>59</v>
      </c>
      <c r="S480" s="86"/>
      <c r="T480" s="85" t="s">
        <v>58</v>
      </c>
      <c r="U480" s="85" t="s">
        <v>60</v>
      </c>
      <c r="V480" s="85" t="s">
        <v>23</v>
      </c>
      <c r="W480" s="85" t="s">
        <v>22</v>
      </c>
      <c r="X480" s="85" t="s">
        <v>24</v>
      </c>
      <c r="Y480" s="85" t="s">
        <v>64</v>
      </c>
      <c r="Z480" s="87"/>
    </row>
    <row r="481" spans="1:27" s="43" customFormat="1" ht="21" customHeight="1" x14ac:dyDescent="0.25">
      <c r="A481" s="44"/>
      <c r="B481" s="45"/>
      <c r="C481" s="45"/>
      <c r="D481" s="50"/>
      <c r="E481" s="50"/>
      <c r="F481" s="50"/>
      <c r="G481" s="50"/>
      <c r="H481" s="50"/>
      <c r="I481" s="45"/>
      <c r="J481" s="51" t="s">
        <v>1</v>
      </c>
      <c r="K481" s="52">
        <v>19000</v>
      </c>
      <c r="L481" s="53"/>
      <c r="M481" s="45"/>
      <c r="N481" s="88"/>
      <c r="O481" s="89" t="s">
        <v>50</v>
      </c>
      <c r="P481" s="89">
        <v>26</v>
      </c>
      <c r="Q481" s="89">
        <v>5</v>
      </c>
      <c r="R481" s="89">
        <f>15-Q481+3</f>
        <v>13</v>
      </c>
      <c r="S481" s="90"/>
      <c r="T481" s="89" t="s">
        <v>50</v>
      </c>
      <c r="U481" s="91">
        <v>13070</v>
      </c>
      <c r="V481" s="91">
        <f>1000+4000+2000</f>
        <v>7000</v>
      </c>
      <c r="W481" s="91">
        <f>V481+U481</f>
        <v>20070</v>
      </c>
      <c r="X481" s="91">
        <v>7000</v>
      </c>
      <c r="Y481" s="91">
        <f>W481-X481</f>
        <v>13070</v>
      </c>
      <c r="Z481" s="87"/>
    </row>
    <row r="482" spans="1:27" s="43" customFormat="1" ht="21" customHeight="1" x14ac:dyDescent="0.25">
      <c r="A482" s="44"/>
      <c r="B482" s="45" t="s">
        <v>0</v>
      </c>
      <c r="C482" s="100" t="s">
        <v>102</v>
      </c>
      <c r="D482" s="45"/>
      <c r="E482" s="45"/>
      <c r="F482" s="45"/>
      <c r="G482" s="45"/>
      <c r="H482" s="56"/>
      <c r="I482" s="50"/>
      <c r="J482" s="45"/>
      <c r="K482" s="45"/>
      <c r="L482" s="57"/>
      <c r="M482" s="103"/>
      <c r="N482" s="92"/>
      <c r="O482" s="89" t="s">
        <v>76</v>
      </c>
      <c r="P482" s="89">
        <v>25</v>
      </c>
      <c r="Q482" s="89">
        <v>4</v>
      </c>
      <c r="R482" s="89">
        <f>R481-Q482</f>
        <v>9</v>
      </c>
      <c r="S482" s="93"/>
      <c r="T482" s="89" t="s">
        <v>76</v>
      </c>
      <c r="U482" s="162">
        <f>IF($J$1="January","",Y481)</f>
        <v>13070</v>
      </c>
      <c r="V482" s="91">
        <v>3000</v>
      </c>
      <c r="W482" s="162">
        <f>IF(U482="","",U482+V482)</f>
        <v>16070</v>
      </c>
      <c r="X482" s="91">
        <v>3000</v>
      </c>
      <c r="Y482" s="162">
        <f>IF(W482="","",W482-X482)</f>
        <v>13070</v>
      </c>
      <c r="Z482" s="94"/>
    </row>
    <row r="483" spans="1:27" s="43" customFormat="1" ht="21" customHeight="1" x14ac:dyDescent="0.25">
      <c r="A483" s="44"/>
      <c r="B483" s="59" t="s">
        <v>46</v>
      </c>
      <c r="C483" s="100"/>
      <c r="D483" s="45"/>
      <c r="E483" s="45"/>
      <c r="F483" s="366" t="s">
        <v>48</v>
      </c>
      <c r="G483" s="366"/>
      <c r="H483" s="45"/>
      <c r="I483" s="366" t="s">
        <v>49</v>
      </c>
      <c r="J483" s="366"/>
      <c r="K483" s="366"/>
      <c r="L483" s="61"/>
      <c r="M483" s="45"/>
      <c r="N483" s="88"/>
      <c r="O483" s="89" t="s">
        <v>51</v>
      </c>
      <c r="P483" s="89">
        <v>26</v>
      </c>
      <c r="Q483" s="89">
        <v>5</v>
      </c>
      <c r="R483" s="89">
        <f>R482-Q483</f>
        <v>4</v>
      </c>
      <c r="S483" s="93"/>
      <c r="T483" s="89" t="s">
        <v>51</v>
      </c>
      <c r="U483" s="162">
        <f>IF($J$1="February","",Y482)</f>
        <v>13070</v>
      </c>
      <c r="V483" s="91"/>
      <c r="W483" s="162">
        <f t="shared" ref="W483:W492" si="98">IF(U483="","",U483+V483)</f>
        <v>13070</v>
      </c>
      <c r="X483" s="91">
        <v>3000</v>
      </c>
      <c r="Y483" s="162">
        <f t="shared" ref="Y483:Y492" si="99">IF(W483="","",W483-X483)</f>
        <v>10070</v>
      </c>
      <c r="Z483" s="94"/>
    </row>
    <row r="484" spans="1:27" s="43" customFormat="1" ht="21" customHeight="1" x14ac:dyDescent="0.25">
      <c r="A484" s="44"/>
      <c r="B484" s="45"/>
      <c r="C484" s="45"/>
      <c r="D484" s="45"/>
      <c r="E484" s="45"/>
      <c r="F484" s="45"/>
      <c r="G484" s="45"/>
      <c r="H484" s="62"/>
      <c r="L484" s="49"/>
      <c r="M484" s="45"/>
      <c r="N484" s="88"/>
      <c r="O484" s="89" t="s">
        <v>52</v>
      </c>
      <c r="P484" s="89">
        <v>30</v>
      </c>
      <c r="Q484" s="89">
        <v>0</v>
      </c>
      <c r="R484" s="89">
        <f>R483-Q484+5</f>
        <v>9</v>
      </c>
      <c r="S484" s="93"/>
      <c r="T484" s="89" t="s">
        <v>52</v>
      </c>
      <c r="U484" s="162">
        <f>IF($J$1="March","",Y483)</f>
        <v>10070</v>
      </c>
      <c r="V484" s="91">
        <v>3000</v>
      </c>
      <c r="W484" s="162">
        <f t="shared" si="98"/>
        <v>13070</v>
      </c>
      <c r="X484" s="91">
        <v>6000</v>
      </c>
      <c r="Y484" s="162">
        <f t="shared" si="99"/>
        <v>7070</v>
      </c>
      <c r="Z484" s="94"/>
    </row>
    <row r="485" spans="1:27" s="43" customFormat="1" ht="21" customHeight="1" x14ac:dyDescent="0.25">
      <c r="A485" s="44"/>
      <c r="B485" s="367" t="s">
        <v>47</v>
      </c>
      <c r="C485" s="368"/>
      <c r="D485" s="45"/>
      <c r="E485" s="45"/>
      <c r="F485" s="63" t="s">
        <v>69</v>
      </c>
      <c r="G485" s="58">
        <f>IF($J$1="January",U481,IF($J$1="February",U482,IF($J$1="March",U483,IF($J$1="April",U484,IF($J$1="May",U485,IF($J$1="June",U486,IF($J$1="July",U487,IF($J$1="August",U488,IF($J$1="August",U488,IF($J$1="September",U489,IF($J$1="October",U490,IF($J$1="November",U491,IF($J$1="December",U492)))))))))))))</f>
        <v>0</v>
      </c>
      <c r="H485" s="62"/>
      <c r="I485" s="64">
        <f>IF(C489&gt;0,$K$2,C487)</f>
        <v>31</v>
      </c>
      <c r="J485" s="65" t="s">
        <v>66</v>
      </c>
      <c r="K485" s="66">
        <f>K481/$K$2*I485</f>
        <v>19000</v>
      </c>
      <c r="L485" s="67"/>
      <c r="M485" s="45"/>
      <c r="N485" s="88"/>
      <c r="O485" s="89" t="s">
        <v>53</v>
      </c>
      <c r="P485" s="89">
        <v>31</v>
      </c>
      <c r="Q485" s="89">
        <v>0</v>
      </c>
      <c r="R485" s="89">
        <v>0</v>
      </c>
      <c r="S485" s="93"/>
      <c r="T485" s="89" t="s">
        <v>53</v>
      </c>
      <c r="U485" s="162">
        <f>IF($J$1="April","",Y484)</f>
        <v>7070</v>
      </c>
      <c r="V485" s="91"/>
      <c r="W485" s="162">
        <f t="shared" si="98"/>
        <v>7070</v>
      </c>
      <c r="X485" s="91">
        <v>5000</v>
      </c>
      <c r="Y485" s="162">
        <f t="shared" si="99"/>
        <v>2070</v>
      </c>
      <c r="Z485" s="94"/>
    </row>
    <row r="486" spans="1:27" s="43" customFormat="1" ht="21" customHeight="1" x14ac:dyDescent="0.25">
      <c r="A486" s="44"/>
      <c r="B486" s="54"/>
      <c r="C486" s="54"/>
      <c r="D486" s="45"/>
      <c r="E486" s="45"/>
      <c r="F486" s="63" t="s">
        <v>23</v>
      </c>
      <c r="G486" s="58">
        <f>IF($J$1="January",V481,IF($J$1="February",V482,IF($J$1="March",V483,IF($J$1="April",V484,IF($J$1="May",V485,IF($J$1="June",V486,IF($J$1="July",V487,IF($J$1="August",V488,IF($J$1="August",V488,IF($J$1="September",V489,IF($J$1="October",V490,IF($J$1="November",V491,IF($J$1="December",V492)))))))))))))</f>
        <v>24000</v>
      </c>
      <c r="H486" s="62"/>
      <c r="I486" s="108">
        <v>52</v>
      </c>
      <c r="J486" s="65" t="s">
        <v>67</v>
      </c>
      <c r="K486" s="68">
        <f>K481/$K$2/8*I486</f>
        <v>3983.8709677419351</v>
      </c>
      <c r="L486" s="69"/>
      <c r="M486" s="45"/>
      <c r="N486" s="88"/>
      <c r="O486" s="89" t="s">
        <v>54</v>
      </c>
      <c r="P486" s="89">
        <v>30</v>
      </c>
      <c r="Q486" s="89">
        <v>0</v>
      </c>
      <c r="R486" s="89">
        <v>0</v>
      </c>
      <c r="S486" s="93"/>
      <c r="T486" s="89" t="s">
        <v>54</v>
      </c>
      <c r="U486" s="162">
        <f>IF($J$1="May","",Y485)</f>
        <v>2070</v>
      </c>
      <c r="V486" s="91">
        <v>4500</v>
      </c>
      <c r="W486" s="162">
        <f t="shared" si="98"/>
        <v>6570</v>
      </c>
      <c r="X486" s="91">
        <v>3500</v>
      </c>
      <c r="Y486" s="162">
        <f t="shared" si="99"/>
        <v>3070</v>
      </c>
      <c r="Z486" s="94"/>
    </row>
    <row r="487" spans="1:27" s="43" customFormat="1" ht="21" customHeight="1" x14ac:dyDescent="0.25">
      <c r="A487" s="44"/>
      <c r="B487" s="63" t="s">
        <v>7</v>
      </c>
      <c r="C487" s="54">
        <f>IF($J$1="January",P481,IF($J$1="February",P482,IF($J$1="March",P483,IF($J$1="April",P484,IF($J$1="May",P485,IF($J$1="June",P486,IF($J$1="July",P487,IF($J$1="August",P488,IF($J$1="August",P488,IF($J$1="September",P489,IF($J$1="October",P490,IF($J$1="November",P491,IF($J$1="December",P492)))))))))))))</f>
        <v>31</v>
      </c>
      <c r="D487" s="45"/>
      <c r="E487" s="45"/>
      <c r="F487" s="63" t="s">
        <v>70</v>
      </c>
      <c r="G487" s="58">
        <f>IF($J$1="January",W481,IF($J$1="February",W482,IF($J$1="March",W483,IF($J$1="April",W484,IF($J$1="May",W485,IF($J$1="June",W486,IF($J$1="July",W487,IF($J$1="August",W488,IF($J$1="August",W488,IF($J$1="September",W489,IF($J$1="October",W490,IF($J$1="November",W491,IF($J$1="December",W492)))))))))))))</f>
        <v>24000</v>
      </c>
      <c r="H487" s="62"/>
      <c r="I487" s="361" t="s">
        <v>74</v>
      </c>
      <c r="J487" s="362"/>
      <c r="K487" s="68">
        <f>K485+K486</f>
        <v>22983.870967741936</v>
      </c>
      <c r="L487" s="69"/>
      <c r="M487" s="45"/>
      <c r="N487" s="88"/>
      <c r="O487" s="89" t="s">
        <v>55</v>
      </c>
      <c r="P487" s="89">
        <v>27</v>
      </c>
      <c r="Q487" s="89">
        <v>4</v>
      </c>
      <c r="R487" s="89">
        <v>0</v>
      </c>
      <c r="S487" s="93"/>
      <c r="T487" s="89" t="s">
        <v>55</v>
      </c>
      <c r="U487" s="162">
        <f>IF($J$1="June","",Y486)</f>
        <v>3070</v>
      </c>
      <c r="V487" s="91">
        <f>15000+10000</f>
        <v>25000</v>
      </c>
      <c r="W487" s="162">
        <f t="shared" si="98"/>
        <v>28070</v>
      </c>
      <c r="X487" s="91">
        <v>21069</v>
      </c>
      <c r="Y487" s="162">
        <f t="shared" si="99"/>
        <v>7001</v>
      </c>
      <c r="Z487" s="94"/>
    </row>
    <row r="488" spans="1:27" s="43" customFormat="1" ht="21" customHeight="1" x14ac:dyDescent="0.25">
      <c r="A488" s="44"/>
      <c r="B488" s="63" t="s">
        <v>6</v>
      </c>
      <c r="C488" s="54">
        <f>IF($J$1="January",Q481,IF($J$1="February",Q482,IF($J$1="March",Q483,IF($J$1="April",Q484,IF($J$1="May",Q485,IF($J$1="June",Q486,IF($J$1="July",Q487,IF($J$1="August",Q488,IF($J$1="August",Q488,IF($J$1="September",Q489,IF($J$1="October",Q490,IF($J$1="November",Q491,IF($J$1="December",Q492)))))))))))))</f>
        <v>0</v>
      </c>
      <c r="D488" s="45"/>
      <c r="E488" s="45"/>
      <c r="F488" s="63" t="s">
        <v>24</v>
      </c>
      <c r="G488" s="58">
        <f>IF($J$1="January",X481,IF($J$1="February",X482,IF($J$1="March",X483,IF($J$1="April",X484,IF($J$1="May",X485,IF($J$1="June",X486,IF($J$1="July",X487,IF($J$1="August",X488,IF($J$1="August",X488,IF($J$1="September",X489,IF($J$1="October",X490,IF($J$1="November",X491,IF($J$1="December",X492)))))))))))))</f>
        <v>12000</v>
      </c>
      <c r="H488" s="62"/>
      <c r="I488" s="361" t="s">
        <v>75</v>
      </c>
      <c r="J488" s="362"/>
      <c r="K488" s="58">
        <f>G488</f>
        <v>12000</v>
      </c>
      <c r="L488" s="70"/>
      <c r="M488" s="45"/>
      <c r="N488" s="88"/>
      <c r="O488" s="89" t="s">
        <v>56</v>
      </c>
      <c r="P488" s="89">
        <v>28</v>
      </c>
      <c r="Q488" s="89">
        <v>3</v>
      </c>
      <c r="R488" s="89">
        <v>0</v>
      </c>
      <c r="S488" s="93"/>
      <c r="T488" s="89" t="s">
        <v>56</v>
      </c>
      <c r="U488" s="162">
        <f>IF($J$1="July","",Y487)</f>
        <v>7001</v>
      </c>
      <c r="V488" s="91">
        <f>7500+3000</f>
        <v>10500</v>
      </c>
      <c r="W488" s="162">
        <f t="shared" si="98"/>
        <v>17501</v>
      </c>
      <c r="X488" s="91">
        <f>10500+1</f>
        <v>10501</v>
      </c>
      <c r="Y488" s="162">
        <f t="shared" si="99"/>
        <v>7000</v>
      </c>
      <c r="Z488" s="94"/>
    </row>
    <row r="489" spans="1:27" s="43" customFormat="1" ht="21" customHeight="1" x14ac:dyDescent="0.25">
      <c r="A489" s="44"/>
      <c r="B489" s="71" t="s">
        <v>73</v>
      </c>
      <c r="C489" s="54">
        <f>IF($J$1="January",R481,IF($J$1="February",R482,IF($J$1="March",R483,IF($J$1="April",R484,IF($J$1="May",R485,IF($J$1="June",R486,IF($J$1="July",R487,IF($J$1="August",R488,IF($J$1="August",R488,IF($J$1="September",R489,IF($J$1="October",R490,IF($J$1="November",R491,IF($J$1="December",R492)))))))))))))</f>
        <v>0</v>
      </c>
      <c r="D489" s="45"/>
      <c r="E489" s="45"/>
      <c r="F489" s="63" t="s">
        <v>72</v>
      </c>
      <c r="G489" s="58">
        <f>IF($J$1="January",Y481,IF($J$1="February",Y482,IF($J$1="March",Y483,IF($J$1="April",Y484,IF($J$1="May",Y485,IF($J$1="June",Y486,IF($J$1="July",Y487,IF($J$1="August",Y488,IF($J$1="August",Y488,IF($J$1="September",Y489,IF($J$1="October",Y490,IF($J$1="November",Y491,IF($J$1="December",Y492)))))))))))))</f>
        <v>12000</v>
      </c>
      <c r="H489" s="45"/>
      <c r="I489" s="363" t="s">
        <v>68</v>
      </c>
      <c r="J489" s="364"/>
      <c r="K489" s="72">
        <f>K487-K488</f>
        <v>10983.870967741936</v>
      </c>
      <c r="L489" s="73"/>
      <c r="M489" s="45"/>
      <c r="N489" s="88"/>
      <c r="O489" s="89" t="s">
        <v>61</v>
      </c>
      <c r="P489" s="89">
        <v>26</v>
      </c>
      <c r="Q489" s="89">
        <v>4</v>
      </c>
      <c r="R489" s="89">
        <v>0</v>
      </c>
      <c r="S489" s="93"/>
      <c r="T489" s="89" t="s">
        <v>61</v>
      </c>
      <c r="U489" s="162">
        <f>IF($J$1="August","",Y488)</f>
        <v>7000</v>
      </c>
      <c r="V489" s="91">
        <f>9500</f>
        <v>9500</v>
      </c>
      <c r="W489" s="162">
        <f t="shared" si="98"/>
        <v>16500</v>
      </c>
      <c r="X489" s="91">
        <v>16500</v>
      </c>
      <c r="Y489" s="162">
        <f t="shared" si="99"/>
        <v>0</v>
      </c>
      <c r="Z489" s="94"/>
    </row>
    <row r="490" spans="1:27" s="43" customFormat="1" ht="21" customHeight="1" x14ac:dyDescent="0.25">
      <c r="A490" s="44"/>
      <c r="B490" s="45"/>
      <c r="C490" s="45"/>
      <c r="D490" s="45"/>
      <c r="E490" s="45"/>
      <c r="F490" s="45"/>
      <c r="G490" s="45"/>
      <c r="H490" s="45"/>
      <c r="I490" s="45"/>
      <c r="J490" s="45"/>
      <c r="K490" s="177"/>
      <c r="L490" s="61"/>
      <c r="M490" s="45"/>
      <c r="N490" s="88"/>
      <c r="O490" s="89" t="s">
        <v>57</v>
      </c>
      <c r="P490" s="89">
        <v>31</v>
      </c>
      <c r="Q490" s="89">
        <v>0</v>
      </c>
      <c r="R490" s="89">
        <v>0</v>
      </c>
      <c r="S490" s="93"/>
      <c r="T490" s="89" t="s">
        <v>57</v>
      </c>
      <c r="U490" s="162">
        <f>Y489</f>
        <v>0</v>
      </c>
      <c r="V490" s="91">
        <f>1000+18500+4500</f>
        <v>24000</v>
      </c>
      <c r="W490" s="162">
        <f t="shared" si="98"/>
        <v>24000</v>
      </c>
      <c r="X490" s="91">
        <v>12000</v>
      </c>
      <c r="Y490" s="162">
        <f t="shared" si="99"/>
        <v>12000</v>
      </c>
      <c r="Z490" s="94"/>
    </row>
    <row r="491" spans="1:27" s="43" customFormat="1" ht="21" customHeight="1" x14ac:dyDescent="0.25">
      <c r="A491" s="44"/>
      <c r="B491" s="365" t="s">
        <v>103</v>
      </c>
      <c r="C491" s="365"/>
      <c r="D491" s="365"/>
      <c r="E491" s="365"/>
      <c r="F491" s="365"/>
      <c r="G491" s="365"/>
      <c r="H491" s="365"/>
      <c r="I491" s="365"/>
      <c r="J491" s="365"/>
      <c r="K491" s="365"/>
      <c r="L491" s="61"/>
      <c r="M491" s="45"/>
      <c r="N491" s="88"/>
      <c r="O491" s="89" t="s">
        <v>62</v>
      </c>
      <c r="P491" s="89"/>
      <c r="Q491" s="89"/>
      <c r="R491" s="89">
        <v>0</v>
      </c>
      <c r="S491" s="93"/>
      <c r="T491" s="89" t="s">
        <v>62</v>
      </c>
      <c r="U491" s="162"/>
      <c r="V491" s="91">
        <v>16</v>
      </c>
      <c r="W491" s="162" t="str">
        <f t="shared" si="98"/>
        <v/>
      </c>
      <c r="X491" s="91"/>
      <c r="Y491" s="162" t="str">
        <f t="shared" si="99"/>
        <v/>
      </c>
      <c r="Z491" s="94"/>
    </row>
    <row r="492" spans="1:27" s="43" customFormat="1" ht="21" customHeight="1" x14ac:dyDescent="0.25">
      <c r="A492" s="44"/>
      <c r="B492" s="365"/>
      <c r="C492" s="365"/>
      <c r="D492" s="365"/>
      <c r="E492" s="365"/>
      <c r="F492" s="365"/>
      <c r="G492" s="365"/>
      <c r="H492" s="365"/>
      <c r="I492" s="365"/>
      <c r="J492" s="365"/>
      <c r="K492" s="365"/>
      <c r="L492" s="61"/>
      <c r="M492" s="45"/>
      <c r="N492" s="88"/>
      <c r="O492" s="89" t="s">
        <v>63</v>
      </c>
      <c r="P492" s="89"/>
      <c r="Q492" s="89"/>
      <c r="R492" s="89">
        <v>0</v>
      </c>
      <c r="S492" s="93"/>
      <c r="T492" s="89" t="s">
        <v>63</v>
      </c>
      <c r="U492" s="162" t="str">
        <f>IF($J$1="November","",Y491)</f>
        <v/>
      </c>
      <c r="V492" s="91"/>
      <c r="W492" s="162" t="str">
        <f t="shared" si="98"/>
        <v/>
      </c>
      <c r="X492" s="91"/>
      <c r="Y492" s="162" t="str">
        <f t="shared" si="99"/>
        <v/>
      </c>
      <c r="Z492" s="94"/>
    </row>
    <row r="493" spans="1:27" s="43" customFormat="1" ht="21" customHeight="1" thickBot="1" x14ac:dyDescent="0.3">
      <c r="A493" s="74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6"/>
      <c r="N493" s="95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7"/>
    </row>
    <row r="494" spans="1:27" s="45" customFormat="1" ht="21" customHeight="1" x14ac:dyDescent="0.25"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 spans="1:27" s="45" customFormat="1" ht="21" customHeight="1" thickBot="1" x14ac:dyDescent="0.3"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 spans="1:27" s="43" customFormat="1" ht="21" customHeight="1" x14ac:dyDescent="0.25">
      <c r="A496" s="383" t="s">
        <v>45</v>
      </c>
      <c r="B496" s="384"/>
      <c r="C496" s="384"/>
      <c r="D496" s="384"/>
      <c r="E496" s="384"/>
      <c r="F496" s="384"/>
      <c r="G496" s="384"/>
      <c r="H496" s="384"/>
      <c r="I496" s="384"/>
      <c r="J496" s="384"/>
      <c r="K496" s="384"/>
      <c r="L496" s="385"/>
      <c r="M496" s="42"/>
      <c r="N496" s="81"/>
      <c r="O496" s="372" t="s">
        <v>47</v>
      </c>
      <c r="P496" s="373"/>
      <c r="Q496" s="373"/>
      <c r="R496" s="374"/>
      <c r="S496" s="82"/>
      <c r="T496" s="372" t="s">
        <v>48</v>
      </c>
      <c r="U496" s="373"/>
      <c r="V496" s="373"/>
      <c r="W496" s="373"/>
      <c r="X496" s="373"/>
      <c r="Y496" s="374"/>
      <c r="Z496" s="83"/>
      <c r="AA496" s="42"/>
    </row>
    <row r="497" spans="1:27" s="43" customFormat="1" ht="21" customHeight="1" x14ac:dyDescent="0.25">
      <c r="A497" s="44"/>
      <c r="B497" s="45"/>
      <c r="C497" s="375" t="s">
        <v>101</v>
      </c>
      <c r="D497" s="375"/>
      <c r="E497" s="375"/>
      <c r="F497" s="375"/>
      <c r="G497" s="46" t="str">
        <f>$J$1</f>
        <v>October</v>
      </c>
      <c r="H497" s="376">
        <f>$K$1</f>
        <v>2020</v>
      </c>
      <c r="I497" s="376"/>
      <c r="J497" s="45"/>
      <c r="K497" s="47"/>
      <c r="L497" s="48"/>
      <c r="M497" s="47"/>
      <c r="N497" s="84"/>
      <c r="O497" s="85" t="s">
        <v>58</v>
      </c>
      <c r="P497" s="85" t="s">
        <v>7</v>
      </c>
      <c r="Q497" s="85" t="s">
        <v>6</v>
      </c>
      <c r="R497" s="85" t="s">
        <v>59</v>
      </c>
      <c r="S497" s="86"/>
      <c r="T497" s="85" t="s">
        <v>58</v>
      </c>
      <c r="U497" s="85" t="s">
        <v>60</v>
      </c>
      <c r="V497" s="85" t="s">
        <v>23</v>
      </c>
      <c r="W497" s="85" t="s">
        <v>22</v>
      </c>
      <c r="X497" s="85" t="s">
        <v>24</v>
      </c>
      <c r="Y497" s="85" t="s">
        <v>64</v>
      </c>
      <c r="Z497" s="87"/>
      <c r="AA497" s="47"/>
    </row>
    <row r="498" spans="1:27" s="43" customFormat="1" ht="21" customHeight="1" x14ac:dyDescent="0.25">
      <c r="A498" s="44"/>
      <c r="B498" s="45"/>
      <c r="C498" s="45"/>
      <c r="D498" s="50"/>
      <c r="E498" s="50"/>
      <c r="F498" s="50"/>
      <c r="G498" s="50"/>
      <c r="H498" s="50"/>
      <c r="I498" s="45"/>
      <c r="J498" s="51" t="s">
        <v>1</v>
      </c>
      <c r="K498" s="52">
        <v>26000</v>
      </c>
      <c r="L498" s="53"/>
      <c r="M498" s="45"/>
      <c r="N498" s="88"/>
      <c r="O498" s="89" t="s">
        <v>50</v>
      </c>
      <c r="P498" s="89">
        <v>31</v>
      </c>
      <c r="Q498" s="89">
        <v>0</v>
      </c>
      <c r="R498" s="89">
        <f>15-Q498</f>
        <v>15</v>
      </c>
      <c r="S498" s="90"/>
      <c r="T498" s="89" t="s">
        <v>50</v>
      </c>
      <c r="U498" s="91"/>
      <c r="V498" s="91"/>
      <c r="W498" s="91">
        <f>V498+U498</f>
        <v>0</v>
      </c>
      <c r="X498" s="91"/>
      <c r="Y498" s="91">
        <f>W498-X498</f>
        <v>0</v>
      </c>
      <c r="Z498" s="87"/>
      <c r="AA498" s="45"/>
    </row>
    <row r="499" spans="1:27" s="43" customFormat="1" ht="21" customHeight="1" x14ac:dyDescent="0.25">
      <c r="A499" s="44"/>
      <c r="B499" s="45" t="s">
        <v>0</v>
      </c>
      <c r="C499" s="55" t="s">
        <v>82</v>
      </c>
      <c r="D499" s="45"/>
      <c r="E499" s="45"/>
      <c r="F499" s="45"/>
      <c r="G499" s="45"/>
      <c r="H499" s="56"/>
      <c r="I499" s="50"/>
      <c r="J499" s="45"/>
      <c r="K499" s="45"/>
      <c r="L499" s="57"/>
      <c r="M499" s="42"/>
      <c r="N499" s="92"/>
      <c r="O499" s="89" t="s">
        <v>76</v>
      </c>
      <c r="P499" s="89">
        <v>28</v>
      </c>
      <c r="Q499" s="89">
        <v>1</v>
      </c>
      <c r="R499" s="89">
        <f>IF(Q499="","",R498-Q499)</f>
        <v>14</v>
      </c>
      <c r="S499" s="93"/>
      <c r="T499" s="89" t="s">
        <v>76</v>
      </c>
      <c r="U499" s="162">
        <f>IF($J$1="January","",Y498)</f>
        <v>0</v>
      </c>
      <c r="V499" s="91">
        <v>160</v>
      </c>
      <c r="W499" s="162">
        <f>IF(U499="","",U499+V499)</f>
        <v>160</v>
      </c>
      <c r="X499" s="91">
        <v>160</v>
      </c>
      <c r="Y499" s="162">
        <f>IF(W499="","",W499-X499)</f>
        <v>0</v>
      </c>
      <c r="Z499" s="94"/>
      <c r="AA499" s="42"/>
    </row>
    <row r="500" spans="1:27" s="43" customFormat="1" ht="21" customHeight="1" x14ac:dyDescent="0.25">
      <c r="A500" s="44"/>
      <c r="B500" s="59" t="s">
        <v>46</v>
      </c>
      <c r="C500" s="60"/>
      <c r="D500" s="45"/>
      <c r="E500" s="45"/>
      <c r="F500" s="366" t="s">
        <v>48</v>
      </c>
      <c r="G500" s="366"/>
      <c r="H500" s="45"/>
      <c r="I500" s="366" t="s">
        <v>49</v>
      </c>
      <c r="J500" s="366"/>
      <c r="K500" s="366"/>
      <c r="L500" s="61"/>
      <c r="M500" s="45"/>
      <c r="N500" s="88"/>
      <c r="O500" s="89" t="s">
        <v>51</v>
      </c>
      <c r="P500" s="89">
        <v>31</v>
      </c>
      <c r="Q500" s="89">
        <v>0</v>
      </c>
      <c r="R500" s="89">
        <f t="shared" ref="R500:R509" si="100">IF(Q500="","",R499-Q500)</f>
        <v>14</v>
      </c>
      <c r="S500" s="93"/>
      <c r="T500" s="89" t="s">
        <v>51</v>
      </c>
      <c r="U500" s="162">
        <f>IF($J$1="February","",Y499)</f>
        <v>0</v>
      </c>
      <c r="V500" s="91"/>
      <c r="W500" s="162">
        <f t="shared" ref="W500:W509" si="101">IF(U500="","",U500+V500)</f>
        <v>0</v>
      </c>
      <c r="X500" s="91"/>
      <c r="Y500" s="162">
        <f t="shared" ref="Y500:Y509" si="102">IF(W500="","",W500-X500)</f>
        <v>0</v>
      </c>
      <c r="Z500" s="94"/>
      <c r="AA500" s="45"/>
    </row>
    <row r="501" spans="1:27" s="43" customFormat="1" ht="21" customHeight="1" x14ac:dyDescent="0.25">
      <c r="A501" s="44"/>
      <c r="B501" s="45"/>
      <c r="C501" s="45"/>
      <c r="D501" s="45"/>
      <c r="E501" s="45"/>
      <c r="F501" s="45"/>
      <c r="G501" s="45"/>
      <c r="H501" s="62"/>
      <c r="L501" s="49"/>
      <c r="M501" s="45"/>
      <c r="N501" s="88"/>
      <c r="O501" s="89" t="s">
        <v>52</v>
      </c>
      <c r="P501" s="89">
        <v>20</v>
      </c>
      <c r="Q501" s="89">
        <v>10</v>
      </c>
      <c r="R501" s="89">
        <f t="shared" si="100"/>
        <v>4</v>
      </c>
      <c r="S501" s="93"/>
      <c r="T501" s="89" t="s">
        <v>52</v>
      </c>
      <c r="U501" s="162">
        <f>IF($J$1="March","",Y500)</f>
        <v>0</v>
      </c>
      <c r="V501" s="91"/>
      <c r="W501" s="162">
        <f t="shared" si="101"/>
        <v>0</v>
      </c>
      <c r="X501" s="91"/>
      <c r="Y501" s="162">
        <f t="shared" si="102"/>
        <v>0</v>
      </c>
      <c r="Z501" s="94"/>
      <c r="AA501" s="45"/>
    </row>
    <row r="502" spans="1:27" s="43" customFormat="1" ht="21" customHeight="1" x14ac:dyDescent="0.25">
      <c r="A502" s="44"/>
      <c r="B502" s="367" t="s">
        <v>47</v>
      </c>
      <c r="C502" s="368"/>
      <c r="D502" s="45"/>
      <c r="E502" s="45"/>
      <c r="F502" s="63" t="s">
        <v>69</v>
      </c>
      <c r="G502" s="179">
        <f>IF($J$1="January",U498,IF($J$1="February",U499,IF($J$1="March",U500,IF($J$1="April",U501,IF($J$1="May",U502,IF($J$1="June",U503,IF($J$1="July",U504,IF($J$1="August",U505,IF($J$1="August",U505,IF($J$1="September",U506,IF($J$1="October",U507,IF($J$1="November",U508,IF($J$1="December",U509)))))))))))))</f>
        <v>0</v>
      </c>
      <c r="H502" s="62"/>
      <c r="I502" s="64">
        <f>IF(C506&gt;0,$K$2,C504)</f>
        <v>29</v>
      </c>
      <c r="J502" s="65" t="s">
        <v>66</v>
      </c>
      <c r="K502" s="66">
        <f>K498/$K$2*I502</f>
        <v>24322.580645161292</v>
      </c>
      <c r="L502" s="67"/>
      <c r="M502" s="45"/>
      <c r="N502" s="88"/>
      <c r="O502" s="89" t="s">
        <v>53</v>
      </c>
      <c r="P502" s="89">
        <v>31</v>
      </c>
      <c r="Q502" s="89">
        <v>0</v>
      </c>
      <c r="R502" s="89">
        <f t="shared" si="100"/>
        <v>4</v>
      </c>
      <c r="S502" s="93"/>
      <c r="T502" s="89" t="s">
        <v>53</v>
      </c>
      <c r="U502" s="162">
        <f>IF($J$1="April","",Y501)</f>
        <v>0</v>
      </c>
      <c r="V502" s="91"/>
      <c r="W502" s="162">
        <f t="shared" si="101"/>
        <v>0</v>
      </c>
      <c r="X502" s="91"/>
      <c r="Y502" s="162">
        <f t="shared" si="102"/>
        <v>0</v>
      </c>
      <c r="Z502" s="94"/>
      <c r="AA502" s="45"/>
    </row>
    <row r="503" spans="1:27" s="43" customFormat="1" ht="21" customHeight="1" x14ac:dyDescent="0.25">
      <c r="A503" s="44"/>
      <c r="B503" s="54"/>
      <c r="C503" s="54"/>
      <c r="D503" s="45"/>
      <c r="E503" s="45"/>
      <c r="F503" s="63" t="s">
        <v>23</v>
      </c>
      <c r="G503" s="179">
        <f>IF($J$1="January",V498,IF($J$1="February",V499,IF($J$1="March",V500,IF($J$1="April",V501,IF($J$1="May",V502,IF($J$1="June",V503,IF($J$1="July",V504,IF($J$1="August",V505,IF($J$1="August",V505,IF($J$1="September",V506,IF($J$1="October",V507,IF($J$1="November",V508,IF($J$1="December",V509)))))))))))))</f>
        <v>0</v>
      </c>
      <c r="H503" s="62"/>
      <c r="I503" s="108">
        <v>18</v>
      </c>
      <c r="J503" s="65" t="s">
        <v>67</v>
      </c>
      <c r="K503" s="68">
        <f>K498/$K$2/8*I503</f>
        <v>1887.0967741935485</v>
      </c>
      <c r="L503" s="69"/>
      <c r="M503" s="45"/>
      <c r="N503" s="88"/>
      <c r="O503" s="89" t="s">
        <v>54</v>
      </c>
      <c r="P503" s="89">
        <v>30</v>
      </c>
      <c r="Q503" s="89">
        <v>0</v>
      </c>
      <c r="R503" s="89">
        <f t="shared" si="100"/>
        <v>4</v>
      </c>
      <c r="S503" s="93"/>
      <c r="T503" s="89" t="s">
        <v>54</v>
      </c>
      <c r="U503" s="162">
        <f>IF($J$1="May","",Y502)</f>
        <v>0</v>
      </c>
      <c r="V503" s="91"/>
      <c r="W503" s="162">
        <f t="shared" si="101"/>
        <v>0</v>
      </c>
      <c r="X503" s="91"/>
      <c r="Y503" s="162">
        <f t="shared" si="102"/>
        <v>0</v>
      </c>
      <c r="Z503" s="94"/>
      <c r="AA503" s="45"/>
    </row>
    <row r="504" spans="1:27" s="43" customFormat="1" ht="21" customHeight="1" x14ac:dyDescent="0.25">
      <c r="A504" s="44"/>
      <c r="B504" s="63" t="s">
        <v>7</v>
      </c>
      <c r="C504" s="54">
        <f>IF($J$1="January",P498,IF($J$1="February",P499,IF($J$1="March",P500,IF($J$1="April",P501,IF($J$1="May",P502,IF($J$1="June",P503,IF($J$1="July",P504,IF($J$1="August",P505,IF($J$1="August",P505,IF($J$1="September",P506,IF($J$1="October",P507,IF($J$1="November",P508,IF($J$1="December",P509)))))))))))))</f>
        <v>29</v>
      </c>
      <c r="D504" s="45"/>
      <c r="E504" s="45"/>
      <c r="F504" s="63" t="s">
        <v>70</v>
      </c>
      <c r="G504" s="179">
        <f>IF($J$1="January",W498,IF($J$1="February",W499,IF($J$1="March",W500,IF($J$1="April",W501,IF($J$1="May",W502,IF($J$1="June",W503,IF($J$1="July",W504,IF($J$1="August",W505,IF($J$1="August",W505,IF($J$1="September",W506,IF($J$1="October",W507,IF($J$1="November",W508,IF($J$1="December",W509)))))))))))))</f>
        <v>0</v>
      </c>
      <c r="H504" s="62"/>
      <c r="I504" s="361" t="s">
        <v>74</v>
      </c>
      <c r="J504" s="362"/>
      <c r="K504" s="68">
        <f>K502+K503</f>
        <v>26209.677419354841</v>
      </c>
      <c r="L504" s="69"/>
      <c r="M504" s="45"/>
      <c r="N504" s="88"/>
      <c r="O504" s="89" t="s">
        <v>55</v>
      </c>
      <c r="P504" s="89">
        <v>31</v>
      </c>
      <c r="Q504" s="89">
        <v>0</v>
      </c>
      <c r="R504" s="89">
        <f t="shared" si="100"/>
        <v>4</v>
      </c>
      <c r="S504" s="93"/>
      <c r="T504" s="89" t="s">
        <v>55</v>
      </c>
      <c r="U504" s="162">
        <f>IF($J$1="June","",Y503)</f>
        <v>0</v>
      </c>
      <c r="V504" s="91"/>
      <c r="W504" s="162">
        <f t="shared" si="101"/>
        <v>0</v>
      </c>
      <c r="X504" s="91"/>
      <c r="Y504" s="162">
        <f t="shared" si="102"/>
        <v>0</v>
      </c>
      <c r="Z504" s="94"/>
      <c r="AA504" s="45"/>
    </row>
    <row r="505" spans="1:27" s="43" customFormat="1" ht="21" customHeight="1" x14ac:dyDescent="0.25">
      <c r="A505" s="44"/>
      <c r="B505" s="63" t="s">
        <v>6</v>
      </c>
      <c r="C505" s="54">
        <f>IF($J$1="January",Q498,IF($J$1="February",Q499,IF($J$1="March",Q500,IF($J$1="April",Q501,IF($J$1="May",Q502,IF($J$1="June",Q503,IF($J$1="July",Q504,IF($J$1="August",Q505,IF($J$1="August",Q505,IF($J$1="September",Q506,IF($J$1="October",Q507,IF($J$1="November",Q508,IF($J$1="December",Q509)))))))))))))</f>
        <v>2</v>
      </c>
      <c r="D505" s="45"/>
      <c r="E505" s="45"/>
      <c r="F505" s="63" t="s">
        <v>24</v>
      </c>
      <c r="G505" s="179">
        <f>IF($J$1="January",X498,IF($J$1="February",X499,IF($J$1="March",X500,IF($J$1="April",X501,IF($J$1="May",X502,IF($J$1="June",X503,IF($J$1="July",X504,IF($J$1="August",X505,IF($J$1="August",X505,IF($J$1="September",X506,IF($J$1="October",X507,IF($J$1="November",X508,IF($J$1="December",X509)))))))))))))</f>
        <v>0</v>
      </c>
      <c r="H505" s="62"/>
      <c r="I505" s="361" t="s">
        <v>75</v>
      </c>
      <c r="J505" s="362"/>
      <c r="K505" s="58">
        <f>G505</f>
        <v>0</v>
      </c>
      <c r="L505" s="70"/>
      <c r="M505" s="45"/>
      <c r="N505" s="88"/>
      <c r="O505" s="89" t="s">
        <v>56</v>
      </c>
      <c r="P505" s="89">
        <v>30</v>
      </c>
      <c r="Q505" s="89">
        <v>1</v>
      </c>
      <c r="R505" s="89">
        <f t="shared" si="100"/>
        <v>3</v>
      </c>
      <c r="S505" s="93"/>
      <c r="T505" s="89" t="s">
        <v>56</v>
      </c>
      <c r="U505" s="162">
        <f>IF($J$1="July","",Y504)</f>
        <v>0</v>
      </c>
      <c r="V505" s="91"/>
      <c r="W505" s="162">
        <f t="shared" si="101"/>
        <v>0</v>
      </c>
      <c r="X505" s="91"/>
      <c r="Y505" s="162">
        <f t="shared" si="102"/>
        <v>0</v>
      </c>
      <c r="Z505" s="94"/>
      <c r="AA505" s="45"/>
    </row>
    <row r="506" spans="1:27" s="43" customFormat="1" ht="21" customHeight="1" x14ac:dyDescent="0.25">
      <c r="A506" s="44"/>
      <c r="B506" s="71" t="s">
        <v>73</v>
      </c>
      <c r="C506" s="54">
        <f>IF($J$1="January",R498,IF($J$1="February",R499,IF($J$1="March",R500,IF($J$1="April",R501,IF($J$1="May",R502,IF($J$1="June",R503,IF($J$1="July",R504,IF($J$1="August",R505,IF($J$1="August",R505,IF($J$1="September",R506,IF($J$1="October",R507,IF($J$1="November",R508,IF($J$1="December",R509)))))))))))))</f>
        <v>0</v>
      </c>
      <c r="D506" s="45"/>
      <c r="E506" s="45"/>
      <c r="F506" s="63" t="s">
        <v>72</v>
      </c>
      <c r="G506" s="179">
        <f>IF($J$1="January",Y498,IF($J$1="February",Y499,IF($J$1="March",Y500,IF($J$1="April",Y501,IF($J$1="May",Y502,IF($J$1="June",Y503,IF($J$1="July",Y504,IF($J$1="August",Y505,IF($J$1="August",Y505,IF($J$1="September",Y506,IF($J$1="October",Y507,IF($J$1="November",Y508,IF($J$1="December",Y509)))))))))))))</f>
        <v>0</v>
      </c>
      <c r="H506" s="45"/>
      <c r="I506" s="363" t="s">
        <v>68</v>
      </c>
      <c r="J506" s="364"/>
      <c r="K506" s="72">
        <f>K504-K505</f>
        <v>26209.677419354841</v>
      </c>
      <c r="L506" s="73"/>
      <c r="M506" s="45"/>
      <c r="N506" s="88"/>
      <c r="O506" s="89" t="s">
        <v>61</v>
      </c>
      <c r="P506" s="89">
        <v>29</v>
      </c>
      <c r="Q506" s="89">
        <v>1</v>
      </c>
      <c r="R506" s="89">
        <f t="shared" si="100"/>
        <v>2</v>
      </c>
      <c r="S506" s="93"/>
      <c r="T506" s="89" t="s">
        <v>61</v>
      </c>
      <c r="U506" s="162">
        <f>IF($J$1="August","",Y505)</f>
        <v>0</v>
      </c>
      <c r="V506" s="91"/>
      <c r="W506" s="162">
        <f t="shared" si="101"/>
        <v>0</v>
      </c>
      <c r="X506" s="91"/>
      <c r="Y506" s="162">
        <f t="shared" si="102"/>
        <v>0</v>
      </c>
      <c r="Z506" s="94"/>
      <c r="AA506" s="45"/>
    </row>
    <row r="507" spans="1:27" s="43" customFormat="1" ht="21" customHeight="1" x14ac:dyDescent="0.25">
      <c r="A507" s="44"/>
      <c r="B507" s="45"/>
      <c r="C507" s="45"/>
      <c r="D507" s="45"/>
      <c r="E507" s="45"/>
      <c r="F507" s="45"/>
      <c r="G507" s="45"/>
      <c r="H507" s="45"/>
      <c r="I507" s="45"/>
      <c r="J507" s="45"/>
      <c r="K507" s="177"/>
      <c r="L507" s="61"/>
      <c r="M507" s="45"/>
      <c r="N507" s="88"/>
      <c r="O507" s="89" t="s">
        <v>57</v>
      </c>
      <c r="P507" s="89">
        <v>29</v>
      </c>
      <c r="Q507" s="89">
        <v>2</v>
      </c>
      <c r="R507" s="89">
        <f t="shared" si="100"/>
        <v>0</v>
      </c>
      <c r="S507" s="93"/>
      <c r="T507" s="89" t="s">
        <v>57</v>
      </c>
      <c r="U507" s="162">
        <f>IF($J$1="September","",Y506)</f>
        <v>0</v>
      </c>
      <c r="V507" s="91"/>
      <c r="W507" s="162">
        <f t="shared" si="101"/>
        <v>0</v>
      </c>
      <c r="X507" s="91"/>
      <c r="Y507" s="162">
        <f t="shared" si="102"/>
        <v>0</v>
      </c>
      <c r="Z507" s="94"/>
      <c r="AA507" s="45"/>
    </row>
    <row r="508" spans="1:27" s="43" customFormat="1" ht="21" customHeight="1" x14ac:dyDescent="0.25">
      <c r="A508" s="44"/>
      <c r="B508" s="365" t="s">
        <v>103</v>
      </c>
      <c r="C508" s="365"/>
      <c r="D508" s="365"/>
      <c r="E508" s="365"/>
      <c r="F508" s="365"/>
      <c r="G508" s="365"/>
      <c r="H508" s="365"/>
      <c r="I508" s="365"/>
      <c r="J508" s="365"/>
      <c r="K508" s="365"/>
      <c r="L508" s="61"/>
      <c r="M508" s="45"/>
      <c r="N508" s="88"/>
      <c r="O508" s="89" t="s">
        <v>62</v>
      </c>
      <c r="P508" s="89"/>
      <c r="Q508" s="89"/>
      <c r="R508" s="89">
        <v>0</v>
      </c>
      <c r="S508" s="93"/>
      <c r="T508" s="89" t="s">
        <v>62</v>
      </c>
      <c r="U508" s="162" t="str">
        <f>IF($J$1="October","",Y507)</f>
        <v/>
      </c>
      <c r="V508" s="91"/>
      <c r="W508" s="162" t="str">
        <f t="shared" si="101"/>
        <v/>
      </c>
      <c r="X508" s="91"/>
      <c r="Y508" s="162" t="str">
        <f t="shared" si="102"/>
        <v/>
      </c>
      <c r="Z508" s="94"/>
      <c r="AA508" s="45"/>
    </row>
    <row r="509" spans="1:27" s="43" customFormat="1" ht="21" customHeight="1" x14ac:dyDescent="0.25">
      <c r="A509" s="44"/>
      <c r="B509" s="365"/>
      <c r="C509" s="365"/>
      <c r="D509" s="365"/>
      <c r="E509" s="365"/>
      <c r="F509" s="365"/>
      <c r="G509" s="365"/>
      <c r="H509" s="365"/>
      <c r="I509" s="365"/>
      <c r="J509" s="365"/>
      <c r="K509" s="365"/>
      <c r="L509" s="61"/>
      <c r="M509" s="45"/>
      <c r="N509" s="88"/>
      <c r="O509" s="89" t="s">
        <v>63</v>
      </c>
      <c r="P509" s="89"/>
      <c r="Q509" s="89"/>
      <c r="R509" s="89" t="str">
        <f t="shared" si="100"/>
        <v/>
      </c>
      <c r="S509" s="93"/>
      <c r="T509" s="89" t="s">
        <v>63</v>
      </c>
      <c r="U509" s="162" t="str">
        <f>IF($J$1="November","",Y508)</f>
        <v/>
      </c>
      <c r="V509" s="91"/>
      <c r="W509" s="162" t="str">
        <f t="shared" si="101"/>
        <v/>
      </c>
      <c r="X509" s="91"/>
      <c r="Y509" s="162" t="str">
        <f t="shared" si="102"/>
        <v/>
      </c>
      <c r="Z509" s="94"/>
      <c r="AA509" s="45"/>
    </row>
    <row r="510" spans="1:27" s="43" customFormat="1" ht="21" customHeight="1" thickBot="1" x14ac:dyDescent="0.3">
      <c r="A510" s="74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6"/>
      <c r="N510" s="95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7"/>
    </row>
    <row r="511" spans="1:27" s="43" customFormat="1" ht="21" customHeight="1" x14ac:dyDescent="0.25">
      <c r="A511" s="383" t="s">
        <v>45</v>
      </c>
      <c r="B511" s="384"/>
      <c r="C511" s="384"/>
      <c r="D511" s="384"/>
      <c r="E511" s="384"/>
      <c r="F511" s="384"/>
      <c r="G511" s="384"/>
      <c r="H511" s="384"/>
      <c r="I511" s="384"/>
      <c r="J511" s="384"/>
      <c r="K511" s="384"/>
      <c r="L511" s="385"/>
      <c r="M511" s="42"/>
      <c r="N511" s="81"/>
      <c r="O511" s="372" t="s">
        <v>47</v>
      </c>
      <c r="P511" s="373"/>
      <c r="Q511" s="373"/>
      <c r="R511" s="374"/>
      <c r="S511" s="82"/>
      <c r="T511" s="372" t="s">
        <v>48</v>
      </c>
      <c r="U511" s="373"/>
      <c r="V511" s="373"/>
      <c r="W511" s="373"/>
      <c r="X511" s="373"/>
      <c r="Y511" s="374"/>
      <c r="Z511" s="83"/>
      <c r="AA511" s="42"/>
    </row>
    <row r="512" spans="1:27" s="43" customFormat="1" ht="21" customHeight="1" x14ac:dyDescent="0.25">
      <c r="A512" s="44"/>
      <c r="B512" s="45"/>
      <c r="C512" s="375" t="s">
        <v>101</v>
      </c>
      <c r="D512" s="375"/>
      <c r="E512" s="375"/>
      <c r="F512" s="375"/>
      <c r="G512" s="46" t="str">
        <f>$J$1</f>
        <v>October</v>
      </c>
      <c r="H512" s="376">
        <f>$K$1</f>
        <v>2020</v>
      </c>
      <c r="I512" s="376"/>
      <c r="J512" s="45"/>
      <c r="K512" s="47"/>
      <c r="L512" s="48"/>
      <c r="M512" s="47"/>
      <c r="N512" s="84"/>
      <c r="O512" s="85" t="s">
        <v>58</v>
      </c>
      <c r="P512" s="85" t="s">
        <v>7</v>
      </c>
      <c r="Q512" s="85" t="s">
        <v>6</v>
      </c>
      <c r="R512" s="85" t="s">
        <v>59</v>
      </c>
      <c r="S512" s="86"/>
      <c r="T512" s="85" t="s">
        <v>58</v>
      </c>
      <c r="U512" s="85" t="s">
        <v>60</v>
      </c>
      <c r="V512" s="85" t="s">
        <v>23</v>
      </c>
      <c r="W512" s="85" t="s">
        <v>22</v>
      </c>
      <c r="X512" s="85" t="s">
        <v>24</v>
      </c>
      <c r="Y512" s="85" t="s">
        <v>64</v>
      </c>
      <c r="Z512" s="87"/>
      <c r="AA512" s="47"/>
    </row>
    <row r="513" spans="1:27" s="43" customFormat="1" ht="21" customHeight="1" x14ac:dyDescent="0.25">
      <c r="A513" s="44"/>
      <c r="B513" s="45"/>
      <c r="C513" s="45"/>
      <c r="D513" s="50"/>
      <c r="E513" s="50"/>
      <c r="F513" s="50"/>
      <c r="G513" s="50"/>
      <c r="H513" s="50"/>
      <c r="I513" s="45"/>
      <c r="J513" s="51" t="s">
        <v>1</v>
      </c>
      <c r="K513" s="52">
        <v>34000</v>
      </c>
      <c r="L513" s="53"/>
      <c r="M513" s="45"/>
      <c r="N513" s="88"/>
      <c r="O513" s="89" t="s">
        <v>50</v>
      </c>
      <c r="P513" s="89">
        <v>30</v>
      </c>
      <c r="Q513" s="89">
        <v>1</v>
      </c>
      <c r="R513" s="89">
        <f>15-Q513</f>
        <v>14</v>
      </c>
      <c r="S513" s="90"/>
      <c r="T513" s="89" t="s">
        <v>50</v>
      </c>
      <c r="U513" s="91"/>
      <c r="V513" s="91">
        <v>15000</v>
      </c>
      <c r="W513" s="91">
        <f>V513+U513</f>
        <v>15000</v>
      </c>
      <c r="X513" s="91">
        <v>15000</v>
      </c>
      <c r="Y513" s="91">
        <f>W513-X513</f>
        <v>0</v>
      </c>
      <c r="Z513" s="87"/>
      <c r="AA513" s="45"/>
    </row>
    <row r="514" spans="1:27" s="43" customFormat="1" ht="21" customHeight="1" x14ac:dyDescent="0.25">
      <c r="A514" s="44"/>
      <c r="B514" s="45" t="s">
        <v>0</v>
      </c>
      <c r="C514" s="55" t="s">
        <v>85</v>
      </c>
      <c r="D514" s="45"/>
      <c r="E514" s="45"/>
      <c r="F514" s="45"/>
      <c r="G514" s="45"/>
      <c r="H514" s="56"/>
      <c r="I514" s="50"/>
      <c r="J514" s="45"/>
      <c r="K514" s="45"/>
      <c r="L514" s="57"/>
      <c r="M514" s="42"/>
      <c r="N514" s="92"/>
      <c r="O514" s="89" t="s">
        <v>76</v>
      </c>
      <c r="P514" s="89">
        <v>29</v>
      </c>
      <c r="Q514" s="89">
        <v>0</v>
      </c>
      <c r="R514" s="89">
        <f>IF(Q514="","",R513-Q514)</f>
        <v>14</v>
      </c>
      <c r="S514" s="93"/>
      <c r="T514" s="89" t="s">
        <v>76</v>
      </c>
      <c r="U514" s="162">
        <f>IF($J$1="January","",Y513)</f>
        <v>0</v>
      </c>
      <c r="V514" s="91">
        <v>15000</v>
      </c>
      <c r="W514" s="162">
        <f>IF(U514="","",U514+V514)</f>
        <v>15000</v>
      </c>
      <c r="X514" s="91"/>
      <c r="Y514" s="162">
        <f>IF(W514="","",W514-X514)</f>
        <v>15000</v>
      </c>
      <c r="Z514" s="94"/>
      <c r="AA514" s="42"/>
    </row>
    <row r="515" spans="1:27" s="43" customFormat="1" ht="21" customHeight="1" x14ac:dyDescent="0.25">
      <c r="A515" s="44"/>
      <c r="B515" s="59" t="s">
        <v>46</v>
      </c>
      <c r="C515" s="60"/>
      <c r="D515" s="45"/>
      <c r="E515" s="45"/>
      <c r="F515" s="366" t="s">
        <v>48</v>
      </c>
      <c r="G515" s="366"/>
      <c r="H515" s="45"/>
      <c r="I515" s="366" t="s">
        <v>49</v>
      </c>
      <c r="J515" s="366"/>
      <c r="K515" s="366"/>
      <c r="L515" s="61"/>
      <c r="M515" s="45"/>
      <c r="N515" s="88"/>
      <c r="O515" s="89" t="s">
        <v>51</v>
      </c>
      <c r="P515" s="89">
        <v>30</v>
      </c>
      <c r="Q515" s="89">
        <v>1</v>
      </c>
      <c r="R515" s="89">
        <f>IF(Q515="","",R514-Q515)</f>
        <v>13</v>
      </c>
      <c r="S515" s="93"/>
      <c r="T515" s="89" t="s">
        <v>51</v>
      </c>
      <c r="U515" s="162">
        <f>IF($J$1="February","",Y514)</f>
        <v>15000</v>
      </c>
      <c r="V515" s="91"/>
      <c r="W515" s="162">
        <f t="shared" ref="W515:W524" si="103">IF(U515="","",U515+V515)</f>
        <v>15000</v>
      </c>
      <c r="X515" s="91"/>
      <c r="Y515" s="162">
        <f t="shared" ref="Y515:Y524" si="104">IF(W515="","",W515-X515)</f>
        <v>15000</v>
      </c>
      <c r="Z515" s="94"/>
      <c r="AA515" s="45"/>
    </row>
    <row r="516" spans="1:27" s="43" customFormat="1" ht="21" customHeight="1" x14ac:dyDescent="0.25">
      <c r="A516" s="44"/>
      <c r="B516" s="45"/>
      <c r="C516" s="45"/>
      <c r="D516" s="45"/>
      <c r="E516" s="45"/>
      <c r="F516" s="45"/>
      <c r="G516" s="45"/>
      <c r="H516" s="62"/>
      <c r="L516" s="49"/>
      <c r="M516" s="45"/>
      <c r="N516" s="88"/>
      <c r="O516" s="89" t="s">
        <v>52</v>
      </c>
      <c r="P516" s="89">
        <v>28</v>
      </c>
      <c r="Q516" s="89">
        <v>2</v>
      </c>
      <c r="R516" s="89">
        <f t="shared" ref="R516:R522" si="105">IF(Q516="","",R515-Q516)</f>
        <v>11</v>
      </c>
      <c r="S516" s="93"/>
      <c r="T516" s="89" t="s">
        <v>52</v>
      </c>
      <c r="U516" s="162">
        <f>IF($J$1="March","",Y515)</f>
        <v>15000</v>
      </c>
      <c r="V516" s="91">
        <v>10000</v>
      </c>
      <c r="W516" s="162">
        <f t="shared" si="103"/>
        <v>25000</v>
      </c>
      <c r="X516" s="91">
        <v>10000</v>
      </c>
      <c r="Y516" s="162">
        <f t="shared" si="104"/>
        <v>15000</v>
      </c>
      <c r="Z516" s="94"/>
      <c r="AA516" s="45"/>
    </row>
    <row r="517" spans="1:27" s="43" customFormat="1" ht="21" customHeight="1" x14ac:dyDescent="0.25">
      <c r="A517" s="44"/>
      <c r="B517" s="367" t="s">
        <v>47</v>
      </c>
      <c r="C517" s="368"/>
      <c r="D517" s="45"/>
      <c r="E517" s="45"/>
      <c r="F517" s="63" t="s">
        <v>69</v>
      </c>
      <c r="G517" s="58">
        <f>IF($J$1="January",U513,IF($J$1="February",U514,IF($J$1="March",U515,IF($J$1="April",U516,IF($J$1="May",U517,IF($J$1="June",U518,IF($J$1="July",U519,IF($J$1="August",U520,IF($J$1="August",U520,IF($J$1="September",U521,IF($J$1="October",U522,IF($J$1="November",U523,IF($J$1="December",U524)))))))))))))</f>
        <v>10000</v>
      </c>
      <c r="H517" s="62"/>
      <c r="I517" s="64">
        <f>IF(C521&gt;0,$K$2,C519)</f>
        <v>31</v>
      </c>
      <c r="J517" s="65" t="s">
        <v>66</v>
      </c>
      <c r="K517" s="66">
        <f>K513/$K$2*I517</f>
        <v>34000</v>
      </c>
      <c r="L517" s="67"/>
      <c r="M517" s="45"/>
      <c r="N517" s="88"/>
      <c r="O517" s="89" t="s">
        <v>53</v>
      </c>
      <c r="P517" s="89">
        <v>31</v>
      </c>
      <c r="Q517" s="89">
        <v>0</v>
      </c>
      <c r="R517" s="89">
        <f t="shared" si="105"/>
        <v>11</v>
      </c>
      <c r="S517" s="93"/>
      <c r="T517" s="89" t="s">
        <v>53</v>
      </c>
      <c r="U517" s="162">
        <f>IF($J$1="April","",Y516)</f>
        <v>15000</v>
      </c>
      <c r="V517" s="91">
        <v>10000</v>
      </c>
      <c r="W517" s="162">
        <f t="shared" si="103"/>
        <v>25000</v>
      </c>
      <c r="X517" s="91">
        <v>10000</v>
      </c>
      <c r="Y517" s="162">
        <f t="shared" si="104"/>
        <v>15000</v>
      </c>
      <c r="Z517" s="94"/>
      <c r="AA517" s="45"/>
    </row>
    <row r="518" spans="1:27" s="43" customFormat="1" ht="21" customHeight="1" x14ac:dyDescent="0.25">
      <c r="A518" s="44"/>
      <c r="B518" s="54"/>
      <c r="C518" s="54"/>
      <c r="D518" s="45"/>
      <c r="E518" s="45"/>
      <c r="F518" s="63" t="s">
        <v>23</v>
      </c>
      <c r="G518" s="58">
        <f>IF($J$1="January",V513,IF($J$1="February",V514,IF($J$1="March",V515,IF($J$1="April",V516,IF($J$1="May",V517,IF($J$1="June",V518,IF($J$1="July",V519,IF($J$1="August",V520,IF($J$1="August",V520,IF($J$1="September",V521,IF($J$1="October",V522,IF($J$1="November",V523,IF($J$1="December",V524)))))))))))))</f>
        <v>5000</v>
      </c>
      <c r="H518" s="62"/>
      <c r="I518" s="108">
        <v>77</v>
      </c>
      <c r="J518" s="65" t="s">
        <v>67</v>
      </c>
      <c r="K518" s="68">
        <f>K513/$K$2/8*I518</f>
        <v>10556.451612903225</v>
      </c>
      <c r="L518" s="69"/>
      <c r="M518" s="45"/>
      <c r="N518" s="88"/>
      <c r="O518" s="89" t="s">
        <v>54</v>
      </c>
      <c r="P518" s="89">
        <v>27</v>
      </c>
      <c r="Q518" s="89">
        <v>3</v>
      </c>
      <c r="R518" s="89">
        <f t="shared" si="105"/>
        <v>8</v>
      </c>
      <c r="S518" s="93"/>
      <c r="T518" s="89" t="s">
        <v>54</v>
      </c>
      <c r="U518" s="162">
        <f>IF($J$1="May","",Y517)</f>
        <v>15000</v>
      </c>
      <c r="V518" s="91">
        <v>5000</v>
      </c>
      <c r="W518" s="162">
        <f t="shared" si="103"/>
        <v>20000</v>
      </c>
      <c r="X518" s="91">
        <v>10000</v>
      </c>
      <c r="Y518" s="162">
        <f t="shared" si="104"/>
        <v>10000</v>
      </c>
      <c r="Z518" s="94"/>
      <c r="AA518" s="45"/>
    </row>
    <row r="519" spans="1:27" s="43" customFormat="1" ht="21" customHeight="1" x14ac:dyDescent="0.25">
      <c r="A519" s="44"/>
      <c r="B519" s="63" t="s">
        <v>7</v>
      </c>
      <c r="C519" s="54">
        <f>IF($J$1="January",P513,IF($J$1="February",P514,IF($J$1="March",P515,IF($J$1="April",P516,IF($J$1="May",P517,IF($J$1="June",P518,IF($J$1="July",P519,IF($J$1="August",P520,IF($J$1="August",P520,IF($J$1="September",P521,IF($J$1="October",P522,IF($J$1="November",P523,IF($J$1="December",P524)))))))))))))</f>
        <v>31</v>
      </c>
      <c r="D519" s="45"/>
      <c r="E519" s="45"/>
      <c r="F519" s="63" t="s">
        <v>70</v>
      </c>
      <c r="G519" s="58">
        <f>IF($J$1="January",W513,IF($J$1="February",W514,IF($J$1="March",W515,IF($J$1="April",W516,IF($J$1="May",W517,IF($J$1="June",W518,IF($J$1="July",W519,IF($J$1="August",W520,IF($J$1="August",W520,IF($J$1="September",W521,IF($J$1="October",W522,IF($J$1="November",W523,IF($J$1="December",W524)))))))))))))</f>
        <v>15000</v>
      </c>
      <c r="H519" s="62"/>
      <c r="I519" s="361" t="s">
        <v>74</v>
      </c>
      <c r="J519" s="362"/>
      <c r="K519" s="68">
        <f>K517+K518</f>
        <v>44556.451612903227</v>
      </c>
      <c r="L519" s="69"/>
      <c r="M519" s="45"/>
      <c r="N519" s="88"/>
      <c r="O519" s="89" t="s">
        <v>55</v>
      </c>
      <c r="P519" s="89">
        <v>31</v>
      </c>
      <c r="Q519" s="89">
        <v>0</v>
      </c>
      <c r="R519" s="89">
        <f t="shared" si="105"/>
        <v>8</v>
      </c>
      <c r="S519" s="93"/>
      <c r="T519" s="89" t="s">
        <v>55</v>
      </c>
      <c r="U519" s="162">
        <f>IF($J$1="June","",Y518)</f>
        <v>10000</v>
      </c>
      <c r="V519" s="91">
        <v>10000</v>
      </c>
      <c r="W519" s="162">
        <f t="shared" si="103"/>
        <v>20000</v>
      </c>
      <c r="X519" s="91">
        <v>10000</v>
      </c>
      <c r="Y519" s="162">
        <f t="shared" si="104"/>
        <v>10000</v>
      </c>
      <c r="Z519" s="94"/>
      <c r="AA519" s="45"/>
    </row>
    <row r="520" spans="1:27" s="43" customFormat="1" ht="21" customHeight="1" x14ac:dyDescent="0.25">
      <c r="A520" s="44"/>
      <c r="B520" s="63" t="s">
        <v>6</v>
      </c>
      <c r="C520" s="54">
        <f>IF($J$1="January",Q513,IF($J$1="February",Q514,IF($J$1="March",Q515,IF($J$1="April",Q516,IF($J$1="May",Q517,IF($J$1="June",Q518,IF($J$1="July",Q519,IF($J$1="August",Q520,IF($J$1="August",Q520,IF($J$1="September",Q521,IF($J$1="October",Q522,IF($J$1="November",Q523,IF($J$1="December",Q524)))))))))))))</f>
        <v>0</v>
      </c>
      <c r="D520" s="45"/>
      <c r="E520" s="45"/>
      <c r="F520" s="63" t="s">
        <v>24</v>
      </c>
      <c r="G520" s="58">
        <f>IF($J$1="January",X513,IF($J$1="February",X514,IF($J$1="March",X515,IF($J$1="April",X516,IF($J$1="May",X517,IF($J$1="June",X518,IF($J$1="July",X519,IF($J$1="August",X520,IF($J$1="August",X520,IF($J$1="September",X521,IF($J$1="October",X522,IF($J$1="November",X523,IF($J$1="December",X524)))))))))))))</f>
        <v>5000</v>
      </c>
      <c r="H520" s="62"/>
      <c r="I520" s="361" t="s">
        <v>75</v>
      </c>
      <c r="J520" s="362"/>
      <c r="K520" s="58">
        <f>G520</f>
        <v>5000</v>
      </c>
      <c r="L520" s="70"/>
      <c r="M520" s="45"/>
      <c r="N520" s="88"/>
      <c r="O520" s="89" t="s">
        <v>56</v>
      </c>
      <c r="P520" s="89">
        <v>28</v>
      </c>
      <c r="Q520" s="89">
        <v>3</v>
      </c>
      <c r="R520" s="89">
        <f t="shared" si="105"/>
        <v>5</v>
      </c>
      <c r="S520" s="93"/>
      <c r="T520" s="89" t="s">
        <v>56</v>
      </c>
      <c r="U520" s="162">
        <f>IF($J$1="July","",Y519)</f>
        <v>10000</v>
      </c>
      <c r="V520" s="91"/>
      <c r="W520" s="162">
        <f t="shared" si="103"/>
        <v>10000</v>
      </c>
      <c r="X520" s="91"/>
      <c r="Y520" s="162">
        <f t="shared" si="104"/>
        <v>10000</v>
      </c>
      <c r="Z520" s="94"/>
      <c r="AA520" s="45"/>
    </row>
    <row r="521" spans="1:27" s="43" customFormat="1" ht="21" customHeight="1" x14ac:dyDescent="0.25">
      <c r="A521" s="44"/>
      <c r="B521" s="71" t="s">
        <v>73</v>
      </c>
      <c r="C521" s="54">
        <f>IF($J$1="January",R513,IF($J$1="February",R514,IF($J$1="March",R515,IF($J$1="April",R516,IF($J$1="May",R517,IF($J$1="June",R518,IF($J$1="July",R519,IF($J$1="August",R520,IF($J$1="August",R520,IF($J$1="September",R521,IF($J$1="October",R522,IF($J$1="November",R523,IF($J$1="December",R524)))))))))))))</f>
        <v>4</v>
      </c>
      <c r="D521" s="45"/>
      <c r="E521" s="45"/>
      <c r="F521" s="63" t="s">
        <v>72</v>
      </c>
      <c r="G521" s="58">
        <f>IF($J$1="January",Y513,IF($J$1="February",Y514,IF($J$1="March",Y515,IF($J$1="April",Y516,IF($J$1="May",Y517,IF($J$1="June",Y518,IF($J$1="July",Y519,IF($J$1="August",Y520,IF($J$1="August",Y520,IF($J$1="September",Y521,IF($J$1="October",Y522,IF($J$1="November",Y523,IF($J$1="December",Y524)))))))))))))</f>
        <v>10000</v>
      </c>
      <c r="H521" s="45"/>
      <c r="I521" s="363" t="s">
        <v>68</v>
      </c>
      <c r="J521" s="364"/>
      <c r="K521" s="72">
        <f>K519-K520</f>
        <v>39556.451612903227</v>
      </c>
      <c r="L521" s="73"/>
      <c r="M521" s="45"/>
      <c r="N521" s="88"/>
      <c r="O521" s="89" t="s">
        <v>61</v>
      </c>
      <c r="P521" s="89">
        <v>29</v>
      </c>
      <c r="Q521" s="89">
        <v>1</v>
      </c>
      <c r="R521" s="89">
        <f t="shared" si="105"/>
        <v>4</v>
      </c>
      <c r="S521" s="93"/>
      <c r="T521" s="89" t="s">
        <v>61</v>
      </c>
      <c r="U521" s="162">
        <f>IF($J$1="August","",Y520)</f>
        <v>10000</v>
      </c>
      <c r="V521" s="91">
        <v>10000</v>
      </c>
      <c r="W521" s="162">
        <f t="shared" si="103"/>
        <v>20000</v>
      </c>
      <c r="X521" s="91">
        <v>10000</v>
      </c>
      <c r="Y521" s="162">
        <f t="shared" si="104"/>
        <v>10000</v>
      </c>
      <c r="Z521" s="94"/>
      <c r="AA521" s="45"/>
    </row>
    <row r="522" spans="1:27" s="43" customFormat="1" ht="21" customHeight="1" x14ac:dyDescent="0.25">
      <c r="A522" s="44"/>
      <c r="B522" s="45"/>
      <c r="C522" s="45"/>
      <c r="D522" s="45"/>
      <c r="E522" s="45"/>
      <c r="F522" s="45"/>
      <c r="G522" s="45"/>
      <c r="H522" s="45"/>
      <c r="I522" s="45"/>
      <c r="J522" s="45"/>
      <c r="K522" s="177"/>
      <c r="L522" s="61"/>
      <c r="M522" s="45"/>
      <c r="N522" s="88"/>
      <c r="O522" s="89" t="s">
        <v>57</v>
      </c>
      <c r="P522" s="89">
        <v>31</v>
      </c>
      <c r="Q522" s="89">
        <v>0</v>
      </c>
      <c r="R522" s="89">
        <f t="shared" si="105"/>
        <v>4</v>
      </c>
      <c r="S522" s="93"/>
      <c r="T522" s="89" t="s">
        <v>57</v>
      </c>
      <c r="U522" s="162">
        <f>IF($J$1="September","",Y521)</f>
        <v>10000</v>
      </c>
      <c r="V522" s="91">
        <v>5000</v>
      </c>
      <c r="W522" s="162">
        <f t="shared" si="103"/>
        <v>15000</v>
      </c>
      <c r="X522" s="91">
        <v>5000</v>
      </c>
      <c r="Y522" s="162">
        <f t="shared" si="104"/>
        <v>10000</v>
      </c>
      <c r="Z522" s="94"/>
      <c r="AA522" s="45"/>
    </row>
    <row r="523" spans="1:27" s="43" customFormat="1" ht="21" customHeight="1" x14ac:dyDescent="0.25">
      <c r="A523" s="44"/>
      <c r="B523" s="365" t="s">
        <v>103</v>
      </c>
      <c r="C523" s="365"/>
      <c r="D523" s="365"/>
      <c r="E523" s="365"/>
      <c r="F523" s="365"/>
      <c r="G523" s="365"/>
      <c r="H523" s="365"/>
      <c r="I523" s="365"/>
      <c r="J523" s="365"/>
      <c r="K523" s="365"/>
      <c r="L523" s="61"/>
      <c r="M523" s="45"/>
      <c r="N523" s="88"/>
      <c r="O523" s="89" t="s">
        <v>62</v>
      </c>
      <c r="P523" s="89"/>
      <c r="Q523" s="89"/>
      <c r="R523" s="89">
        <v>0</v>
      </c>
      <c r="S523" s="93"/>
      <c r="T523" s="89" t="s">
        <v>62</v>
      </c>
      <c r="U523" s="162" t="str">
        <f>IF($J$1="October","",Y522)</f>
        <v/>
      </c>
      <c r="V523" s="91"/>
      <c r="W523" s="162" t="str">
        <f t="shared" si="103"/>
        <v/>
      </c>
      <c r="X523" s="91"/>
      <c r="Y523" s="162" t="str">
        <f t="shared" si="104"/>
        <v/>
      </c>
      <c r="Z523" s="94"/>
      <c r="AA523" s="45"/>
    </row>
    <row r="524" spans="1:27" s="43" customFormat="1" ht="21" customHeight="1" x14ac:dyDescent="0.25">
      <c r="A524" s="44"/>
      <c r="B524" s="365"/>
      <c r="C524" s="365"/>
      <c r="D524" s="365"/>
      <c r="E524" s="365"/>
      <c r="F524" s="365"/>
      <c r="G524" s="365"/>
      <c r="H524" s="365"/>
      <c r="I524" s="365"/>
      <c r="J524" s="365"/>
      <c r="K524" s="365"/>
      <c r="L524" s="61"/>
      <c r="M524" s="45"/>
      <c r="N524" s="88"/>
      <c r="O524" s="89" t="s">
        <v>63</v>
      </c>
      <c r="P524" s="89"/>
      <c r="Q524" s="89"/>
      <c r="R524" s="89">
        <v>0</v>
      </c>
      <c r="S524" s="93"/>
      <c r="T524" s="89" t="s">
        <v>63</v>
      </c>
      <c r="U524" s="162" t="str">
        <f>IF($J$1="November","",Y523)</f>
        <v/>
      </c>
      <c r="V524" s="91"/>
      <c r="W524" s="162" t="str">
        <f t="shared" si="103"/>
        <v/>
      </c>
      <c r="X524" s="91"/>
      <c r="Y524" s="162" t="str">
        <f t="shared" si="104"/>
        <v/>
      </c>
      <c r="Z524" s="94"/>
      <c r="AA524" s="45"/>
    </row>
    <row r="525" spans="1:27" s="43" customFormat="1" ht="21" customHeight="1" thickBot="1" x14ac:dyDescent="0.3">
      <c r="A525" s="74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6"/>
      <c r="N525" s="95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7"/>
    </row>
    <row r="526" spans="1:27" s="43" customFormat="1" ht="21" customHeight="1" x14ac:dyDescent="0.25">
      <c r="A526" s="401" t="s">
        <v>45</v>
      </c>
      <c r="B526" s="402"/>
      <c r="C526" s="402"/>
      <c r="D526" s="402"/>
      <c r="E526" s="402"/>
      <c r="F526" s="402"/>
      <c r="G526" s="402"/>
      <c r="H526" s="402"/>
      <c r="I526" s="402"/>
      <c r="J526" s="402"/>
      <c r="K526" s="402"/>
      <c r="L526" s="403"/>
      <c r="M526" s="42"/>
      <c r="N526" s="81"/>
      <c r="O526" s="372" t="s">
        <v>47</v>
      </c>
      <c r="P526" s="373"/>
      <c r="Q526" s="373"/>
      <c r="R526" s="374"/>
      <c r="S526" s="82"/>
      <c r="T526" s="372" t="s">
        <v>48</v>
      </c>
      <c r="U526" s="373"/>
      <c r="V526" s="373"/>
      <c r="W526" s="373"/>
      <c r="X526" s="373"/>
      <c r="Y526" s="374"/>
      <c r="Z526" s="83"/>
      <c r="AA526" s="42"/>
    </row>
    <row r="527" spans="1:27" s="43" customFormat="1" ht="21" customHeight="1" x14ac:dyDescent="0.25">
      <c r="A527" s="44"/>
      <c r="B527" s="45"/>
      <c r="C527" s="375" t="s">
        <v>101</v>
      </c>
      <c r="D527" s="375"/>
      <c r="E527" s="375"/>
      <c r="F527" s="375"/>
      <c r="G527" s="46" t="str">
        <f>$J$1</f>
        <v>October</v>
      </c>
      <c r="H527" s="376">
        <f>$K$1</f>
        <v>2020</v>
      </c>
      <c r="I527" s="376"/>
      <c r="J527" s="45"/>
      <c r="K527" s="47"/>
      <c r="L527" s="48"/>
      <c r="M527" s="47"/>
      <c r="N527" s="84"/>
      <c r="O527" s="85" t="s">
        <v>58</v>
      </c>
      <c r="P527" s="85" t="s">
        <v>7</v>
      </c>
      <c r="Q527" s="85" t="s">
        <v>6</v>
      </c>
      <c r="R527" s="85" t="s">
        <v>59</v>
      </c>
      <c r="S527" s="86"/>
      <c r="T527" s="85" t="s">
        <v>58</v>
      </c>
      <c r="U527" s="85" t="s">
        <v>60</v>
      </c>
      <c r="V527" s="85" t="s">
        <v>23</v>
      </c>
      <c r="W527" s="85" t="s">
        <v>22</v>
      </c>
      <c r="X527" s="85" t="s">
        <v>24</v>
      </c>
      <c r="Y527" s="85" t="s">
        <v>64</v>
      </c>
      <c r="Z527" s="87"/>
      <c r="AA527" s="47"/>
    </row>
    <row r="528" spans="1:27" s="43" customFormat="1" ht="21" customHeight="1" x14ac:dyDescent="0.25">
      <c r="A528" s="44"/>
      <c r="B528" s="45"/>
      <c r="C528" s="45"/>
      <c r="D528" s="50"/>
      <c r="E528" s="50"/>
      <c r="F528" s="50"/>
      <c r="G528" s="50"/>
      <c r="H528" s="50"/>
      <c r="I528" s="45"/>
      <c r="J528" s="51" t="s">
        <v>1</v>
      </c>
      <c r="K528" s="52">
        <v>25000</v>
      </c>
      <c r="L528" s="53"/>
      <c r="M528" s="45"/>
      <c r="N528" s="88"/>
      <c r="O528" s="89" t="s">
        <v>50</v>
      </c>
      <c r="P528" s="89"/>
      <c r="Q528" s="89"/>
      <c r="R528" s="89"/>
      <c r="S528" s="90"/>
      <c r="T528" s="89" t="s">
        <v>50</v>
      </c>
      <c r="U528" s="91"/>
      <c r="V528" s="91"/>
      <c r="W528" s="91">
        <f>V528+U528</f>
        <v>0</v>
      </c>
      <c r="X528" s="91"/>
      <c r="Y528" s="91">
        <f>W528-X528</f>
        <v>0</v>
      </c>
      <c r="Z528" s="87"/>
      <c r="AA528" s="45"/>
    </row>
    <row r="529" spans="1:27" s="43" customFormat="1" ht="21" customHeight="1" x14ac:dyDescent="0.25">
      <c r="A529" s="44"/>
      <c r="B529" s="45" t="s">
        <v>0</v>
      </c>
      <c r="C529" s="55" t="s">
        <v>218</v>
      </c>
      <c r="D529" s="45"/>
      <c r="E529" s="45"/>
      <c r="F529" s="45"/>
      <c r="G529" s="45"/>
      <c r="H529" s="56"/>
      <c r="I529" s="50"/>
      <c r="J529" s="45"/>
      <c r="K529" s="45"/>
      <c r="L529" s="57"/>
      <c r="M529" s="42"/>
      <c r="N529" s="92"/>
      <c r="O529" s="89" t="s">
        <v>76</v>
      </c>
      <c r="P529" s="89"/>
      <c r="Q529" s="89"/>
      <c r="R529" s="89">
        <v>0</v>
      </c>
      <c r="S529" s="93"/>
      <c r="T529" s="89" t="s">
        <v>76</v>
      </c>
      <c r="U529" s="162"/>
      <c r="V529" s="91"/>
      <c r="W529" s="162" t="str">
        <f>IF(U529="","",U529+V529)</f>
        <v/>
      </c>
      <c r="X529" s="91"/>
      <c r="Y529" s="162" t="str">
        <f>IF(W529="","",W529-X529)</f>
        <v/>
      </c>
      <c r="Z529" s="94"/>
      <c r="AA529" s="42"/>
    </row>
    <row r="530" spans="1:27" s="43" customFormat="1" ht="21" customHeight="1" x14ac:dyDescent="0.25">
      <c r="A530" s="44"/>
      <c r="B530" s="59" t="s">
        <v>46</v>
      </c>
      <c r="C530" s="60"/>
      <c r="D530" s="45"/>
      <c r="E530" s="45"/>
      <c r="F530" s="366" t="s">
        <v>48</v>
      </c>
      <c r="G530" s="366"/>
      <c r="H530" s="45"/>
      <c r="I530" s="366" t="s">
        <v>49</v>
      </c>
      <c r="J530" s="366"/>
      <c r="K530" s="366"/>
      <c r="L530" s="61"/>
      <c r="M530" s="45"/>
      <c r="N530" s="88"/>
      <c r="O530" s="89" t="s">
        <v>51</v>
      </c>
      <c r="P530" s="89"/>
      <c r="Q530" s="89"/>
      <c r="R530" s="89">
        <v>0</v>
      </c>
      <c r="S530" s="93"/>
      <c r="T530" s="89" t="s">
        <v>51</v>
      </c>
      <c r="U530" s="162"/>
      <c r="V530" s="91"/>
      <c r="W530" s="162" t="str">
        <f t="shared" ref="W530:W539" si="106">IF(U530="","",U530+V530)</f>
        <v/>
      </c>
      <c r="X530" s="91"/>
      <c r="Y530" s="162" t="str">
        <f t="shared" ref="Y530:Y539" si="107">IF(W530="","",W530-X530)</f>
        <v/>
      </c>
      <c r="Z530" s="94"/>
      <c r="AA530" s="45"/>
    </row>
    <row r="531" spans="1:27" s="43" customFormat="1" ht="21" customHeight="1" x14ac:dyDescent="0.25">
      <c r="A531" s="44"/>
      <c r="B531" s="45"/>
      <c r="C531" s="45"/>
      <c r="D531" s="45"/>
      <c r="E531" s="45"/>
      <c r="F531" s="45"/>
      <c r="G531" s="45"/>
      <c r="H531" s="62"/>
      <c r="L531" s="49"/>
      <c r="M531" s="45"/>
      <c r="N531" s="88"/>
      <c r="O531" s="89" t="s">
        <v>52</v>
      </c>
      <c r="P531" s="89"/>
      <c r="Q531" s="89"/>
      <c r="R531" s="89">
        <v>0</v>
      </c>
      <c r="S531" s="93"/>
      <c r="T531" s="89" t="s">
        <v>52</v>
      </c>
      <c r="U531" s="162"/>
      <c r="V531" s="91"/>
      <c r="W531" s="162" t="str">
        <f t="shared" si="106"/>
        <v/>
      </c>
      <c r="X531" s="91"/>
      <c r="Y531" s="162" t="str">
        <f t="shared" si="107"/>
        <v/>
      </c>
      <c r="Z531" s="94"/>
      <c r="AA531" s="45"/>
    </row>
    <row r="532" spans="1:27" s="43" customFormat="1" ht="21" customHeight="1" x14ac:dyDescent="0.25">
      <c r="A532" s="44"/>
      <c r="B532" s="367" t="s">
        <v>47</v>
      </c>
      <c r="C532" s="368"/>
      <c r="D532" s="45"/>
      <c r="E532" s="45"/>
      <c r="F532" s="63" t="s">
        <v>69</v>
      </c>
      <c r="G532" s="58">
        <f>IF($J$1="January",U528,IF($J$1="February",U529,IF($J$1="March",U530,IF($J$1="April",U531,IF($J$1="May",U532,IF($J$1="June",U533,IF($J$1="July",U534,IF($J$1="August",U535,IF($J$1="August",U535,IF($J$1="September",U536,IF($J$1="October",U537,IF($J$1="November",U538,IF($J$1="December",U539)))))))))))))</f>
        <v>6500</v>
      </c>
      <c r="H532" s="62"/>
      <c r="I532" s="64">
        <f>IF(C536&gt;0,$K$2,C534)</f>
        <v>30</v>
      </c>
      <c r="J532" s="65" t="s">
        <v>66</v>
      </c>
      <c r="K532" s="66">
        <f>K528/$K$2*I532</f>
        <v>24193.548387096776</v>
      </c>
      <c r="L532" s="67"/>
      <c r="M532" s="45"/>
      <c r="N532" s="88"/>
      <c r="O532" s="89" t="s">
        <v>53</v>
      </c>
      <c r="P532" s="89"/>
      <c r="Q532" s="89"/>
      <c r="R532" s="89">
        <v>0</v>
      </c>
      <c r="S532" s="93"/>
      <c r="T532" s="89" t="s">
        <v>53</v>
      </c>
      <c r="U532" s="162"/>
      <c r="V532" s="91"/>
      <c r="W532" s="162" t="str">
        <f t="shared" si="106"/>
        <v/>
      </c>
      <c r="X532" s="91"/>
      <c r="Y532" s="162" t="str">
        <f t="shared" si="107"/>
        <v/>
      </c>
      <c r="Z532" s="94"/>
      <c r="AA532" s="45"/>
    </row>
    <row r="533" spans="1:27" s="43" customFormat="1" ht="21" customHeight="1" x14ac:dyDescent="0.25">
      <c r="A533" s="44"/>
      <c r="B533" s="54"/>
      <c r="C533" s="54"/>
      <c r="D533" s="45"/>
      <c r="E533" s="45"/>
      <c r="F533" s="63" t="s">
        <v>23</v>
      </c>
      <c r="G533" s="58">
        <f>IF($J$1="January",V528,IF($J$1="February",V529,IF($J$1="March",V530,IF($J$1="April",V531,IF($J$1="May",V532,IF($J$1="June",V533,IF($J$1="July",V534,IF($J$1="August",V535,IF($J$1="August",V535,IF($J$1="September",V536,IF($J$1="October",V537,IF($J$1="November",V538,IF($J$1="December",V539)))))))))))))</f>
        <v>0</v>
      </c>
      <c r="H533" s="62"/>
      <c r="I533" s="108"/>
      <c r="J533" s="65" t="s">
        <v>67</v>
      </c>
      <c r="K533" s="68">
        <f>K528/$K$2/8*I533</f>
        <v>0</v>
      </c>
      <c r="L533" s="69"/>
      <c r="M533" s="45"/>
      <c r="N533" s="88"/>
      <c r="O533" s="89" t="s">
        <v>54</v>
      </c>
      <c r="P533" s="89"/>
      <c r="Q533" s="89"/>
      <c r="R533" s="89">
        <v>0</v>
      </c>
      <c r="S533" s="93"/>
      <c r="T533" s="89" t="s">
        <v>54</v>
      </c>
      <c r="U533" s="162"/>
      <c r="V533" s="91"/>
      <c r="W533" s="162" t="str">
        <f t="shared" si="106"/>
        <v/>
      </c>
      <c r="X533" s="91"/>
      <c r="Y533" s="162" t="str">
        <f t="shared" si="107"/>
        <v/>
      </c>
      <c r="Z533" s="94"/>
      <c r="AA533" s="45"/>
    </row>
    <row r="534" spans="1:27" s="43" customFormat="1" ht="21" customHeight="1" x14ac:dyDescent="0.25">
      <c r="A534" s="44"/>
      <c r="B534" s="63" t="s">
        <v>7</v>
      </c>
      <c r="C534" s="54">
        <f>IF($J$1="January",P528,IF($J$1="February",P529,IF($J$1="March",P530,IF($J$1="April",P531,IF($J$1="May",P532,IF($J$1="June",P533,IF($J$1="July",P534,IF($J$1="August",P535,IF($J$1="August",P535,IF($J$1="September",P536,IF($J$1="October",P537,IF($J$1="November",P538,IF($J$1="December",P539)))))))))))))</f>
        <v>30</v>
      </c>
      <c r="D534" s="45"/>
      <c r="E534" s="45"/>
      <c r="F534" s="63" t="s">
        <v>70</v>
      </c>
      <c r="G534" s="58">
        <f>IF($J$1="January",W528,IF($J$1="February",W529,IF($J$1="March",W530,IF($J$1="April",W531,IF($J$1="May",W532,IF($J$1="June",W533,IF($J$1="July",W534,IF($J$1="August",W535,IF($J$1="August",W535,IF($J$1="September",W536,IF($J$1="October",W537,IF($J$1="November",W538,IF($J$1="December",W539)))))))))))))</f>
        <v>6500</v>
      </c>
      <c r="H534" s="62"/>
      <c r="I534" s="361" t="s">
        <v>74</v>
      </c>
      <c r="J534" s="362"/>
      <c r="K534" s="68">
        <f>K532+K533</f>
        <v>24193.548387096776</v>
      </c>
      <c r="L534" s="69"/>
      <c r="M534" s="45"/>
      <c r="N534" s="88"/>
      <c r="O534" s="89" t="s">
        <v>55</v>
      </c>
      <c r="P534" s="89"/>
      <c r="Q534" s="89"/>
      <c r="R534" s="89">
        <v>0</v>
      </c>
      <c r="S534" s="93"/>
      <c r="T534" s="89" t="s">
        <v>55</v>
      </c>
      <c r="U534" s="162"/>
      <c r="V534" s="91"/>
      <c r="W534" s="162" t="str">
        <f t="shared" si="106"/>
        <v/>
      </c>
      <c r="X534" s="91"/>
      <c r="Y534" s="162" t="str">
        <f t="shared" si="107"/>
        <v/>
      </c>
      <c r="Z534" s="94"/>
      <c r="AA534" s="45"/>
    </row>
    <row r="535" spans="1:27" s="43" customFormat="1" ht="21" customHeight="1" x14ac:dyDescent="0.25">
      <c r="A535" s="44"/>
      <c r="B535" s="63" t="s">
        <v>6</v>
      </c>
      <c r="C535" s="54">
        <f>IF($J$1="January",Q528,IF($J$1="February",Q529,IF($J$1="March",Q530,IF($J$1="April",Q531,IF($J$1="May",Q532,IF($J$1="June",Q533,IF($J$1="July",Q534,IF($J$1="August",Q535,IF($J$1="August",Q535,IF($J$1="September",Q536,IF($J$1="October",Q537,IF($J$1="November",Q538,IF($J$1="December",Q539)))))))))))))</f>
        <v>1</v>
      </c>
      <c r="D535" s="45"/>
      <c r="E535" s="45"/>
      <c r="F535" s="63" t="s">
        <v>24</v>
      </c>
      <c r="G535" s="58">
        <f>IF($J$1="January",X528,IF($J$1="February",X529,IF($J$1="March",X530,IF($J$1="April",X531,IF($J$1="May",X532,IF($J$1="June",X533,IF($J$1="July",X534,IF($J$1="August",X535,IF($J$1="August",X535,IF($J$1="September",X536,IF($J$1="October",X537,IF($J$1="November",X538,IF($J$1="December",X539)))))))))))))</f>
        <v>1500</v>
      </c>
      <c r="H535" s="62"/>
      <c r="I535" s="361" t="s">
        <v>75</v>
      </c>
      <c r="J535" s="362"/>
      <c r="K535" s="58">
        <f>G535</f>
        <v>1500</v>
      </c>
      <c r="L535" s="70"/>
      <c r="M535" s="45"/>
      <c r="N535" s="88"/>
      <c r="O535" s="89" t="s">
        <v>56</v>
      </c>
      <c r="P535" s="89"/>
      <c r="Q535" s="89"/>
      <c r="R535" s="89">
        <v>0</v>
      </c>
      <c r="S535" s="93"/>
      <c r="T535" s="89" t="s">
        <v>56</v>
      </c>
      <c r="U535" s="162"/>
      <c r="V535" s="91"/>
      <c r="W535" s="162" t="str">
        <f t="shared" si="106"/>
        <v/>
      </c>
      <c r="X535" s="91"/>
      <c r="Y535" s="162">
        <v>2500</v>
      </c>
      <c r="Z535" s="94"/>
      <c r="AA535" s="45"/>
    </row>
    <row r="536" spans="1:27" s="43" customFormat="1" ht="21" customHeight="1" x14ac:dyDescent="0.25">
      <c r="A536" s="44"/>
      <c r="B536" s="71" t="s">
        <v>73</v>
      </c>
      <c r="C536" s="54">
        <f>IF($J$1="January",R528,IF($J$1="February",R529,IF($J$1="March",R530,IF($J$1="April",R531,IF($J$1="May",R532,IF($J$1="June",R533,IF($J$1="July",R534,IF($J$1="August",R535,IF($J$1="August",R535,IF($J$1="September",R536,IF($J$1="October",R537,IF($J$1="November",R538,IF($J$1="December",R539)))))))))))))</f>
        <v>0</v>
      </c>
      <c r="D536" s="45"/>
      <c r="E536" s="45"/>
      <c r="F536" s="63" t="s">
        <v>72</v>
      </c>
      <c r="G536" s="58">
        <f>IF($J$1="January",Y528,IF($J$1="February",Y529,IF($J$1="March",Y530,IF($J$1="April",Y531,IF($J$1="May",Y532,IF($J$1="June",Y533,IF($J$1="July",Y534,IF($J$1="August",Y535,IF($J$1="August",Y535,IF($J$1="September",Y536,IF($J$1="October",Y537,IF($J$1="November",Y538,IF($J$1="December",Y539)))))))))))))</f>
        <v>5000</v>
      </c>
      <c r="H536" s="45"/>
      <c r="I536" s="363" t="s">
        <v>68</v>
      </c>
      <c r="J536" s="364"/>
      <c r="K536" s="72">
        <f>K534-K535</f>
        <v>22693.548387096776</v>
      </c>
      <c r="L536" s="73"/>
      <c r="M536" s="45"/>
      <c r="N536" s="88"/>
      <c r="O536" s="89" t="s">
        <v>61</v>
      </c>
      <c r="P536" s="89">
        <v>21</v>
      </c>
      <c r="Q536" s="89">
        <v>9</v>
      </c>
      <c r="R536" s="89">
        <v>0</v>
      </c>
      <c r="S536" s="93"/>
      <c r="T536" s="89" t="s">
        <v>61</v>
      </c>
      <c r="U536" s="162">
        <f>Y535</f>
        <v>2500</v>
      </c>
      <c r="V536" s="91">
        <v>5000</v>
      </c>
      <c r="W536" s="162">
        <f t="shared" si="106"/>
        <v>7500</v>
      </c>
      <c r="X536" s="91">
        <v>1000</v>
      </c>
      <c r="Y536" s="162">
        <f t="shared" si="107"/>
        <v>6500</v>
      </c>
      <c r="Z536" s="94"/>
      <c r="AA536" s="45"/>
    </row>
    <row r="537" spans="1:27" s="43" customFormat="1" ht="21" customHeight="1" x14ac:dyDescent="0.25">
      <c r="A537" s="44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61"/>
      <c r="M537" s="45"/>
      <c r="N537" s="88"/>
      <c r="O537" s="89" t="s">
        <v>57</v>
      </c>
      <c r="P537" s="89">
        <v>30</v>
      </c>
      <c r="Q537" s="89">
        <v>1</v>
      </c>
      <c r="R537" s="89">
        <v>0</v>
      </c>
      <c r="S537" s="93"/>
      <c r="T537" s="89" t="s">
        <v>57</v>
      </c>
      <c r="U537" s="162">
        <f>Y536</f>
        <v>6500</v>
      </c>
      <c r="V537" s="91"/>
      <c r="W537" s="162">
        <f t="shared" si="106"/>
        <v>6500</v>
      </c>
      <c r="X537" s="91">
        <v>1500</v>
      </c>
      <c r="Y537" s="162">
        <f t="shared" si="107"/>
        <v>5000</v>
      </c>
      <c r="Z537" s="94"/>
      <c r="AA537" s="45"/>
    </row>
    <row r="538" spans="1:27" s="43" customFormat="1" ht="21" customHeight="1" x14ac:dyDescent="0.25">
      <c r="A538" s="44"/>
      <c r="B538" s="365" t="s">
        <v>103</v>
      </c>
      <c r="C538" s="365"/>
      <c r="D538" s="365"/>
      <c r="E538" s="365"/>
      <c r="F538" s="365"/>
      <c r="G538" s="365"/>
      <c r="H538" s="365"/>
      <c r="I538" s="365"/>
      <c r="J538" s="365"/>
      <c r="K538" s="365"/>
      <c r="L538" s="61"/>
      <c r="M538" s="45"/>
      <c r="N538" s="88"/>
      <c r="O538" s="89" t="s">
        <v>62</v>
      </c>
      <c r="P538" s="89"/>
      <c r="Q538" s="89"/>
      <c r="R538" s="89">
        <v>0</v>
      </c>
      <c r="S538" s="93"/>
      <c r="T538" s="89" t="s">
        <v>62</v>
      </c>
      <c r="U538" s="162"/>
      <c r="V538" s="91"/>
      <c r="W538" s="162" t="str">
        <f t="shared" si="106"/>
        <v/>
      </c>
      <c r="X538" s="91"/>
      <c r="Y538" s="162" t="str">
        <f t="shared" si="107"/>
        <v/>
      </c>
      <c r="Z538" s="94"/>
      <c r="AA538" s="45"/>
    </row>
    <row r="539" spans="1:27" s="43" customFormat="1" ht="21" customHeight="1" x14ac:dyDescent="0.25">
      <c r="A539" s="44"/>
      <c r="B539" s="365"/>
      <c r="C539" s="365"/>
      <c r="D539" s="365"/>
      <c r="E539" s="365"/>
      <c r="F539" s="365"/>
      <c r="G539" s="365"/>
      <c r="H539" s="365"/>
      <c r="I539" s="365"/>
      <c r="J539" s="365"/>
      <c r="K539" s="365"/>
      <c r="L539" s="61"/>
      <c r="M539" s="45"/>
      <c r="N539" s="88"/>
      <c r="O539" s="89" t="s">
        <v>63</v>
      </c>
      <c r="P539" s="89"/>
      <c r="Q539" s="89"/>
      <c r="R539" s="89">
        <v>0</v>
      </c>
      <c r="S539" s="93"/>
      <c r="T539" s="89" t="s">
        <v>63</v>
      </c>
      <c r="U539" s="162"/>
      <c r="V539" s="91"/>
      <c r="W539" s="162" t="str">
        <f t="shared" si="106"/>
        <v/>
      </c>
      <c r="X539" s="91"/>
      <c r="Y539" s="162" t="str">
        <f t="shared" si="107"/>
        <v/>
      </c>
      <c r="Z539" s="94"/>
      <c r="AA539" s="45"/>
    </row>
    <row r="540" spans="1:27" s="43" customFormat="1" ht="21" customHeight="1" thickBot="1" x14ac:dyDescent="0.3">
      <c r="A540" s="74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6"/>
      <c r="N540" s="95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7"/>
    </row>
    <row r="541" spans="1:27" s="43" customFormat="1" ht="21" customHeight="1" x14ac:dyDescent="0.25">
      <c r="A541" s="380" t="s">
        <v>45</v>
      </c>
      <c r="B541" s="381"/>
      <c r="C541" s="381"/>
      <c r="D541" s="381"/>
      <c r="E541" s="381"/>
      <c r="F541" s="381"/>
      <c r="G541" s="381"/>
      <c r="H541" s="381"/>
      <c r="I541" s="381"/>
      <c r="J541" s="381"/>
      <c r="K541" s="381"/>
      <c r="L541" s="382"/>
      <c r="M541" s="42"/>
      <c r="N541" s="81"/>
      <c r="O541" s="372" t="s">
        <v>47</v>
      </c>
      <c r="P541" s="373"/>
      <c r="Q541" s="373"/>
      <c r="R541" s="374"/>
      <c r="S541" s="82"/>
      <c r="T541" s="372" t="s">
        <v>48</v>
      </c>
      <c r="U541" s="373"/>
      <c r="V541" s="373"/>
      <c r="W541" s="373"/>
      <c r="X541" s="373"/>
      <c r="Y541" s="374"/>
      <c r="Z541" s="83"/>
      <c r="AA541" s="42"/>
    </row>
    <row r="542" spans="1:27" s="43" customFormat="1" ht="21" customHeight="1" x14ac:dyDescent="0.25">
      <c r="A542" s="44"/>
      <c r="B542" s="45"/>
      <c r="C542" s="375" t="s">
        <v>101</v>
      </c>
      <c r="D542" s="375"/>
      <c r="E542" s="375"/>
      <c r="F542" s="375"/>
      <c r="G542" s="46" t="str">
        <f>$J$1</f>
        <v>October</v>
      </c>
      <c r="H542" s="376">
        <f>$K$1</f>
        <v>2020</v>
      </c>
      <c r="I542" s="376"/>
      <c r="J542" s="45"/>
      <c r="K542" s="47"/>
      <c r="L542" s="48"/>
      <c r="M542" s="47"/>
      <c r="N542" s="84"/>
      <c r="O542" s="85" t="s">
        <v>58</v>
      </c>
      <c r="P542" s="85" t="s">
        <v>7</v>
      </c>
      <c r="Q542" s="85" t="s">
        <v>6</v>
      </c>
      <c r="R542" s="85" t="s">
        <v>59</v>
      </c>
      <c r="S542" s="86"/>
      <c r="T542" s="85" t="s">
        <v>58</v>
      </c>
      <c r="U542" s="85" t="s">
        <v>60</v>
      </c>
      <c r="V542" s="85" t="s">
        <v>23</v>
      </c>
      <c r="W542" s="85" t="s">
        <v>22</v>
      </c>
      <c r="X542" s="85" t="s">
        <v>24</v>
      </c>
      <c r="Y542" s="85" t="s">
        <v>64</v>
      </c>
      <c r="Z542" s="87"/>
      <c r="AA542" s="47"/>
    </row>
    <row r="543" spans="1:27" s="43" customFormat="1" ht="21" customHeight="1" x14ac:dyDescent="0.25">
      <c r="A543" s="44"/>
      <c r="B543" s="45"/>
      <c r="C543" s="45"/>
      <c r="D543" s="50"/>
      <c r="E543" s="50"/>
      <c r="F543" s="50"/>
      <c r="G543" s="50"/>
      <c r="H543" s="50"/>
      <c r="I543" s="45"/>
      <c r="J543" s="51" t="s">
        <v>1</v>
      </c>
      <c r="K543" s="52"/>
      <c r="L543" s="53"/>
      <c r="M543" s="45"/>
      <c r="N543" s="88"/>
      <c r="O543" s="89" t="s">
        <v>50</v>
      </c>
      <c r="P543" s="89"/>
      <c r="Q543" s="89"/>
      <c r="R543" s="89">
        <f>15-Q543</f>
        <v>15</v>
      </c>
      <c r="S543" s="90"/>
      <c r="T543" s="89" t="s">
        <v>50</v>
      </c>
      <c r="U543" s="91"/>
      <c r="V543" s="91"/>
      <c r="W543" s="91">
        <f>V543+U543</f>
        <v>0</v>
      </c>
      <c r="X543" s="91"/>
      <c r="Y543" s="91">
        <f>W543-X543</f>
        <v>0</v>
      </c>
      <c r="Z543" s="87"/>
      <c r="AA543" s="45"/>
    </row>
    <row r="544" spans="1:27" s="43" customFormat="1" ht="21" customHeight="1" x14ac:dyDescent="0.25">
      <c r="A544" s="44"/>
      <c r="B544" s="45" t="s">
        <v>0</v>
      </c>
      <c r="C544" s="55"/>
      <c r="D544" s="45"/>
      <c r="E544" s="45"/>
      <c r="F544" s="45"/>
      <c r="G544" s="45"/>
      <c r="H544" s="56"/>
      <c r="I544" s="50"/>
      <c r="J544" s="45"/>
      <c r="K544" s="45"/>
      <c r="L544" s="57"/>
      <c r="M544" s="42"/>
      <c r="N544" s="92"/>
      <c r="O544" s="89" t="s">
        <v>76</v>
      </c>
      <c r="P544" s="89"/>
      <c r="Q544" s="89"/>
      <c r="R544" s="89">
        <f>R543-Q544</f>
        <v>15</v>
      </c>
      <c r="S544" s="93"/>
      <c r="T544" s="89" t="s">
        <v>76</v>
      </c>
      <c r="U544" s="162"/>
      <c r="V544" s="91"/>
      <c r="W544" s="91">
        <f>V544+U544</f>
        <v>0</v>
      </c>
      <c r="X544" s="91"/>
      <c r="Y544" s="162">
        <f>IF(W544="","",W544-X544)</f>
        <v>0</v>
      </c>
      <c r="Z544" s="94"/>
      <c r="AA544" s="42"/>
    </row>
    <row r="545" spans="1:27" s="43" customFormat="1" ht="21" customHeight="1" x14ac:dyDescent="0.25">
      <c r="A545" s="44"/>
      <c r="B545" s="59" t="s">
        <v>46</v>
      </c>
      <c r="C545" s="60"/>
      <c r="D545" s="45"/>
      <c r="E545" s="45"/>
      <c r="F545" s="366" t="s">
        <v>48</v>
      </c>
      <c r="G545" s="366"/>
      <c r="H545" s="45"/>
      <c r="I545" s="366" t="s">
        <v>49</v>
      </c>
      <c r="J545" s="366"/>
      <c r="K545" s="366"/>
      <c r="L545" s="61"/>
      <c r="M545" s="45"/>
      <c r="N545" s="88"/>
      <c r="O545" s="89" t="s">
        <v>51</v>
      </c>
      <c r="P545" s="89"/>
      <c r="Q545" s="89"/>
      <c r="R545" s="89">
        <v>0</v>
      </c>
      <c r="S545" s="93"/>
      <c r="T545" s="89" t="s">
        <v>51</v>
      </c>
      <c r="U545" s="162"/>
      <c r="V545" s="91"/>
      <c r="W545" s="91">
        <f>V545+U545</f>
        <v>0</v>
      </c>
      <c r="X545" s="91"/>
      <c r="Y545" s="162">
        <f t="shared" ref="Y545:Y554" si="108">IF(W545="","",W545-X545)</f>
        <v>0</v>
      </c>
      <c r="Z545" s="94"/>
      <c r="AA545" s="45"/>
    </row>
    <row r="546" spans="1:27" s="43" customFormat="1" ht="21" customHeight="1" x14ac:dyDescent="0.25">
      <c r="A546" s="44"/>
      <c r="B546" s="45"/>
      <c r="C546" s="45"/>
      <c r="D546" s="45"/>
      <c r="E546" s="45"/>
      <c r="F546" s="45"/>
      <c r="G546" s="45"/>
      <c r="H546" s="62"/>
      <c r="L546" s="49"/>
      <c r="M546" s="45"/>
      <c r="N546" s="88"/>
      <c r="O546" s="89" t="s">
        <v>52</v>
      </c>
      <c r="P546" s="89"/>
      <c r="Q546" s="89"/>
      <c r="R546" s="89">
        <v>0</v>
      </c>
      <c r="S546" s="93"/>
      <c r="T546" s="89" t="s">
        <v>52</v>
      </c>
      <c r="U546" s="162"/>
      <c r="V546" s="91"/>
      <c r="W546" s="162" t="str">
        <f t="shared" ref="W546:W554" si="109">IF(U546="","",U546+V546)</f>
        <v/>
      </c>
      <c r="X546" s="91"/>
      <c r="Y546" s="162" t="str">
        <f t="shared" si="108"/>
        <v/>
      </c>
      <c r="Z546" s="94"/>
      <c r="AA546" s="45"/>
    </row>
    <row r="547" spans="1:27" s="43" customFormat="1" ht="21" customHeight="1" x14ac:dyDescent="0.25">
      <c r="A547" s="44"/>
      <c r="B547" s="367" t="s">
        <v>47</v>
      </c>
      <c r="C547" s="368"/>
      <c r="D547" s="45"/>
      <c r="E547" s="45"/>
      <c r="F547" s="63" t="s">
        <v>69</v>
      </c>
      <c r="G547" s="58">
        <f>IF($J$1="January",U543,IF($J$1="February",U544,IF($J$1="March",U545,IF($J$1="April",U546,IF($J$1="May",U547,IF($J$1="June",U548,IF($J$1="July",U549,IF($J$1="August",U550,IF($J$1="August",U550,IF($J$1="September",U551,IF($J$1="October",U552,IF($J$1="November",U553,IF($J$1="December",U554)))))))))))))</f>
        <v>0</v>
      </c>
      <c r="H547" s="62"/>
      <c r="I547" s="64"/>
      <c r="J547" s="65" t="s">
        <v>66</v>
      </c>
      <c r="K547" s="66">
        <f>K543/$K$2*I547</f>
        <v>0</v>
      </c>
      <c r="L547" s="67"/>
      <c r="M547" s="45"/>
      <c r="N547" s="88"/>
      <c r="O547" s="89" t="s">
        <v>53</v>
      </c>
      <c r="P547" s="89"/>
      <c r="Q547" s="89"/>
      <c r="R547" s="89">
        <v>0</v>
      </c>
      <c r="S547" s="93"/>
      <c r="T547" s="89" t="s">
        <v>53</v>
      </c>
      <c r="U547" s="162"/>
      <c r="V547" s="91"/>
      <c r="W547" s="162" t="str">
        <f>IF(U547="","",U547+V547)</f>
        <v/>
      </c>
      <c r="X547" s="91"/>
      <c r="Y547" s="162" t="str">
        <f t="shared" si="108"/>
        <v/>
      </c>
      <c r="Z547" s="94"/>
      <c r="AA547" s="45"/>
    </row>
    <row r="548" spans="1:27" s="43" customFormat="1" ht="21" customHeight="1" x14ac:dyDescent="0.25">
      <c r="A548" s="44"/>
      <c r="B548" s="54"/>
      <c r="C548" s="54"/>
      <c r="D548" s="45"/>
      <c r="E548" s="45"/>
      <c r="F548" s="63" t="s">
        <v>23</v>
      </c>
      <c r="G548" s="58">
        <f>IF($J$1="January",V543,IF($J$1="February",V544,IF($J$1="March",V545,IF($J$1="April",V546,IF($J$1="May",V547,IF($J$1="June",V548,IF($J$1="July",V549,IF($J$1="August",V550,IF($J$1="August",V550,IF($J$1="September",V551,IF($J$1="October",V552,IF($J$1="November",V553,IF($J$1="December",V554)))))))))))))</f>
        <v>0</v>
      </c>
      <c r="H548" s="62"/>
      <c r="I548" s="108"/>
      <c r="J548" s="65" t="s">
        <v>67</v>
      </c>
      <c r="K548" s="68">
        <f>K543/$K$2/8*I548</f>
        <v>0</v>
      </c>
      <c r="L548" s="69"/>
      <c r="M548" s="45"/>
      <c r="N548" s="88"/>
      <c r="O548" s="89" t="s">
        <v>54</v>
      </c>
      <c r="P548" s="89"/>
      <c r="Q548" s="89"/>
      <c r="R548" s="89">
        <v>0</v>
      </c>
      <c r="S548" s="93"/>
      <c r="T548" s="89" t="s">
        <v>54</v>
      </c>
      <c r="U548" s="162" t="str">
        <f>Y547</f>
        <v/>
      </c>
      <c r="V548" s="91"/>
      <c r="W548" s="91">
        <f>V548</f>
        <v>0</v>
      </c>
      <c r="X548" s="91"/>
      <c r="Y548" s="162">
        <f t="shared" si="108"/>
        <v>0</v>
      </c>
      <c r="Z548" s="94"/>
      <c r="AA548" s="45"/>
    </row>
    <row r="549" spans="1:27" s="43" customFormat="1" ht="21" customHeight="1" x14ac:dyDescent="0.25">
      <c r="A549" s="44"/>
      <c r="B549" s="63" t="s">
        <v>7</v>
      </c>
      <c r="C549" s="54">
        <f>IF($J$1="January",P543,IF($J$1="February",P544,IF($J$1="March",P545,IF($J$1="April",P546,IF($J$1="May",P547,IF($J$1="June",P548,IF($J$1="July",P549,IF($J$1="August",P550,IF($J$1="August",P550,IF($J$1="September",P551,IF($J$1="October",P552,IF($J$1="November",P553,IF($J$1="December",P554)))))))))))))</f>
        <v>0</v>
      </c>
      <c r="D549" s="45"/>
      <c r="E549" s="45"/>
      <c r="F549" s="63" t="s">
        <v>70</v>
      </c>
      <c r="G549" s="179" t="str">
        <f>IF($J$1="January",W543,IF($J$1="February",W544,IF($J$1="March",W545,IF($J$1="April",W546,IF($J$1="May",W547,IF($J$1="June",W548,IF($J$1="July",W549,IF($J$1="August",W550,IF($J$1="August",W550,IF($J$1="September",W551,IF($J$1="October",W552,IF($J$1="November",W553,IF($J$1="December",W554)))))))))))))</f>
        <v/>
      </c>
      <c r="H549" s="62"/>
      <c r="I549" s="361" t="s">
        <v>74</v>
      </c>
      <c r="J549" s="362"/>
      <c r="K549" s="68">
        <f>K547+K548</f>
        <v>0</v>
      </c>
      <c r="L549" s="69"/>
      <c r="M549" s="45"/>
      <c r="N549" s="88"/>
      <c r="O549" s="89" t="s">
        <v>55</v>
      </c>
      <c r="P549" s="89"/>
      <c r="Q549" s="89"/>
      <c r="R549" s="89">
        <v>0</v>
      </c>
      <c r="S549" s="93"/>
      <c r="T549" s="89" t="s">
        <v>55</v>
      </c>
      <c r="U549" s="162"/>
      <c r="V549" s="91"/>
      <c r="W549" s="162" t="str">
        <f t="shared" si="109"/>
        <v/>
      </c>
      <c r="X549" s="91"/>
      <c r="Y549" s="162" t="str">
        <f t="shared" si="108"/>
        <v/>
      </c>
      <c r="Z549" s="94"/>
      <c r="AA549" s="45"/>
    </row>
    <row r="550" spans="1:27" s="43" customFormat="1" ht="21" customHeight="1" x14ac:dyDescent="0.25">
      <c r="A550" s="44"/>
      <c r="B550" s="63" t="s">
        <v>6</v>
      </c>
      <c r="C550" s="54">
        <f>IF($J$1="January",Q543,IF($J$1="February",Q544,IF($J$1="March",Q545,IF($J$1="April",Q546,IF($J$1="May",Q547,IF($J$1="June",Q548,IF($J$1="July",Q549,IF($J$1="August",Q550,IF($J$1="August",Q550,IF($J$1="September",Q551,IF($J$1="October",Q552,IF($J$1="November",Q553,IF($J$1="December",Q554)))))))))))))</f>
        <v>0</v>
      </c>
      <c r="D550" s="45"/>
      <c r="E550" s="45"/>
      <c r="F550" s="63" t="s">
        <v>24</v>
      </c>
      <c r="G550" s="58">
        <f>IF($J$1="January",X543,IF($J$1="February",X544,IF($J$1="March",X545,IF($J$1="April",X546,IF($J$1="May",X547,IF($J$1="June",X548,IF($J$1="July",X549,IF($J$1="August",X550,IF($J$1="August",X550,IF($J$1="September",X551,IF($J$1="October",X552,IF($J$1="November",X553,IF($J$1="December",X554)))))))))))))</f>
        <v>0</v>
      </c>
      <c r="H550" s="62"/>
      <c r="I550" s="361" t="s">
        <v>75</v>
      </c>
      <c r="J550" s="362"/>
      <c r="K550" s="58">
        <f>G550</f>
        <v>0</v>
      </c>
      <c r="L550" s="70"/>
      <c r="M550" s="45"/>
      <c r="N550" s="88"/>
      <c r="O550" s="89" t="s">
        <v>56</v>
      </c>
      <c r="P550" s="89"/>
      <c r="Q550" s="89"/>
      <c r="R550" s="89">
        <v>0</v>
      </c>
      <c r="S550" s="93"/>
      <c r="T550" s="89" t="s">
        <v>56</v>
      </c>
      <c r="U550" s="162"/>
      <c r="V550" s="91"/>
      <c r="W550" s="162" t="str">
        <f t="shared" si="109"/>
        <v/>
      </c>
      <c r="X550" s="91"/>
      <c r="Y550" s="162" t="str">
        <f t="shared" si="108"/>
        <v/>
      </c>
      <c r="Z550" s="94"/>
      <c r="AA550" s="45"/>
    </row>
    <row r="551" spans="1:27" s="43" customFormat="1" ht="21" customHeight="1" x14ac:dyDescent="0.25">
      <c r="A551" s="44"/>
      <c r="B551" s="71" t="s">
        <v>73</v>
      </c>
      <c r="C551" s="54">
        <f>IF($J$1="January",R543,IF($J$1="February",R544,IF($J$1="March",R545,IF($J$1="April",R546,IF($J$1="May",R547,IF($J$1="June",R548,IF($J$1="July",R549,IF($J$1="August",R550,IF($J$1="August",R550,IF($J$1="September",R551,IF($J$1="October",R552,IF($J$1="November",R553,IF($J$1="December",R554)))))))))))))</f>
        <v>0</v>
      </c>
      <c r="D551" s="45"/>
      <c r="E551" s="45"/>
      <c r="F551" s="63" t="s">
        <v>72</v>
      </c>
      <c r="G551" s="58" t="str">
        <f>IF($J$1="January",Y543,IF($J$1="February",Y544,IF($J$1="March",Y545,IF($J$1="April",Y546,IF($J$1="May",Y547,IF($J$1="June",Y548,IF($J$1="July",Y549,IF($J$1="August",Y550,IF($J$1="August",Y550,IF($J$1="September",Y551,IF($J$1="October",Y552,IF($J$1="November",Y553,IF($J$1="December",Y554)))))))))))))</f>
        <v/>
      </c>
      <c r="H551" s="45"/>
      <c r="I551" s="363" t="s">
        <v>68</v>
      </c>
      <c r="J551" s="364"/>
      <c r="K551" s="72">
        <f>K549-K550</f>
        <v>0</v>
      </c>
      <c r="L551" s="73"/>
      <c r="M551" s="45"/>
      <c r="N551" s="88"/>
      <c r="O551" s="89" t="s">
        <v>61</v>
      </c>
      <c r="P551" s="89"/>
      <c r="Q551" s="89"/>
      <c r="R551" s="89">
        <v>0</v>
      </c>
      <c r="S551" s="93"/>
      <c r="T551" s="89" t="s">
        <v>61</v>
      </c>
      <c r="U551" s="162"/>
      <c r="V551" s="91"/>
      <c r="W551" s="162" t="str">
        <f t="shared" si="109"/>
        <v/>
      </c>
      <c r="X551" s="91"/>
      <c r="Y551" s="162" t="str">
        <f t="shared" si="108"/>
        <v/>
      </c>
      <c r="Z551" s="94"/>
      <c r="AA551" s="45"/>
    </row>
    <row r="552" spans="1:27" s="43" customFormat="1" ht="21" customHeight="1" x14ac:dyDescent="0.25">
      <c r="A552" s="44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61"/>
      <c r="M552" s="45"/>
      <c r="N552" s="88"/>
      <c r="O552" s="89" t="s">
        <v>57</v>
      </c>
      <c r="P552" s="89"/>
      <c r="Q552" s="89"/>
      <c r="R552" s="89">
        <v>0</v>
      </c>
      <c r="S552" s="93"/>
      <c r="T552" s="89" t="s">
        <v>57</v>
      </c>
      <c r="U552" s="162"/>
      <c r="V552" s="91"/>
      <c r="W552" s="162" t="str">
        <f t="shared" si="109"/>
        <v/>
      </c>
      <c r="X552" s="91"/>
      <c r="Y552" s="162" t="str">
        <f t="shared" si="108"/>
        <v/>
      </c>
      <c r="Z552" s="94"/>
      <c r="AA552" s="45"/>
    </row>
    <row r="553" spans="1:27" s="43" customFormat="1" ht="21" customHeight="1" x14ac:dyDescent="0.25">
      <c r="A553" s="44"/>
      <c r="B553" s="365" t="s">
        <v>103</v>
      </c>
      <c r="C553" s="365"/>
      <c r="D553" s="365"/>
      <c r="E553" s="365"/>
      <c r="F553" s="365"/>
      <c r="G553" s="365"/>
      <c r="H553" s="365"/>
      <c r="I553" s="365"/>
      <c r="J553" s="365"/>
      <c r="K553" s="365"/>
      <c r="L553" s="61"/>
      <c r="M553" s="45"/>
      <c r="N553" s="88"/>
      <c r="O553" s="89" t="s">
        <v>62</v>
      </c>
      <c r="P553" s="89"/>
      <c r="Q553" s="89"/>
      <c r="R553" s="89">
        <v>0</v>
      </c>
      <c r="S553" s="93"/>
      <c r="T553" s="89" t="s">
        <v>62</v>
      </c>
      <c r="U553" s="162" t="str">
        <f t="shared" ref="U553:U554" si="110">Y552</f>
        <v/>
      </c>
      <c r="V553" s="91"/>
      <c r="W553" s="162" t="str">
        <f t="shared" si="109"/>
        <v/>
      </c>
      <c r="X553" s="91"/>
      <c r="Y553" s="162" t="str">
        <f t="shared" si="108"/>
        <v/>
      </c>
      <c r="Z553" s="94"/>
      <c r="AA553" s="45"/>
    </row>
    <row r="554" spans="1:27" s="43" customFormat="1" ht="21" customHeight="1" x14ac:dyDescent="0.25">
      <c r="A554" s="44"/>
      <c r="B554" s="365"/>
      <c r="C554" s="365"/>
      <c r="D554" s="365"/>
      <c r="E554" s="365"/>
      <c r="F554" s="365"/>
      <c r="G554" s="365"/>
      <c r="H554" s="365"/>
      <c r="I554" s="365"/>
      <c r="J554" s="365"/>
      <c r="K554" s="365"/>
      <c r="L554" s="61"/>
      <c r="M554" s="45"/>
      <c r="N554" s="88"/>
      <c r="O554" s="89" t="s">
        <v>63</v>
      </c>
      <c r="P554" s="89"/>
      <c r="Q554" s="89"/>
      <c r="R554" s="89">
        <v>0</v>
      </c>
      <c r="S554" s="93"/>
      <c r="T554" s="89" t="s">
        <v>63</v>
      </c>
      <c r="U554" s="162" t="str">
        <f t="shared" si="110"/>
        <v/>
      </c>
      <c r="V554" s="91"/>
      <c r="W554" s="162" t="str">
        <f t="shared" si="109"/>
        <v/>
      </c>
      <c r="X554" s="91"/>
      <c r="Y554" s="162" t="str">
        <f t="shared" si="108"/>
        <v/>
      </c>
      <c r="Z554" s="94"/>
      <c r="AA554" s="45"/>
    </row>
    <row r="555" spans="1:27" s="43" customFormat="1" ht="21" customHeight="1" thickBot="1" x14ac:dyDescent="0.3">
      <c r="A555" s="74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6"/>
      <c r="N555" s="95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7"/>
    </row>
    <row r="556" spans="1:27" s="45" customFormat="1" ht="21" customHeight="1" thickBot="1" x14ac:dyDescent="0.3"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 spans="1:27" s="43" customFormat="1" ht="21" customHeight="1" x14ac:dyDescent="0.25">
      <c r="A557" s="383" t="s">
        <v>45</v>
      </c>
      <c r="B557" s="384"/>
      <c r="C557" s="384"/>
      <c r="D557" s="384"/>
      <c r="E557" s="384"/>
      <c r="F557" s="384"/>
      <c r="G557" s="384"/>
      <c r="H557" s="384"/>
      <c r="I557" s="384"/>
      <c r="J557" s="384"/>
      <c r="K557" s="384"/>
      <c r="L557" s="385"/>
      <c r="M557" s="42"/>
      <c r="N557" s="81"/>
      <c r="O557" s="372" t="s">
        <v>47</v>
      </c>
      <c r="P557" s="373"/>
      <c r="Q557" s="373"/>
      <c r="R557" s="374"/>
      <c r="S557" s="82"/>
      <c r="T557" s="372" t="s">
        <v>48</v>
      </c>
      <c r="U557" s="373"/>
      <c r="V557" s="373"/>
      <c r="W557" s="373"/>
      <c r="X557" s="373"/>
      <c r="Y557" s="374"/>
      <c r="Z557" s="83"/>
      <c r="AA557" s="42"/>
    </row>
    <row r="558" spans="1:27" s="43" customFormat="1" ht="21" customHeight="1" x14ac:dyDescent="0.25">
      <c r="A558" s="44"/>
      <c r="B558" s="45"/>
      <c r="C558" s="375" t="s">
        <v>101</v>
      </c>
      <c r="D558" s="375"/>
      <c r="E558" s="375"/>
      <c r="F558" s="375"/>
      <c r="G558" s="46" t="str">
        <f>$J$1</f>
        <v>October</v>
      </c>
      <c r="H558" s="376">
        <f>$K$1</f>
        <v>2020</v>
      </c>
      <c r="I558" s="376"/>
      <c r="J558" s="45"/>
      <c r="K558" s="47"/>
      <c r="L558" s="48"/>
      <c r="M558" s="47"/>
      <c r="N558" s="84"/>
      <c r="O558" s="85" t="s">
        <v>58</v>
      </c>
      <c r="P558" s="85" t="s">
        <v>7</v>
      </c>
      <c r="Q558" s="85" t="s">
        <v>6</v>
      </c>
      <c r="R558" s="85" t="s">
        <v>59</v>
      </c>
      <c r="S558" s="86"/>
      <c r="T558" s="85" t="s">
        <v>58</v>
      </c>
      <c r="U558" s="85" t="s">
        <v>60</v>
      </c>
      <c r="V558" s="85" t="s">
        <v>23</v>
      </c>
      <c r="W558" s="85" t="s">
        <v>22</v>
      </c>
      <c r="X558" s="85" t="s">
        <v>24</v>
      </c>
      <c r="Y558" s="85" t="s">
        <v>64</v>
      </c>
      <c r="Z558" s="87"/>
      <c r="AA558" s="47"/>
    </row>
    <row r="559" spans="1:27" s="43" customFormat="1" ht="21" customHeight="1" x14ac:dyDescent="0.25">
      <c r="A559" s="44"/>
      <c r="B559" s="45"/>
      <c r="C559" s="45"/>
      <c r="D559" s="50"/>
      <c r="E559" s="50"/>
      <c r="F559" s="50"/>
      <c r="G559" s="50"/>
      <c r="H559" s="50"/>
      <c r="I559" s="45"/>
      <c r="J559" s="51" t="s">
        <v>1</v>
      </c>
      <c r="K559" s="212">
        <v>13000</v>
      </c>
      <c r="L559" s="53"/>
      <c r="M559" s="45"/>
      <c r="N559" s="88"/>
      <c r="O559" s="89" t="s">
        <v>50</v>
      </c>
      <c r="P559" s="89">
        <v>31</v>
      </c>
      <c r="Q559" s="89">
        <v>0</v>
      </c>
      <c r="R559" s="89">
        <v>0</v>
      </c>
      <c r="S559" s="90"/>
      <c r="T559" s="89" t="s">
        <v>50</v>
      </c>
      <c r="U559" s="91"/>
      <c r="V559" s="91"/>
      <c r="W559" s="91">
        <f>V559+U559</f>
        <v>0</v>
      </c>
      <c r="X559" s="91"/>
      <c r="Y559" s="91">
        <f>W559-X559</f>
        <v>0</v>
      </c>
      <c r="Z559" s="87"/>
      <c r="AA559" s="45"/>
    </row>
    <row r="560" spans="1:27" s="43" customFormat="1" ht="21" customHeight="1" x14ac:dyDescent="0.25">
      <c r="A560" s="44"/>
      <c r="B560" s="45" t="s">
        <v>0</v>
      </c>
      <c r="C560" s="55" t="s">
        <v>241</v>
      </c>
      <c r="D560" s="45"/>
      <c r="E560" s="45"/>
      <c r="F560" s="45"/>
      <c r="G560" s="45"/>
      <c r="H560" s="56"/>
      <c r="I560" s="50"/>
      <c r="J560" s="45"/>
      <c r="K560" s="45"/>
      <c r="L560" s="57"/>
      <c r="M560" s="42"/>
      <c r="N560" s="92"/>
      <c r="O560" s="89" t="s">
        <v>76</v>
      </c>
      <c r="P560" s="89">
        <v>29</v>
      </c>
      <c r="Q560" s="89">
        <v>0</v>
      </c>
      <c r="R560" s="89">
        <f>IF(Q560="","",R559-Q560)</f>
        <v>0</v>
      </c>
      <c r="S560" s="93"/>
      <c r="T560" s="89" t="s">
        <v>76</v>
      </c>
      <c r="U560" s="162">
        <f>IF($J$1="January","",Y559)</f>
        <v>0</v>
      </c>
      <c r="V560" s="91"/>
      <c r="W560" s="162">
        <f>IF(U560="","",U560+V560)</f>
        <v>0</v>
      </c>
      <c r="X560" s="91"/>
      <c r="Y560" s="162">
        <f>IF(W560="","",W560-X560)</f>
        <v>0</v>
      </c>
      <c r="Z560" s="94"/>
      <c r="AA560" s="42"/>
    </row>
    <row r="561" spans="1:27" s="43" customFormat="1" ht="21" customHeight="1" x14ac:dyDescent="0.25">
      <c r="A561" s="44"/>
      <c r="B561" s="59" t="s">
        <v>46</v>
      </c>
      <c r="C561" s="60"/>
      <c r="D561" s="45"/>
      <c r="E561" s="45"/>
      <c r="F561" s="366" t="s">
        <v>48</v>
      </c>
      <c r="G561" s="366"/>
      <c r="H561" s="45"/>
      <c r="I561" s="366" t="s">
        <v>49</v>
      </c>
      <c r="J561" s="366"/>
      <c r="K561" s="366"/>
      <c r="L561" s="61"/>
      <c r="M561" s="45"/>
      <c r="N561" s="88"/>
      <c r="O561" s="89" t="s">
        <v>51</v>
      </c>
      <c r="P561" s="89">
        <v>31</v>
      </c>
      <c r="Q561" s="89">
        <v>0</v>
      </c>
      <c r="R561" s="89">
        <v>0</v>
      </c>
      <c r="S561" s="93"/>
      <c r="T561" s="89" t="s">
        <v>51</v>
      </c>
      <c r="U561" s="162">
        <f>IF($J$1="February","",Y560)</f>
        <v>0</v>
      </c>
      <c r="V561" s="91"/>
      <c r="W561" s="162">
        <f t="shared" ref="W561:W570" si="111">IF(U561="","",U561+V561)</f>
        <v>0</v>
      </c>
      <c r="X561" s="91"/>
      <c r="Y561" s="162">
        <f t="shared" ref="Y561:Y570" si="112">IF(W561="","",W561-X561)</f>
        <v>0</v>
      </c>
      <c r="Z561" s="94"/>
      <c r="AA561" s="45"/>
    </row>
    <row r="562" spans="1:27" s="43" customFormat="1" ht="21" customHeight="1" x14ac:dyDescent="0.25">
      <c r="A562" s="44"/>
      <c r="B562" s="45"/>
      <c r="C562" s="45"/>
      <c r="D562" s="45"/>
      <c r="E562" s="45"/>
      <c r="F562" s="45"/>
      <c r="G562" s="45"/>
      <c r="H562" s="62"/>
      <c r="L562" s="49"/>
      <c r="M562" s="45"/>
      <c r="N562" s="88"/>
      <c r="O562" s="89" t="s">
        <v>52</v>
      </c>
      <c r="P562" s="89">
        <v>30</v>
      </c>
      <c r="Q562" s="89">
        <v>0</v>
      </c>
      <c r="R562" s="89">
        <v>0</v>
      </c>
      <c r="S562" s="93"/>
      <c r="T562" s="89" t="s">
        <v>52</v>
      </c>
      <c r="U562" s="162">
        <f>IF($J$1="March","",Y561)</f>
        <v>0</v>
      </c>
      <c r="V562" s="91"/>
      <c r="W562" s="162">
        <f t="shared" si="111"/>
        <v>0</v>
      </c>
      <c r="X562" s="91"/>
      <c r="Y562" s="162">
        <f t="shared" si="112"/>
        <v>0</v>
      </c>
      <c r="Z562" s="94"/>
      <c r="AA562" s="45"/>
    </row>
    <row r="563" spans="1:27" s="43" customFormat="1" ht="21" customHeight="1" x14ac:dyDescent="0.25">
      <c r="A563" s="44"/>
      <c r="B563" s="367" t="s">
        <v>47</v>
      </c>
      <c r="C563" s="368"/>
      <c r="D563" s="45"/>
      <c r="E563" s="45"/>
      <c r="F563" s="63" t="s">
        <v>69</v>
      </c>
      <c r="G563" s="58">
        <f>IF($J$1="January",U559,IF($J$1="February",U560,IF($J$1="March",U561,IF($J$1="April",U562,IF($J$1="May",U563,IF($J$1="June",U564,IF($J$1="July",U565,IF($J$1="August",U566,IF($J$1="August",U566,IF($J$1="September",U567,IF($J$1="October",U568,IF($J$1="November",U569,IF($J$1="December",U570)))))))))))))</f>
        <v>0</v>
      </c>
      <c r="H563" s="62"/>
      <c r="I563" s="64">
        <f>IF(C567&gt;0,$K$2,C565)</f>
        <v>31</v>
      </c>
      <c r="J563" s="65" t="s">
        <v>66</v>
      </c>
      <c r="K563" s="66">
        <f>K559/$K$2*I563</f>
        <v>13000</v>
      </c>
      <c r="L563" s="67"/>
      <c r="M563" s="45"/>
      <c r="N563" s="88"/>
      <c r="O563" s="89" t="s">
        <v>53</v>
      </c>
      <c r="P563" s="89">
        <v>31</v>
      </c>
      <c r="Q563" s="89">
        <v>0</v>
      </c>
      <c r="R563" s="89">
        <v>0</v>
      </c>
      <c r="S563" s="93"/>
      <c r="T563" s="89" t="s">
        <v>53</v>
      </c>
      <c r="U563" s="162">
        <f>IF($J$1="April","",Y562)</f>
        <v>0</v>
      </c>
      <c r="V563" s="91"/>
      <c r="W563" s="162">
        <f t="shared" si="111"/>
        <v>0</v>
      </c>
      <c r="X563" s="91"/>
      <c r="Y563" s="162">
        <f t="shared" si="112"/>
        <v>0</v>
      </c>
      <c r="Z563" s="94"/>
      <c r="AA563" s="45"/>
    </row>
    <row r="564" spans="1:27" s="43" customFormat="1" ht="21" customHeight="1" x14ac:dyDescent="0.25">
      <c r="A564" s="44"/>
      <c r="B564" s="54"/>
      <c r="C564" s="54"/>
      <c r="D564" s="45"/>
      <c r="E564" s="45"/>
      <c r="F564" s="63" t="s">
        <v>23</v>
      </c>
      <c r="G564" s="58">
        <f>IF($J$1="January",V559,IF($J$1="February",V560,IF($J$1="March",V561,IF($J$1="April",V562,IF($J$1="May",V563,IF($J$1="June",V564,IF($J$1="July",V565,IF($J$1="August",V566,IF($J$1="August",V566,IF($J$1="September",V567,IF($J$1="October",V568,IF($J$1="November",V569,IF($J$1="December",V570)))))))))))))</f>
        <v>0</v>
      </c>
      <c r="H564" s="62"/>
      <c r="I564" s="108"/>
      <c r="J564" s="65" t="s">
        <v>67</v>
      </c>
      <c r="K564" s="68">
        <f>K559/$K$2/8*I564</f>
        <v>0</v>
      </c>
      <c r="L564" s="69"/>
      <c r="M564" s="45"/>
      <c r="N564" s="88"/>
      <c r="O564" s="89" t="s">
        <v>54</v>
      </c>
      <c r="P564" s="89">
        <v>30</v>
      </c>
      <c r="Q564" s="89">
        <v>0</v>
      </c>
      <c r="R564" s="89">
        <v>0</v>
      </c>
      <c r="S564" s="93"/>
      <c r="T564" s="89" t="s">
        <v>54</v>
      </c>
      <c r="U564" s="162">
        <f>IF($J$1="May","",Y563)</f>
        <v>0</v>
      </c>
      <c r="V564" s="91"/>
      <c r="W564" s="162">
        <f t="shared" si="111"/>
        <v>0</v>
      </c>
      <c r="X564" s="91"/>
      <c r="Y564" s="162">
        <f t="shared" si="112"/>
        <v>0</v>
      </c>
      <c r="Z564" s="94"/>
      <c r="AA564" s="45"/>
    </row>
    <row r="565" spans="1:27" s="43" customFormat="1" ht="21" customHeight="1" x14ac:dyDescent="0.25">
      <c r="A565" s="44"/>
      <c r="B565" s="63" t="s">
        <v>7</v>
      </c>
      <c r="C565" s="54">
        <f>IF($J$1="January",P559,IF($J$1="February",P560,IF($J$1="March",P561,IF($J$1="April",P562,IF($J$1="May",P563,IF($J$1="June",P564,IF($J$1="July",P565,IF($J$1="August",P566,IF($J$1="August",P566,IF($J$1="September",P567,IF($J$1="October",P568,IF($J$1="November",P569,IF($J$1="December",P570)))))))))))))</f>
        <v>31</v>
      </c>
      <c r="D565" s="45"/>
      <c r="E565" s="45"/>
      <c r="F565" s="63" t="s">
        <v>70</v>
      </c>
      <c r="G565" s="58">
        <f>IF($J$1="January",W559,IF($J$1="February",W560,IF($J$1="March",W561,IF($J$1="April",W562,IF($J$1="May",W563,IF($J$1="June",W564,IF($J$1="July",W565,IF($J$1="August",W566,IF($J$1="August",W566,IF($J$1="September",W567,IF($J$1="October",W568,IF($J$1="November",W569,IF($J$1="December",W570)))))))))))))</f>
        <v>0</v>
      </c>
      <c r="H565" s="62"/>
      <c r="I565" s="361" t="s">
        <v>74</v>
      </c>
      <c r="J565" s="362"/>
      <c r="K565" s="68">
        <f>K563+K564</f>
        <v>13000</v>
      </c>
      <c r="L565" s="69"/>
      <c r="M565" s="45"/>
      <c r="N565" s="88"/>
      <c r="O565" s="89" t="s">
        <v>55</v>
      </c>
      <c r="P565" s="89">
        <v>31</v>
      </c>
      <c r="Q565" s="89">
        <v>0</v>
      </c>
      <c r="R565" s="89">
        <f t="shared" ref="R565:R570" si="113">IF(Q565="","",R564-Q565)</f>
        <v>0</v>
      </c>
      <c r="S565" s="93"/>
      <c r="T565" s="89" t="s">
        <v>55</v>
      </c>
      <c r="U565" s="162">
        <f>IF($J$1="June","",Y564)</f>
        <v>0</v>
      </c>
      <c r="V565" s="91"/>
      <c r="W565" s="162">
        <f t="shared" si="111"/>
        <v>0</v>
      </c>
      <c r="X565" s="91"/>
      <c r="Y565" s="162">
        <f t="shared" si="112"/>
        <v>0</v>
      </c>
      <c r="Z565" s="94"/>
      <c r="AA565" s="45"/>
    </row>
    <row r="566" spans="1:27" s="43" customFormat="1" ht="21" customHeight="1" x14ac:dyDescent="0.25">
      <c r="A566" s="44"/>
      <c r="B566" s="63" t="s">
        <v>6</v>
      </c>
      <c r="C566" s="54">
        <f>IF($J$1="January",Q559,IF($J$1="February",Q560,IF($J$1="March",Q561,IF($J$1="April",Q562,IF($J$1="May",Q563,IF($J$1="June",Q564,IF($J$1="July",Q565,IF($J$1="August",Q566,IF($J$1="August",Q566,IF($J$1="September",Q567,IF($J$1="October",Q568,IF($J$1="November",Q569,IF($J$1="December",Q570)))))))))))))</f>
        <v>0</v>
      </c>
      <c r="D566" s="45"/>
      <c r="E566" s="45"/>
      <c r="F566" s="63" t="s">
        <v>24</v>
      </c>
      <c r="G566" s="58">
        <f>IF($J$1="January",X559,IF($J$1="February",X560,IF($J$1="March",X561,IF($J$1="April",X562,IF($J$1="May",X563,IF($J$1="June",X564,IF($J$1="July",X565,IF($J$1="August",X566,IF($J$1="August",X566,IF($J$1="September",X567,IF($J$1="October",X568,IF($J$1="November",X569,IF($J$1="December",X570)))))))))))))</f>
        <v>0</v>
      </c>
      <c r="H566" s="62"/>
      <c r="I566" s="361" t="s">
        <v>75</v>
      </c>
      <c r="J566" s="362"/>
      <c r="K566" s="58">
        <f>G566</f>
        <v>0</v>
      </c>
      <c r="L566" s="70"/>
      <c r="M566" s="45"/>
      <c r="N566" s="88"/>
      <c r="O566" s="89" t="s">
        <v>56</v>
      </c>
      <c r="P566" s="89">
        <v>31</v>
      </c>
      <c r="Q566" s="89">
        <v>0</v>
      </c>
      <c r="R566" s="89">
        <v>0</v>
      </c>
      <c r="S566" s="93"/>
      <c r="T566" s="89" t="s">
        <v>56</v>
      </c>
      <c r="U566" s="162">
        <f>IF($J$1="July","",Y565)</f>
        <v>0</v>
      </c>
      <c r="V566" s="91"/>
      <c r="W566" s="162">
        <f t="shared" si="111"/>
        <v>0</v>
      </c>
      <c r="X566" s="91"/>
      <c r="Y566" s="162">
        <f t="shared" si="112"/>
        <v>0</v>
      </c>
      <c r="Z566" s="94"/>
      <c r="AA566" s="45"/>
    </row>
    <row r="567" spans="1:27" s="43" customFormat="1" ht="21" customHeight="1" x14ac:dyDescent="0.25">
      <c r="A567" s="44"/>
      <c r="B567" s="71" t="s">
        <v>73</v>
      </c>
      <c r="C567" s="54">
        <f>IF($J$1="January",R559,IF($J$1="February",R560,IF($J$1="March",R561,IF($J$1="April",R562,IF($J$1="May",R563,IF($J$1="June",R564,IF($J$1="July",R565,IF($J$1="August",R566,IF($J$1="August",R566,IF($J$1="September",R567,IF($J$1="October",R568,IF($J$1="November",R569,IF($J$1="December",R570)))))))))))))</f>
        <v>0</v>
      </c>
      <c r="D567" s="45"/>
      <c r="E567" s="45"/>
      <c r="F567" s="63" t="s">
        <v>72</v>
      </c>
      <c r="G567" s="58">
        <f>IF($J$1="January",Y559,IF($J$1="February",Y560,IF($J$1="March",Y561,IF($J$1="April",Y562,IF($J$1="May",Y563,IF($J$1="June",Y564,IF($J$1="July",Y565,IF($J$1="August",Y566,IF($J$1="August",Y566,IF($J$1="September",Y567,IF($J$1="October",Y568,IF($J$1="November",Y569,IF($J$1="December",Y570)))))))))))))</f>
        <v>0</v>
      </c>
      <c r="H567" s="45"/>
      <c r="I567" s="363" t="s">
        <v>68</v>
      </c>
      <c r="J567" s="364"/>
      <c r="K567" s="72">
        <f>K565-K566</f>
        <v>13000</v>
      </c>
      <c r="L567" s="73"/>
      <c r="M567" s="45"/>
      <c r="N567" s="88"/>
      <c r="O567" s="89" t="s">
        <v>61</v>
      </c>
      <c r="P567" s="89">
        <v>9</v>
      </c>
      <c r="Q567" s="89">
        <v>21</v>
      </c>
      <c r="R567" s="89">
        <v>0</v>
      </c>
      <c r="S567" s="93"/>
      <c r="T567" s="89" t="s">
        <v>61</v>
      </c>
      <c r="U567" s="162">
        <f>IF($J$1="August","",Y566)</f>
        <v>0</v>
      </c>
      <c r="V567" s="91"/>
      <c r="W567" s="162">
        <f t="shared" si="111"/>
        <v>0</v>
      </c>
      <c r="X567" s="91"/>
      <c r="Y567" s="162">
        <f t="shared" si="112"/>
        <v>0</v>
      </c>
      <c r="Z567" s="94"/>
      <c r="AA567" s="45"/>
    </row>
    <row r="568" spans="1:27" s="43" customFormat="1" ht="21" customHeight="1" x14ac:dyDescent="0.25">
      <c r="A568" s="44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61"/>
      <c r="M568" s="45"/>
      <c r="N568" s="88"/>
      <c r="O568" s="89" t="s">
        <v>57</v>
      </c>
      <c r="P568" s="89">
        <v>31</v>
      </c>
      <c r="Q568" s="89">
        <v>0</v>
      </c>
      <c r="R568" s="89">
        <v>0</v>
      </c>
      <c r="S568" s="93"/>
      <c r="T568" s="89" t="s">
        <v>57</v>
      </c>
      <c r="U568" s="162">
        <f>IF($J$1="September","",Y567)</f>
        <v>0</v>
      </c>
      <c r="V568" s="91"/>
      <c r="W568" s="162">
        <f t="shared" si="111"/>
        <v>0</v>
      </c>
      <c r="X568" s="91"/>
      <c r="Y568" s="162">
        <f t="shared" si="112"/>
        <v>0</v>
      </c>
      <c r="Z568" s="94"/>
      <c r="AA568" s="45"/>
    </row>
    <row r="569" spans="1:27" s="43" customFormat="1" ht="21" customHeight="1" x14ac:dyDescent="0.25">
      <c r="A569" s="44"/>
      <c r="B569" s="365" t="s">
        <v>103</v>
      </c>
      <c r="C569" s="365"/>
      <c r="D569" s="365"/>
      <c r="E569" s="365"/>
      <c r="F569" s="365"/>
      <c r="G569" s="365"/>
      <c r="H569" s="365"/>
      <c r="I569" s="365"/>
      <c r="J569" s="365"/>
      <c r="K569" s="365"/>
      <c r="L569" s="61"/>
      <c r="M569" s="45"/>
      <c r="N569" s="88"/>
      <c r="O569" s="89" t="s">
        <v>62</v>
      </c>
      <c r="P569" s="89"/>
      <c r="Q569" s="89"/>
      <c r="R569" s="89" t="str">
        <f t="shared" si="113"/>
        <v/>
      </c>
      <c r="S569" s="93"/>
      <c r="T569" s="89" t="s">
        <v>62</v>
      </c>
      <c r="U569" s="162" t="str">
        <f>IF($J$1="October","",Y568)</f>
        <v/>
      </c>
      <c r="V569" s="91"/>
      <c r="W569" s="162" t="str">
        <f t="shared" si="111"/>
        <v/>
      </c>
      <c r="X569" s="91"/>
      <c r="Y569" s="162" t="str">
        <f t="shared" si="112"/>
        <v/>
      </c>
      <c r="Z569" s="94"/>
      <c r="AA569" s="45"/>
    </row>
    <row r="570" spans="1:27" s="43" customFormat="1" ht="21" customHeight="1" x14ac:dyDescent="0.25">
      <c r="A570" s="44"/>
      <c r="B570" s="365"/>
      <c r="C570" s="365"/>
      <c r="D570" s="365"/>
      <c r="E570" s="365"/>
      <c r="F570" s="365"/>
      <c r="G570" s="365"/>
      <c r="H570" s="365"/>
      <c r="I570" s="365"/>
      <c r="J570" s="365"/>
      <c r="K570" s="365"/>
      <c r="L570" s="61"/>
      <c r="M570" s="45"/>
      <c r="N570" s="88"/>
      <c r="O570" s="89" t="s">
        <v>63</v>
      </c>
      <c r="P570" s="89"/>
      <c r="Q570" s="89"/>
      <c r="R570" s="89" t="str">
        <f t="shared" si="113"/>
        <v/>
      </c>
      <c r="S570" s="93"/>
      <c r="T570" s="89" t="s">
        <v>63</v>
      </c>
      <c r="U570" s="162" t="str">
        <f>IF($J$1="November","",Y569)</f>
        <v/>
      </c>
      <c r="V570" s="91"/>
      <c r="W570" s="162" t="str">
        <f t="shared" si="111"/>
        <v/>
      </c>
      <c r="X570" s="91"/>
      <c r="Y570" s="162" t="str">
        <f t="shared" si="112"/>
        <v/>
      </c>
      <c r="Z570" s="94"/>
      <c r="AA570" s="45"/>
    </row>
    <row r="571" spans="1:27" s="43" customFormat="1" ht="21" customHeight="1" thickBot="1" x14ac:dyDescent="0.3">
      <c r="A571" s="74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6"/>
      <c r="N571" s="95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7"/>
    </row>
    <row r="572" spans="1:27" s="45" customFormat="1" ht="21" customHeight="1" thickBot="1" x14ac:dyDescent="0.3"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 spans="1:27" s="43" customFormat="1" ht="21" customHeight="1" x14ac:dyDescent="0.25">
      <c r="A573" s="383" t="s">
        <v>45</v>
      </c>
      <c r="B573" s="384"/>
      <c r="C573" s="384"/>
      <c r="D573" s="384"/>
      <c r="E573" s="384"/>
      <c r="F573" s="384"/>
      <c r="G573" s="384"/>
      <c r="H573" s="384"/>
      <c r="I573" s="384"/>
      <c r="J573" s="384"/>
      <c r="K573" s="384"/>
      <c r="L573" s="385"/>
      <c r="M573" s="42"/>
      <c r="N573" s="81"/>
      <c r="O573" s="372" t="s">
        <v>47</v>
      </c>
      <c r="P573" s="373"/>
      <c r="Q573" s="373"/>
      <c r="R573" s="374"/>
      <c r="S573" s="82"/>
      <c r="T573" s="372" t="s">
        <v>48</v>
      </c>
      <c r="U573" s="373"/>
      <c r="V573" s="373"/>
      <c r="W573" s="373"/>
      <c r="X573" s="373"/>
      <c r="Y573" s="374"/>
      <c r="Z573" s="80"/>
    </row>
    <row r="574" spans="1:27" s="43" customFormat="1" ht="21" customHeight="1" x14ac:dyDescent="0.25">
      <c r="A574" s="44"/>
      <c r="B574" s="45"/>
      <c r="C574" s="375" t="s">
        <v>101</v>
      </c>
      <c r="D574" s="375"/>
      <c r="E574" s="375"/>
      <c r="F574" s="375"/>
      <c r="G574" s="46" t="str">
        <f>$J$1</f>
        <v>October</v>
      </c>
      <c r="H574" s="376">
        <f>$K$1</f>
        <v>2020</v>
      </c>
      <c r="I574" s="376"/>
      <c r="J574" s="45"/>
      <c r="K574" s="47"/>
      <c r="L574" s="48"/>
      <c r="M574" s="47"/>
      <c r="N574" s="84"/>
      <c r="O574" s="85" t="s">
        <v>58</v>
      </c>
      <c r="P574" s="85" t="s">
        <v>7</v>
      </c>
      <c r="Q574" s="85" t="s">
        <v>6</v>
      </c>
      <c r="R574" s="85" t="s">
        <v>59</v>
      </c>
      <c r="S574" s="86"/>
      <c r="T574" s="85" t="s">
        <v>58</v>
      </c>
      <c r="U574" s="85" t="s">
        <v>60</v>
      </c>
      <c r="V574" s="85" t="s">
        <v>23</v>
      </c>
      <c r="W574" s="85" t="s">
        <v>22</v>
      </c>
      <c r="X574" s="85" t="s">
        <v>24</v>
      </c>
      <c r="Y574" s="85" t="s">
        <v>64</v>
      </c>
      <c r="Z574" s="80"/>
    </row>
    <row r="575" spans="1:27" s="43" customFormat="1" ht="21" customHeight="1" x14ac:dyDescent="0.25">
      <c r="A575" s="44"/>
      <c r="B575" s="45"/>
      <c r="C575" s="45"/>
      <c r="D575" s="50"/>
      <c r="E575" s="50"/>
      <c r="F575" s="50"/>
      <c r="G575" s="50"/>
      <c r="H575" s="50"/>
      <c r="I575" s="45"/>
      <c r="J575" s="51" t="s">
        <v>1</v>
      </c>
      <c r="K575" s="52">
        <v>13000</v>
      </c>
      <c r="L575" s="53"/>
      <c r="M575" s="45"/>
      <c r="N575" s="88"/>
      <c r="O575" s="89" t="s">
        <v>50</v>
      </c>
      <c r="P575" s="89"/>
      <c r="Q575" s="89">
        <v>0</v>
      </c>
      <c r="R575" s="89">
        <v>0</v>
      </c>
      <c r="S575" s="90"/>
      <c r="T575" s="89" t="s">
        <v>50</v>
      </c>
      <c r="U575" s="91"/>
      <c r="V575" s="91"/>
      <c r="W575" s="91">
        <f>V575+U575</f>
        <v>0</v>
      </c>
      <c r="X575" s="91"/>
      <c r="Y575" s="91">
        <f>W575-X575</f>
        <v>0</v>
      </c>
      <c r="Z575" s="80"/>
    </row>
    <row r="576" spans="1:27" s="43" customFormat="1" ht="21" customHeight="1" x14ac:dyDescent="0.25">
      <c r="A576" s="44"/>
      <c r="B576" s="45" t="s">
        <v>0</v>
      </c>
      <c r="C576" s="55" t="s">
        <v>241</v>
      </c>
      <c r="D576" s="45"/>
      <c r="E576" s="45"/>
      <c r="F576" s="45"/>
      <c r="G576" s="45"/>
      <c r="H576" s="56"/>
      <c r="I576" s="50"/>
      <c r="J576" s="45"/>
      <c r="K576" s="45"/>
      <c r="L576" s="57"/>
      <c r="M576" s="42"/>
      <c r="N576" s="92"/>
      <c r="O576" s="89" t="s">
        <v>76</v>
      </c>
      <c r="P576" s="89"/>
      <c r="Q576" s="89">
        <v>0</v>
      </c>
      <c r="R576" s="89">
        <v>0</v>
      </c>
      <c r="S576" s="93"/>
      <c r="T576" s="89" t="s">
        <v>76</v>
      </c>
      <c r="U576" s="162">
        <f>IF($J$1="April",Y575,Y575)</f>
        <v>0</v>
      </c>
      <c r="V576" s="91"/>
      <c r="W576" s="91">
        <f>V576+U576</f>
        <v>0</v>
      </c>
      <c r="X576" s="91"/>
      <c r="Y576" s="162">
        <f>IF(W576="","",W576-X576)</f>
        <v>0</v>
      </c>
      <c r="Z576" s="80"/>
    </row>
    <row r="577" spans="1:26" s="43" customFormat="1" ht="21" customHeight="1" x14ac:dyDescent="0.25">
      <c r="A577" s="44"/>
      <c r="B577" s="59" t="s">
        <v>46</v>
      </c>
      <c r="C577" s="77"/>
      <c r="D577" s="45"/>
      <c r="E577" s="45"/>
      <c r="F577" s="366" t="s">
        <v>48</v>
      </c>
      <c r="G577" s="366"/>
      <c r="H577" s="45"/>
      <c r="I577" s="366" t="s">
        <v>49</v>
      </c>
      <c r="J577" s="366"/>
      <c r="K577" s="366"/>
      <c r="L577" s="61"/>
      <c r="M577" s="45"/>
      <c r="N577" s="88"/>
      <c r="O577" s="89" t="s">
        <v>51</v>
      </c>
      <c r="P577" s="89"/>
      <c r="Q577" s="89"/>
      <c r="R577" s="89" t="str">
        <f>IF(Q577="","",R576-Q577)</f>
        <v/>
      </c>
      <c r="S577" s="93"/>
      <c r="T577" s="89" t="s">
        <v>51</v>
      </c>
      <c r="U577" s="162">
        <f>IF($J$1="April",Y576,Y576)</f>
        <v>0</v>
      </c>
      <c r="V577" s="91"/>
      <c r="W577" s="91">
        <f>V577+U577</f>
        <v>0</v>
      </c>
      <c r="X577" s="91"/>
      <c r="Y577" s="162">
        <f t="shared" ref="Y577:Y586" si="114">IF(W577="","",W577-X577)</f>
        <v>0</v>
      </c>
      <c r="Z577" s="80"/>
    </row>
    <row r="578" spans="1:26" s="43" customFormat="1" ht="21" customHeight="1" x14ac:dyDescent="0.25">
      <c r="A578" s="44"/>
      <c r="B578" s="45"/>
      <c r="C578" s="45"/>
      <c r="D578" s="45"/>
      <c r="E578" s="45"/>
      <c r="F578" s="45"/>
      <c r="G578" s="45"/>
      <c r="H578" s="62"/>
      <c r="L578" s="49"/>
      <c r="M578" s="45"/>
      <c r="N578" s="88"/>
      <c r="O578" s="89" t="s">
        <v>52</v>
      </c>
      <c r="P578" s="89"/>
      <c r="Q578" s="89"/>
      <c r="R578" s="89">
        <v>0</v>
      </c>
      <c r="S578" s="93"/>
      <c r="T578" s="89" t="s">
        <v>52</v>
      </c>
      <c r="U578" s="162">
        <f>IF($J$1="April",Y577,Y577)</f>
        <v>0</v>
      </c>
      <c r="V578" s="91"/>
      <c r="W578" s="91">
        <f>V578+U578</f>
        <v>0</v>
      </c>
      <c r="X578" s="91"/>
      <c r="Y578" s="162">
        <f t="shared" si="114"/>
        <v>0</v>
      </c>
      <c r="Z578" s="80"/>
    </row>
    <row r="579" spans="1:26" s="43" customFormat="1" ht="21" customHeight="1" x14ac:dyDescent="0.25">
      <c r="A579" s="44"/>
      <c r="B579" s="367" t="s">
        <v>47</v>
      </c>
      <c r="C579" s="368"/>
      <c r="D579" s="45"/>
      <c r="E579" s="45"/>
      <c r="F579" s="63" t="s">
        <v>69</v>
      </c>
      <c r="G579" s="58">
        <f>IF($J$1="January",U575,IF($J$1="February",U576,IF($J$1="March",U577,IF($J$1="April",U578,IF($J$1="May",U579,IF($J$1="June",U580,IF($J$1="July",U581,IF($J$1="August",U582,IF($J$1="August",U582,IF($J$1="September",U583,IF($J$1="October",U584,IF($J$1="November",U585,IF($J$1="December",U586)))))))))))))</f>
        <v>0</v>
      </c>
      <c r="H579" s="62"/>
      <c r="I579" s="64">
        <f>IF(C583&gt;0,$K$2,C581)</f>
        <v>0</v>
      </c>
      <c r="J579" s="65" t="s">
        <v>66</v>
      </c>
      <c r="K579" s="66">
        <f>K575/$K$2*I579</f>
        <v>0</v>
      </c>
      <c r="L579" s="67"/>
      <c r="M579" s="45"/>
      <c r="N579" s="88"/>
      <c r="O579" s="89" t="s">
        <v>53</v>
      </c>
      <c r="P579" s="89"/>
      <c r="Q579" s="89"/>
      <c r="R579" s="89">
        <v>0</v>
      </c>
      <c r="S579" s="93"/>
      <c r="T579" s="89" t="s">
        <v>53</v>
      </c>
      <c r="U579" s="162">
        <f>IF($J$1="May",Y578,Y578)</f>
        <v>0</v>
      </c>
      <c r="V579" s="91"/>
      <c r="W579" s="162">
        <f>V579</f>
        <v>0</v>
      </c>
      <c r="X579" s="91"/>
      <c r="Y579" s="162">
        <f t="shared" si="114"/>
        <v>0</v>
      </c>
      <c r="Z579" s="80"/>
    </row>
    <row r="580" spans="1:26" s="43" customFormat="1" ht="21" customHeight="1" x14ac:dyDescent="0.25">
      <c r="A580" s="44"/>
      <c r="B580" s="54"/>
      <c r="C580" s="54"/>
      <c r="D580" s="45"/>
      <c r="E580" s="45"/>
      <c r="F580" s="63" t="s">
        <v>23</v>
      </c>
      <c r="G580" s="58">
        <f>IF($J$1="January",V575,IF($J$1="February",V576,IF($J$1="March",V577,IF($J$1="April",V578,IF($J$1="May",V579,IF($J$1="June",V580,IF($J$1="July",V581,IF($J$1="August",V582,IF($J$1="August",V582,IF($J$1="September",V583,IF($J$1="October",V584,IF($J$1="November",V585,IF($J$1="December",V586)))))))))))))</f>
        <v>0</v>
      </c>
      <c r="H580" s="62"/>
      <c r="I580" s="108"/>
      <c r="J580" s="65" t="s">
        <v>67</v>
      </c>
      <c r="K580" s="68">
        <f>K575/$K$2/7*I580</f>
        <v>0</v>
      </c>
      <c r="L580" s="69"/>
      <c r="M580" s="45"/>
      <c r="N580" s="88"/>
      <c r="O580" s="89" t="s">
        <v>54</v>
      </c>
      <c r="P580" s="89"/>
      <c r="Q580" s="89"/>
      <c r="R580" s="89">
        <v>0</v>
      </c>
      <c r="S580" s="93"/>
      <c r="T580" s="89" t="s">
        <v>54</v>
      </c>
      <c r="U580" s="162" t="str">
        <f>IF($J$1="June",Y579,"")</f>
        <v/>
      </c>
      <c r="V580" s="91"/>
      <c r="W580" s="162" t="str">
        <f t="shared" ref="W580:W586" si="115">IF(U580="","",U580+V580)</f>
        <v/>
      </c>
      <c r="X580" s="91"/>
      <c r="Y580" s="162" t="str">
        <f t="shared" si="114"/>
        <v/>
      </c>
      <c r="Z580" s="80"/>
    </row>
    <row r="581" spans="1:26" s="43" customFormat="1" ht="21" customHeight="1" x14ac:dyDescent="0.25">
      <c r="A581" s="44"/>
      <c r="B581" s="63" t="s">
        <v>7</v>
      </c>
      <c r="C581" s="54">
        <f>IF($J$1="January",P575,IF($J$1="February",P576,IF($J$1="March",P577,IF($J$1="April",P578,IF($J$1="May",P579,IF($J$1="June",P580,IF($J$1="July",P581,IF($J$1="August",P582,IF($J$1="August",P582,IF($J$1="September",P583,IF($J$1="October",P584,IF($J$1="November",P585,IF($J$1="December",P586)))))))))))))</f>
        <v>0</v>
      </c>
      <c r="D581" s="45"/>
      <c r="E581" s="45"/>
      <c r="F581" s="63" t="s">
        <v>70</v>
      </c>
      <c r="G581" s="58">
        <f>IF($J$1="January",W575,IF($J$1="February",W576,IF($J$1="March",W577,IF($J$1="April",W578,IF($J$1="May",W579,IF($J$1="June",W580,IF($J$1="July",W581,IF($J$1="August",W582,IF($J$1="August",W582,IF($J$1="September",W583,IF($J$1="October",W584,IF($J$1="November",W585,IF($J$1="December",W586)))))))))))))</f>
        <v>0</v>
      </c>
      <c r="H581" s="62"/>
      <c r="I581" s="361" t="s">
        <v>74</v>
      </c>
      <c r="J581" s="362"/>
      <c r="K581" s="68">
        <f>K579+K580</f>
        <v>0</v>
      </c>
      <c r="L581" s="69"/>
      <c r="M581" s="45"/>
      <c r="N581" s="88"/>
      <c r="O581" s="89" t="s">
        <v>55</v>
      </c>
      <c r="P581" s="89"/>
      <c r="Q581" s="89"/>
      <c r="R581" s="89">
        <v>0</v>
      </c>
      <c r="S581" s="93"/>
      <c r="T581" s="89" t="s">
        <v>55</v>
      </c>
      <c r="U581" s="162" t="str">
        <f>Y580</f>
        <v/>
      </c>
      <c r="V581" s="91"/>
      <c r="W581" s="162">
        <f>V581</f>
        <v>0</v>
      </c>
      <c r="X581" s="91"/>
      <c r="Y581" s="162">
        <f t="shared" si="114"/>
        <v>0</v>
      </c>
      <c r="Z581" s="80"/>
    </row>
    <row r="582" spans="1:26" s="43" customFormat="1" ht="21" customHeight="1" x14ac:dyDescent="0.25">
      <c r="A582" s="44"/>
      <c r="B582" s="63" t="s">
        <v>6</v>
      </c>
      <c r="C582" s="54">
        <f>IF($J$1="January",Q575,IF($J$1="February",Q576,IF($J$1="March",Q577,IF($J$1="April",Q578,IF($J$1="May",Q579,IF($J$1="June",Q580,IF($J$1="July",Q581,IF($J$1="August",Q582,IF($J$1="August",Q582,IF($J$1="September",Q583,IF($J$1="October",Q584,IF($J$1="November",Q585,IF($J$1="December",Q586)))))))))))))</f>
        <v>0</v>
      </c>
      <c r="D582" s="45"/>
      <c r="E582" s="45"/>
      <c r="F582" s="63" t="s">
        <v>24</v>
      </c>
      <c r="G582" s="58">
        <f>IF($J$1="January",X575,IF($J$1="February",X576,IF($J$1="March",X577,IF($J$1="April",X578,IF($J$1="May",X579,IF($J$1="June",X580,IF($J$1="July",X581,IF($J$1="August",X582,IF($J$1="August",X582,IF($J$1="September",X583,IF($J$1="October",X584,IF($J$1="November",X585,IF($J$1="December",X586)))))))))))))</f>
        <v>0</v>
      </c>
      <c r="H582" s="62"/>
      <c r="I582" s="361" t="s">
        <v>75</v>
      </c>
      <c r="J582" s="362"/>
      <c r="K582" s="58">
        <f>G582</f>
        <v>0</v>
      </c>
      <c r="L582" s="70"/>
      <c r="M582" s="45"/>
      <c r="N582" s="88"/>
      <c r="O582" s="89" t="s">
        <v>56</v>
      </c>
      <c r="P582" s="89"/>
      <c r="Q582" s="89"/>
      <c r="R582" s="89">
        <v>0</v>
      </c>
      <c r="S582" s="93"/>
      <c r="T582" s="89" t="s">
        <v>56</v>
      </c>
      <c r="U582" s="162">
        <f>Y581</f>
        <v>0</v>
      </c>
      <c r="V582" s="91"/>
      <c r="W582" s="162">
        <f t="shared" si="115"/>
        <v>0</v>
      </c>
      <c r="X582" s="91"/>
      <c r="Y582" s="162">
        <f t="shared" si="114"/>
        <v>0</v>
      </c>
      <c r="Z582" s="80"/>
    </row>
    <row r="583" spans="1:26" s="43" customFormat="1" ht="21" customHeight="1" x14ac:dyDescent="0.25">
      <c r="A583" s="44"/>
      <c r="B583" s="71" t="s">
        <v>73</v>
      </c>
      <c r="C583" s="54">
        <f>IF($J$1="January",R575,IF($J$1="February",R576,IF($J$1="March",R577,IF($J$1="April",R578,IF($J$1="May",R579,IF($J$1="June",R580,IF($J$1="July",R581,IF($J$1="August",R582,IF($J$1="August",R582,IF($J$1="September",R583,IF($J$1="October",R584,IF($J$1="November",R585,IF($J$1="December",R586)))))))))))))</f>
        <v>0</v>
      </c>
      <c r="D583" s="45"/>
      <c r="E583" s="45"/>
      <c r="F583" s="63" t="s">
        <v>72</v>
      </c>
      <c r="G583" s="58">
        <f>IF($J$1="January",Y575,IF($J$1="February",Y576,IF($J$1="March",Y577,IF($J$1="April",Y578,IF($J$1="May",Y579,IF($J$1="June",Y580,IF($J$1="July",Y581,IF($J$1="August",Y582,IF($J$1="August",Y582,IF($J$1="September",Y583,IF($J$1="October",Y584,IF($J$1="November",Y585,IF($J$1="December",Y586)))))))))))))</f>
        <v>0</v>
      </c>
      <c r="H583" s="45"/>
      <c r="I583" s="363" t="s">
        <v>68</v>
      </c>
      <c r="J583" s="364"/>
      <c r="K583" s="72">
        <f>K581-K582</f>
        <v>0</v>
      </c>
      <c r="L583" s="73"/>
      <c r="M583" s="45"/>
      <c r="N583" s="88"/>
      <c r="O583" s="89" t="s">
        <v>61</v>
      </c>
      <c r="P583" s="89">
        <v>15</v>
      </c>
      <c r="Q583" s="89">
        <v>0</v>
      </c>
      <c r="R583" s="89">
        <v>0</v>
      </c>
      <c r="S583" s="93"/>
      <c r="T583" s="89" t="s">
        <v>61</v>
      </c>
      <c r="U583" s="162">
        <f>Y582</f>
        <v>0</v>
      </c>
      <c r="V583" s="91"/>
      <c r="W583" s="162">
        <f t="shared" si="115"/>
        <v>0</v>
      </c>
      <c r="X583" s="91"/>
      <c r="Y583" s="162">
        <f t="shared" si="114"/>
        <v>0</v>
      </c>
      <c r="Z583" s="80"/>
    </row>
    <row r="584" spans="1:26" s="43" customFormat="1" ht="21" customHeight="1" x14ac:dyDescent="0.25">
      <c r="A584" s="44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61"/>
      <c r="M584" s="45"/>
      <c r="N584" s="88"/>
      <c r="O584" s="89" t="s">
        <v>57</v>
      </c>
      <c r="P584" s="89"/>
      <c r="Q584" s="89"/>
      <c r="R584" s="89">
        <v>0</v>
      </c>
      <c r="S584" s="93"/>
      <c r="T584" s="89" t="s">
        <v>57</v>
      </c>
      <c r="U584" s="162">
        <f>Y583</f>
        <v>0</v>
      </c>
      <c r="V584" s="91"/>
      <c r="W584" s="162">
        <f t="shared" si="115"/>
        <v>0</v>
      </c>
      <c r="X584" s="91"/>
      <c r="Y584" s="162">
        <f t="shared" si="114"/>
        <v>0</v>
      </c>
      <c r="Z584" s="80"/>
    </row>
    <row r="585" spans="1:26" s="43" customFormat="1" ht="21" customHeight="1" x14ac:dyDescent="0.25">
      <c r="A585" s="44"/>
      <c r="B585" s="365" t="s">
        <v>103</v>
      </c>
      <c r="C585" s="365"/>
      <c r="D585" s="365"/>
      <c r="E585" s="365"/>
      <c r="F585" s="365"/>
      <c r="G585" s="365"/>
      <c r="H585" s="365"/>
      <c r="I585" s="365"/>
      <c r="J585" s="365"/>
      <c r="K585" s="365"/>
      <c r="L585" s="61"/>
      <c r="M585" s="45"/>
      <c r="N585" s="88"/>
      <c r="O585" s="89" t="s">
        <v>62</v>
      </c>
      <c r="P585" s="89"/>
      <c r="Q585" s="89"/>
      <c r="R585" s="89">
        <v>0</v>
      </c>
      <c r="S585" s="93"/>
      <c r="T585" s="89" t="s">
        <v>62</v>
      </c>
      <c r="U585" s="162"/>
      <c r="V585" s="91"/>
      <c r="W585" s="162" t="str">
        <f t="shared" si="115"/>
        <v/>
      </c>
      <c r="X585" s="91"/>
      <c r="Y585" s="162" t="str">
        <f t="shared" si="114"/>
        <v/>
      </c>
      <c r="Z585" s="80"/>
    </row>
    <row r="586" spans="1:26" s="43" customFormat="1" ht="21" customHeight="1" x14ac:dyDescent="0.25">
      <c r="A586" s="44"/>
      <c r="B586" s="365"/>
      <c r="C586" s="365"/>
      <c r="D586" s="365"/>
      <c r="E586" s="365"/>
      <c r="F586" s="365"/>
      <c r="G586" s="365"/>
      <c r="H586" s="365"/>
      <c r="I586" s="365"/>
      <c r="J586" s="365"/>
      <c r="K586" s="365"/>
      <c r="L586" s="61"/>
      <c r="M586" s="45"/>
      <c r="N586" s="88"/>
      <c r="O586" s="89" t="s">
        <v>63</v>
      </c>
      <c r="P586" s="89"/>
      <c r="Q586" s="89"/>
      <c r="R586" s="89" t="str">
        <f>IF(Q586="","",R585-Q586)</f>
        <v/>
      </c>
      <c r="S586" s="93"/>
      <c r="T586" s="89" t="s">
        <v>63</v>
      </c>
      <c r="U586" s="162"/>
      <c r="V586" s="91"/>
      <c r="W586" s="162" t="str">
        <f t="shared" si="115"/>
        <v/>
      </c>
      <c r="X586" s="91"/>
      <c r="Y586" s="162" t="str">
        <f t="shared" si="114"/>
        <v/>
      </c>
      <c r="Z586" s="80"/>
    </row>
    <row r="587" spans="1:26" s="43" customFormat="1" ht="21" customHeight="1" thickBot="1" x14ac:dyDescent="0.3">
      <c r="A587" s="74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6"/>
      <c r="N587" s="95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80"/>
    </row>
    <row r="588" spans="1:26" s="43" customFormat="1" ht="21" customHeight="1" x14ac:dyDescent="0.25">
      <c r="A588" s="383" t="s">
        <v>45</v>
      </c>
      <c r="B588" s="384"/>
      <c r="C588" s="384"/>
      <c r="D588" s="384"/>
      <c r="E588" s="384"/>
      <c r="F588" s="384"/>
      <c r="G588" s="384"/>
      <c r="H588" s="384"/>
      <c r="I588" s="384"/>
      <c r="J588" s="384"/>
      <c r="K588" s="384"/>
      <c r="L588" s="385"/>
      <c r="M588" s="99"/>
      <c r="N588" s="81"/>
      <c r="O588" s="372" t="s">
        <v>47</v>
      </c>
      <c r="P588" s="373"/>
      <c r="Q588" s="373"/>
      <c r="R588" s="374"/>
      <c r="S588" s="82"/>
      <c r="T588" s="372" t="s">
        <v>48</v>
      </c>
      <c r="U588" s="373"/>
      <c r="V588" s="373"/>
      <c r="W588" s="373"/>
      <c r="X588" s="373"/>
      <c r="Y588" s="374"/>
      <c r="Z588" s="80"/>
    </row>
    <row r="589" spans="1:26" s="43" customFormat="1" ht="21" customHeight="1" x14ac:dyDescent="0.25">
      <c r="A589" s="44"/>
      <c r="B589" s="45"/>
      <c r="C589" s="375" t="s">
        <v>101</v>
      </c>
      <c r="D589" s="375"/>
      <c r="E589" s="375"/>
      <c r="F589" s="375"/>
      <c r="G589" s="46" t="str">
        <f>$J$1</f>
        <v>October</v>
      </c>
      <c r="H589" s="376">
        <f>$K$1</f>
        <v>2020</v>
      </c>
      <c r="I589" s="376"/>
      <c r="J589" s="45"/>
      <c r="K589" s="47"/>
      <c r="L589" s="48"/>
      <c r="M589" s="47"/>
      <c r="N589" s="84"/>
      <c r="O589" s="85" t="s">
        <v>58</v>
      </c>
      <c r="P589" s="85" t="s">
        <v>7</v>
      </c>
      <c r="Q589" s="85" t="s">
        <v>6</v>
      </c>
      <c r="R589" s="85" t="s">
        <v>59</v>
      </c>
      <c r="S589" s="86"/>
      <c r="T589" s="85" t="s">
        <v>58</v>
      </c>
      <c r="U589" s="85" t="s">
        <v>60</v>
      </c>
      <c r="V589" s="85" t="s">
        <v>23</v>
      </c>
      <c r="W589" s="85" t="s">
        <v>22</v>
      </c>
      <c r="X589" s="85" t="s">
        <v>24</v>
      </c>
      <c r="Y589" s="85" t="s">
        <v>64</v>
      </c>
      <c r="Z589" s="80"/>
    </row>
    <row r="590" spans="1:26" s="43" customFormat="1" ht="21" customHeight="1" x14ac:dyDescent="0.25">
      <c r="A590" s="44"/>
      <c r="B590" s="45"/>
      <c r="C590" s="45"/>
      <c r="D590" s="50"/>
      <c r="E590" s="50"/>
      <c r="F590" s="50"/>
      <c r="G590" s="50"/>
      <c r="H590" s="50"/>
      <c r="I590" s="45"/>
      <c r="J590" s="51" t="s">
        <v>1</v>
      </c>
      <c r="K590" s="52">
        <f>SUM(25000)-25000*0.25</f>
        <v>18750</v>
      </c>
      <c r="L590" s="53"/>
      <c r="M590" s="45"/>
      <c r="N590" s="88"/>
      <c r="O590" s="89" t="s">
        <v>50</v>
      </c>
      <c r="P590" s="89">
        <v>31</v>
      </c>
      <c r="Q590" s="89">
        <v>0</v>
      </c>
      <c r="R590" s="89">
        <v>0</v>
      </c>
      <c r="S590" s="90"/>
      <c r="T590" s="89" t="s">
        <v>50</v>
      </c>
      <c r="U590" s="91"/>
      <c r="V590" s="91"/>
      <c r="W590" s="91">
        <f>V590+U590</f>
        <v>0</v>
      </c>
      <c r="X590" s="91"/>
      <c r="Y590" s="91">
        <f>W590-X590</f>
        <v>0</v>
      </c>
      <c r="Z590" s="80"/>
    </row>
    <row r="591" spans="1:26" s="43" customFormat="1" ht="21" customHeight="1" x14ac:dyDescent="0.25">
      <c r="A591" s="44"/>
      <c r="B591" s="45" t="s">
        <v>0</v>
      </c>
      <c r="C591" s="98" t="s">
        <v>146</v>
      </c>
      <c r="D591" s="45"/>
      <c r="E591" s="45"/>
      <c r="F591" s="45"/>
      <c r="G591" s="45"/>
      <c r="H591" s="56"/>
      <c r="I591" s="50"/>
      <c r="J591" s="45"/>
      <c r="K591" s="45"/>
      <c r="L591" s="57"/>
      <c r="M591" s="99"/>
      <c r="N591" s="92"/>
      <c r="O591" s="89" t="s">
        <v>76</v>
      </c>
      <c r="P591" s="89">
        <v>29</v>
      </c>
      <c r="Q591" s="89">
        <v>0</v>
      </c>
      <c r="R591" s="89">
        <f>IF(Q591="","",R590-Q591)</f>
        <v>0</v>
      </c>
      <c r="S591" s="93"/>
      <c r="T591" s="89" t="s">
        <v>76</v>
      </c>
      <c r="U591" s="162">
        <f>IF($J$1="January","",Y590)</f>
        <v>0</v>
      </c>
      <c r="V591" s="91"/>
      <c r="W591" s="162">
        <f>IF(U591="","",U591+V591)</f>
        <v>0</v>
      </c>
      <c r="X591" s="91"/>
      <c r="Y591" s="162">
        <f>IF(W591="","",W591-X591)</f>
        <v>0</v>
      </c>
      <c r="Z591" s="80"/>
    </row>
    <row r="592" spans="1:26" s="43" customFormat="1" ht="21" customHeight="1" x14ac:dyDescent="0.25">
      <c r="A592" s="44"/>
      <c r="B592" s="59" t="s">
        <v>46</v>
      </c>
      <c r="C592" s="60"/>
      <c r="D592" s="45"/>
      <c r="E592" s="45"/>
      <c r="F592" s="366" t="s">
        <v>48</v>
      </c>
      <c r="G592" s="366"/>
      <c r="H592" s="45"/>
      <c r="I592" s="366" t="s">
        <v>49</v>
      </c>
      <c r="J592" s="366"/>
      <c r="K592" s="366"/>
      <c r="L592" s="61"/>
      <c r="M592" s="45"/>
      <c r="N592" s="88"/>
      <c r="O592" s="89" t="s">
        <v>51</v>
      </c>
      <c r="P592" s="89">
        <v>31</v>
      </c>
      <c r="Q592" s="89">
        <v>0</v>
      </c>
      <c r="R592" s="89">
        <f t="shared" ref="R592:R600" si="116">IF(Q592="","",R591-Q592)</f>
        <v>0</v>
      </c>
      <c r="S592" s="93"/>
      <c r="T592" s="89" t="s">
        <v>51</v>
      </c>
      <c r="U592" s="162">
        <f>IF($J$1="February","",Y591)</f>
        <v>0</v>
      </c>
      <c r="V592" s="91"/>
      <c r="W592" s="162">
        <f t="shared" ref="W592:W601" si="117">IF(U592="","",U592+V592)</f>
        <v>0</v>
      </c>
      <c r="X592" s="91"/>
      <c r="Y592" s="162">
        <f t="shared" ref="Y592:Y601" si="118">IF(W592="","",W592-X592)</f>
        <v>0</v>
      </c>
      <c r="Z592" s="80"/>
    </row>
    <row r="593" spans="1:27" s="43" customFormat="1" ht="21" customHeight="1" x14ac:dyDescent="0.25">
      <c r="A593" s="44"/>
      <c r="B593" s="45"/>
      <c r="C593" s="45"/>
      <c r="D593" s="45"/>
      <c r="E593" s="45"/>
      <c r="F593" s="45"/>
      <c r="G593" s="45"/>
      <c r="H593" s="62"/>
      <c r="L593" s="49"/>
      <c r="M593" s="45"/>
      <c r="N593" s="88"/>
      <c r="O593" s="89" t="s">
        <v>52</v>
      </c>
      <c r="P593" s="89">
        <v>30</v>
      </c>
      <c r="Q593" s="89">
        <v>0</v>
      </c>
      <c r="R593" s="89">
        <v>0</v>
      </c>
      <c r="S593" s="93"/>
      <c r="T593" s="89" t="s">
        <v>52</v>
      </c>
      <c r="U593" s="162">
        <f>IF($J$1="March","",Y592)</f>
        <v>0</v>
      </c>
      <c r="V593" s="91"/>
      <c r="W593" s="162">
        <f t="shared" si="117"/>
        <v>0</v>
      </c>
      <c r="X593" s="91"/>
      <c r="Y593" s="162">
        <f t="shared" si="118"/>
        <v>0</v>
      </c>
      <c r="Z593" s="80"/>
    </row>
    <row r="594" spans="1:27" s="43" customFormat="1" ht="21" customHeight="1" x14ac:dyDescent="0.25">
      <c r="A594" s="44"/>
      <c r="B594" s="367" t="s">
        <v>47</v>
      </c>
      <c r="C594" s="368"/>
      <c r="D594" s="45"/>
      <c r="E594" s="45"/>
      <c r="F594" s="63" t="s">
        <v>69</v>
      </c>
      <c r="G594" s="58">
        <f>IF($J$1="January",U590,IF($J$1="February",U591,IF($J$1="March",U592,IF($J$1="April",U593,IF($J$1="May",U594,IF($J$1="June",U595,IF($J$1="July",U596,IF($J$1="August",U597,IF($J$1="August",U597,IF($J$1="September",U598,IF($J$1="October",U599,IF($J$1="November",U600,IF($J$1="December",U601)))))))))))))</f>
        <v>0</v>
      </c>
      <c r="H594" s="62"/>
      <c r="I594" s="64">
        <f>IF(C598&gt;0,$K$2,C596)</f>
        <v>31</v>
      </c>
      <c r="J594" s="65" t="s">
        <v>66</v>
      </c>
      <c r="K594" s="66">
        <f>K590/$K$2*I594</f>
        <v>18750</v>
      </c>
      <c r="L594" s="67"/>
      <c r="M594" s="45"/>
      <c r="N594" s="88"/>
      <c r="O594" s="89" t="s">
        <v>53</v>
      </c>
      <c r="P594" s="89">
        <v>31</v>
      </c>
      <c r="Q594" s="89">
        <v>0</v>
      </c>
      <c r="R594" s="89">
        <v>0</v>
      </c>
      <c r="S594" s="93"/>
      <c r="T594" s="89" t="s">
        <v>53</v>
      </c>
      <c r="U594" s="162">
        <f>IF($J$1="April","",Y593)</f>
        <v>0</v>
      </c>
      <c r="V594" s="91"/>
      <c r="W594" s="162">
        <f t="shared" si="117"/>
        <v>0</v>
      </c>
      <c r="X594" s="91"/>
      <c r="Y594" s="162">
        <f t="shared" si="118"/>
        <v>0</v>
      </c>
      <c r="Z594" s="80"/>
    </row>
    <row r="595" spans="1:27" s="43" customFormat="1" ht="21" customHeight="1" x14ac:dyDescent="0.25">
      <c r="A595" s="44"/>
      <c r="B595" s="54"/>
      <c r="C595" s="54"/>
      <c r="D595" s="45"/>
      <c r="E595" s="45"/>
      <c r="F595" s="63" t="s">
        <v>23</v>
      </c>
      <c r="G595" s="58">
        <f>IF($J$1="January",V590,IF($J$1="February",V591,IF($J$1="March",V592,IF($J$1="April",V593,IF($J$1="May",V594,IF($J$1="June",V595,IF($J$1="July",V596,IF($J$1="August",V597,IF($J$1="August",V597,IF($J$1="September",V598,IF($J$1="October",V599,IF($J$1="November",V600,IF($J$1="December",V601)))))))))))))</f>
        <v>0</v>
      </c>
      <c r="H595" s="62"/>
      <c r="I595" s="108"/>
      <c r="J595" s="65" t="s">
        <v>67</v>
      </c>
      <c r="K595" s="68">
        <f>K590/$K$2/8*I595</f>
        <v>0</v>
      </c>
      <c r="L595" s="69"/>
      <c r="M595" s="45"/>
      <c r="N595" s="88"/>
      <c r="O595" s="89" t="s">
        <v>54</v>
      </c>
      <c r="P595" s="89">
        <v>30</v>
      </c>
      <c r="Q595" s="89">
        <v>0</v>
      </c>
      <c r="R595" s="89">
        <v>0</v>
      </c>
      <c r="S595" s="93"/>
      <c r="T595" s="89" t="s">
        <v>54</v>
      </c>
      <c r="U595" s="162">
        <f>IF($J$1="May","",Y594)</f>
        <v>0</v>
      </c>
      <c r="V595" s="91"/>
      <c r="W595" s="162">
        <f t="shared" si="117"/>
        <v>0</v>
      </c>
      <c r="X595" s="91"/>
      <c r="Y595" s="162">
        <f t="shared" si="118"/>
        <v>0</v>
      </c>
      <c r="Z595" s="80"/>
    </row>
    <row r="596" spans="1:27" s="43" customFormat="1" ht="21" customHeight="1" x14ac:dyDescent="0.25">
      <c r="A596" s="44"/>
      <c r="B596" s="63" t="s">
        <v>7</v>
      </c>
      <c r="C596" s="54">
        <f>IF($J$1="January",P590,IF($J$1="February",P591,IF($J$1="March",P592,IF($J$1="April",P593,IF($J$1="May",P594,IF($J$1="June",P595,IF($J$1="July",P596,IF($J$1="August",P597,IF($J$1="August",P597,IF($J$1="September",P598,IF($J$1="October",P599,IF($J$1="November",P600,IF($J$1="December",P601)))))))))))))</f>
        <v>31</v>
      </c>
      <c r="D596" s="45"/>
      <c r="E596" s="45"/>
      <c r="F596" s="63" t="s">
        <v>70</v>
      </c>
      <c r="G596" s="58">
        <f>IF($J$1="January",W590,IF($J$1="February",W591,IF($J$1="March",W592,IF($J$1="April",W593,IF($J$1="May",W594,IF($J$1="June",W595,IF($J$1="July",W596,IF($J$1="August",W597,IF($J$1="August",W597,IF($J$1="September",W598,IF($J$1="October",W599,IF($J$1="November",W600,IF($J$1="December",W601)))))))))))))</f>
        <v>0</v>
      </c>
      <c r="H596" s="62"/>
      <c r="I596" s="361" t="s">
        <v>74</v>
      </c>
      <c r="J596" s="362"/>
      <c r="K596" s="68">
        <f>K594+K595</f>
        <v>18750</v>
      </c>
      <c r="L596" s="69"/>
      <c r="M596" s="45"/>
      <c r="N596" s="88"/>
      <c r="O596" s="89" t="s">
        <v>55</v>
      </c>
      <c r="P596" s="89">
        <v>31</v>
      </c>
      <c r="Q596" s="89">
        <v>0</v>
      </c>
      <c r="R596" s="89">
        <v>0</v>
      </c>
      <c r="S596" s="93"/>
      <c r="T596" s="89" t="s">
        <v>55</v>
      </c>
      <c r="U596" s="162">
        <f>IF($J$1="June","",Y595)</f>
        <v>0</v>
      </c>
      <c r="V596" s="91"/>
      <c r="W596" s="162">
        <f t="shared" si="117"/>
        <v>0</v>
      </c>
      <c r="X596" s="91"/>
      <c r="Y596" s="162">
        <f t="shared" si="118"/>
        <v>0</v>
      </c>
      <c r="Z596" s="80"/>
    </row>
    <row r="597" spans="1:27" s="43" customFormat="1" ht="21" customHeight="1" x14ac:dyDescent="0.25">
      <c r="A597" s="44"/>
      <c r="B597" s="63" t="s">
        <v>6</v>
      </c>
      <c r="C597" s="54">
        <f>IF($J$1="January",Q590,IF($J$1="February",Q591,IF($J$1="March",Q592,IF($J$1="April",Q593,IF($J$1="May",Q594,IF($J$1="June",Q595,IF($J$1="July",Q596,IF($J$1="August",Q597,IF($J$1="August",Q597,IF($J$1="September",Q598,IF($J$1="October",Q599,IF($J$1="November",Q600,IF($J$1="December",Q601)))))))))))))</f>
        <v>0</v>
      </c>
      <c r="D597" s="45"/>
      <c r="E597" s="45"/>
      <c r="F597" s="63" t="s">
        <v>24</v>
      </c>
      <c r="G597" s="58">
        <f>IF($J$1="January",X590,IF($J$1="February",X591,IF($J$1="March",X592,IF($J$1="April",X593,IF($J$1="May",X594,IF($J$1="June",X595,IF($J$1="July",X596,IF($J$1="August",X597,IF($J$1="August",X597,IF($J$1="September",X598,IF($J$1="October",X599,IF($J$1="November",X600,IF($J$1="December",X601)))))))))))))</f>
        <v>0</v>
      </c>
      <c r="H597" s="62"/>
      <c r="I597" s="361" t="s">
        <v>75</v>
      </c>
      <c r="J597" s="362"/>
      <c r="K597" s="58">
        <f>G597</f>
        <v>0</v>
      </c>
      <c r="L597" s="70"/>
      <c r="M597" s="45"/>
      <c r="N597" s="88"/>
      <c r="O597" s="89" t="s">
        <v>56</v>
      </c>
      <c r="P597" s="89">
        <v>31</v>
      </c>
      <c r="Q597" s="89">
        <v>0</v>
      </c>
      <c r="R597" s="89">
        <f t="shared" si="116"/>
        <v>0</v>
      </c>
      <c r="S597" s="93"/>
      <c r="T597" s="89" t="s">
        <v>56</v>
      </c>
      <c r="U597" s="162">
        <f>IF($J$1="July","",Y596)</f>
        <v>0</v>
      </c>
      <c r="V597" s="91"/>
      <c r="W597" s="162">
        <f t="shared" si="117"/>
        <v>0</v>
      </c>
      <c r="X597" s="91"/>
      <c r="Y597" s="162">
        <f t="shared" si="118"/>
        <v>0</v>
      </c>
      <c r="Z597" s="80"/>
    </row>
    <row r="598" spans="1:27" s="43" customFormat="1" ht="21" customHeight="1" x14ac:dyDescent="0.25">
      <c r="A598" s="44"/>
      <c r="B598" s="71" t="s">
        <v>73</v>
      </c>
      <c r="C598" s="54">
        <f>IF($J$1="January",R590,IF($J$1="February",R591,IF($J$1="March",R592,IF($J$1="April",R593,IF($J$1="May",R594,IF($J$1="June",R595,IF($J$1="July",R596,IF($J$1="August",R597,IF($J$1="August",R597,IF($J$1="September",R598,IF($J$1="October",R599,IF($J$1="November",R600,IF($J$1="December",R601)))))))))))))</f>
        <v>0</v>
      </c>
      <c r="D598" s="45"/>
      <c r="E598" s="45"/>
      <c r="F598" s="63" t="s">
        <v>72</v>
      </c>
      <c r="G598" s="58">
        <f>IF($J$1="January",Y590,IF($J$1="February",Y591,IF($J$1="March",Y592,IF($J$1="April",Y593,IF($J$1="May",Y594,IF($J$1="June",Y595,IF($J$1="July",Y596,IF($J$1="August",Y597,IF($J$1="August",Y597,IF($J$1="September",Y598,IF($J$1="October",Y599,IF($J$1="November",Y600,IF($J$1="December",Y601)))))))))))))</f>
        <v>0</v>
      </c>
      <c r="H598" s="45"/>
      <c r="I598" s="366" t="s">
        <v>68</v>
      </c>
      <c r="J598" s="366"/>
      <c r="K598" s="72">
        <f>K596-K597</f>
        <v>18750</v>
      </c>
      <c r="L598" s="73"/>
      <c r="M598" s="45"/>
      <c r="N598" s="88"/>
      <c r="O598" s="89" t="s">
        <v>61</v>
      </c>
      <c r="P598" s="89">
        <v>30</v>
      </c>
      <c r="Q598" s="89">
        <v>0</v>
      </c>
      <c r="R598" s="89">
        <f t="shared" si="116"/>
        <v>0</v>
      </c>
      <c r="S598" s="93"/>
      <c r="T598" s="89" t="s">
        <v>61</v>
      </c>
      <c r="U598" s="162">
        <f>IF($J$1="August","",Y597)</f>
        <v>0</v>
      </c>
      <c r="V598" s="91"/>
      <c r="W598" s="162">
        <f t="shared" si="117"/>
        <v>0</v>
      </c>
      <c r="X598" s="91"/>
      <c r="Y598" s="162">
        <f t="shared" si="118"/>
        <v>0</v>
      </c>
      <c r="Z598" s="80"/>
    </row>
    <row r="599" spans="1:27" s="43" customFormat="1" ht="21" customHeight="1" x14ac:dyDescent="0.25">
      <c r="A599" s="44"/>
      <c r="B599" s="45"/>
      <c r="C599" s="45"/>
      <c r="D599" s="45"/>
      <c r="E599" s="45"/>
      <c r="F599" s="45"/>
      <c r="G599" s="45"/>
      <c r="H599" s="45"/>
      <c r="I599" s="400"/>
      <c r="J599" s="400"/>
      <c r="K599" s="62"/>
      <c r="L599" s="61"/>
      <c r="M599" s="45"/>
      <c r="N599" s="88"/>
      <c r="O599" s="89" t="s">
        <v>57</v>
      </c>
      <c r="P599" s="89">
        <v>31</v>
      </c>
      <c r="Q599" s="89">
        <v>0</v>
      </c>
      <c r="R599" s="89">
        <v>0</v>
      </c>
      <c r="S599" s="93"/>
      <c r="T599" s="89" t="s">
        <v>57</v>
      </c>
      <c r="U599" s="162">
        <f>IF($J$1="September","",Y598)</f>
        <v>0</v>
      </c>
      <c r="V599" s="91"/>
      <c r="W599" s="162">
        <f t="shared" si="117"/>
        <v>0</v>
      </c>
      <c r="X599" s="91"/>
      <c r="Y599" s="162">
        <f t="shared" si="118"/>
        <v>0</v>
      </c>
      <c r="Z599" s="80"/>
    </row>
    <row r="600" spans="1:27" s="43" customFormat="1" ht="21" customHeight="1" x14ac:dyDescent="0.4">
      <c r="A600" s="44"/>
      <c r="B600" s="197"/>
      <c r="C600" s="197"/>
      <c r="D600" s="197"/>
      <c r="E600" s="197"/>
      <c r="F600" s="197"/>
      <c r="G600" s="197"/>
      <c r="H600" s="197"/>
      <c r="I600" s="400"/>
      <c r="J600" s="400"/>
      <c r="K600" s="198"/>
      <c r="L600" s="61"/>
      <c r="M600" s="45"/>
      <c r="N600" s="88"/>
      <c r="O600" s="89" t="s">
        <v>62</v>
      </c>
      <c r="P600" s="89"/>
      <c r="Q600" s="89"/>
      <c r="R600" s="89" t="str">
        <f t="shared" si="116"/>
        <v/>
      </c>
      <c r="S600" s="93"/>
      <c r="T600" s="89" t="s">
        <v>62</v>
      </c>
      <c r="U600" s="162" t="str">
        <f>IF($J$1="October","",Y599)</f>
        <v/>
      </c>
      <c r="V600" s="91"/>
      <c r="W600" s="162" t="str">
        <f t="shared" si="117"/>
        <v/>
      </c>
      <c r="X600" s="91"/>
      <c r="Y600" s="162" t="str">
        <f t="shared" si="118"/>
        <v/>
      </c>
      <c r="Z600" s="80"/>
    </row>
    <row r="601" spans="1:27" s="43" customFormat="1" ht="21" customHeight="1" x14ac:dyDescent="0.4">
      <c r="A601" s="44"/>
      <c r="B601" s="197"/>
      <c r="C601" s="197"/>
      <c r="D601" s="197"/>
      <c r="E601" s="197"/>
      <c r="F601" s="197"/>
      <c r="G601" s="197"/>
      <c r="H601" s="197"/>
      <c r="I601" s="197"/>
      <c r="J601" s="197"/>
      <c r="K601" s="197"/>
      <c r="L601" s="61"/>
      <c r="M601" s="45"/>
      <c r="N601" s="88"/>
      <c r="O601" s="89" t="s">
        <v>63</v>
      </c>
      <c r="P601" s="89"/>
      <c r="Q601" s="89"/>
      <c r="R601" s="89">
        <v>0</v>
      </c>
      <c r="S601" s="93"/>
      <c r="T601" s="89" t="s">
        <v>63</v>
      </c>
      <c r="U601" s="162" t="str">
        <f>IF($J$1="November","",Y600)</f>
        <v/>
      </c>
      <c r="V601" s="91"/>
      <c r="W601" s="162" t="str">
        <f t="shared" si="117"/>
        <v/>
      </c>
      <c r="X601" s="91"/>
      <c r="Y601" s="162" t="str">
        <f t="shared" si="118"/>
        <v/>
      </c>
      <c r="Z601" s="80"/>
    </row>
    <row r="602" spans="1:27" s="43" customFormat="1" ht="21" customHeight="1" thickBot="1" x14ac:dyDescent="0.3">
      <c r="A602" s="74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6"/>
      <c r="N602" s="95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80"/>
    </row>
    <row r="603" spans="1:27" s="43" customFormat="1" ht="21" customHeight="1" x14ac:dyDescent="0.25">
      <c r="A603" s="377" t="s">
        <v>45</v>
      </c>
      <c r="B603" s="378"/>
      <c r="C603" s="378"/>
      <c r="D603" s="378"/>
      <c r="E603" s="378"/>
      <c r="F603" s="378"/>
      <c r="G603" s="378"/>
      <c r="H603" s="378"/>
      <c r="I603" s="378"/>
      <c r="J603" s="378"/>
      <c r="K603" s="378"/>
      <c r="L603" s="379"/>
      <c r="M603" s="42"/>
      <c r="N603" s="81"/>
      <c r="O603" s="372" t="s">
        <v>47</v>
      </c>
      <c r="P603" s="373"/>
      <c r="Q603" s="373"/>
      <c r="R603" s="374"/>
      <c r="S603" s="82"/>
      <c r="T603" s="372" t="s">
        <v>48</v>
      </c>
      <c r="U603" s="373"/>
      <c r="V603" s="373"/>
      <c r="W603" s="373"/>
      <c r="X603" s="373"/>
      <c r="Y603" s="374"/>
      <c r="Z603" s="83"/>
      <c r="AA603" s="42"/>
    </row>
    <row r="604" spans="1:27" s="43" customFormat="1" ht="21" customHeight="1" x14ac:dyDescent="0.25">
      <c r="A604" s="44"/>
      <c r="B604" s="45"/>
      <c r="C604" s="375" t="s">
        <v>101</v>
      </c>
      <c r="D604" s="375"/>
      <c r="E604" s="375"/>
      <c r="F604" s="375"/>
      <c r="G604" s="46" t="str">
        <f>$J$1</f>
        <v>October</v>
      </c>
      <c r="H604" s="376">
        <f>$K$1</f>
        <v>2020</v>
      </c>
      <c r="I604" s="376"/>
      <c r="J604" s="45"/>
      <c r="K604" s="47"/>
      <c r="L604" s="48"/>
      <c r="M604" s="47"/>
      <c r="N604" s="84"/>
      <c r="O604" s="85" t="s">
        <v>58</v>
      </c>
      <c r="P604" s="85" t="s">
        <v>7</v>
      </c>
      <c r="Q604" s="85" t="s">
        <v>6</v>
      </c>
      <c r="R604" s="85" t="s">
        <v>59</v>
      </c>
      <c r="S604" s="86"/>
      <c r="T604" s="85" t="s">
        <v>58</v>
      </c>
      <c r="U604" s="85" t="s">
        <v>60</v>
      </c>
      <c r="V604" s="85" t="s">
        <v>23</v>
      </c>
      <c r="W604" s="85" t="s">
        <v>22</v>
      </c>
      <c r="X604" s="85" t="s">
        <v>24</v>
      </c>
      <c r="Y604" s="85" t="s">
        <v>64</v>
      </c>
      <c r="Z604" s="87"/>
      <c r="AA604" s="47"/>
    </row>
    <row r="605" spans="1:27" s="43" customFormat="1" ht="21" customHeight="1" x14ac:dyDescent="0.25">
      <c r="A605" s="44"/>
      <c r="B605" s="45"/>
      <c r="C605" s="45"/>
      <c r="D605" s="50"/>
      <c r="E605" s="50"/>
      <c r="F605" s="50"/>
      <c r="G605" s="50"/>
      <c r="H605" s="50"/>
      <c r="I605" s="45"/>
      <c r="J605" s="51" t="s">
        <v>1</v>
      </c>
      <c r="K605" s="52">
        <v>24000</v>
      </c>
      <c r="L605" s="53"/>
      <c r="M605" s="45"/>
      <c r="N605" s="88"/>
      <c r="O605" s="89" t="s">
        <v>50</v>
      </c>
      <c r="P605" s="89">
        <v>30</v>
      </c>
      <c r="Q605" s="89">
        <v>1</v>
      </c>
      <c r="R605" s="89">
        <f>15-Q605</f>
        <v>14</v>
      </c>
      <c r="S605" s="90"/>
      <c r="T605" s="89" t="s">
        <v>50</v>
      </c>
      <c r="U605" s="91">
        <v>21000</v>
      </c>
      <c r="V605" s="91">
        <v>1000</v>
      </c>
      <c r="W605" s="91">
        <f>V605+U605</f>
        <v>22000</v>
      </c>
      <c r="X605" s="91">
        <v>1000</v>
      </c>
      <c r="Y605" s="91">
        <f>W605-X605</f>
        <v>21000</v>
      </c>
      <c r="Z605" s="87"/>
      <c r="AA605" s="45"/>
    </row>
    <row r="606" spans="1:27" s="43" customFormat="1" ht="21" customHeight="1" x14ac:dyDescent="0.25">
      <c r="A606" s="44"/>
      <c r="B606" s="45" t="s">
        <v>0</v>
      </c>
      <c r="C606" s="55" t="s">
        <v>97</v>
      </c>
      <c r="D606" s="45"/>
      <c r="E606" s="45"/>
      <c r="F606" s="45"/>
      <c r="G606" s="45"/>
      <c r="H606" s="56"/>
      <c r="I606" s="50"/>
      <c r="J606" s="45"/>
      <c r="K606" s="45"/>
      <c r="L606" s="57"/>
      <c r="M606" s="42"/>
      <c r="N606" s="92"/>
      <c r="O606" s="89" t="s">
        <v>76</v>
      </c>
      <c r="P606" s="89">
        <v>29</v>
      </c>
      <c r="Q606" s="89">
        <v>0</v>
      </c>
      <c r="R606" s="89">
        <f>IF(Q606="","",R605-Q606)</f>
        <v>14</v>
      </c>
      <c r="S606" s="93"/>
      <c r="T606" s="89" t="s">
        <v>76</v>
      </c>
      <c r="U606" s="162">
        <f>IF($J$1="January","",Y605)</f>
        <v>21000</v>
      </c>
      <c r="V606" s="91"/>
      <c r="W606" s="162">
        <f>IF(U606="","",U606+V606)</f>
        <v>21000</v>
      </c>
      <c r="X606" s="91">
        <v>1000</v>
      </c>
      <c r="Y606" s="162">
        <f>IF(W606="","",W606-X606)</f>
        <v>20000</v>
      </c>
      <c r="Z606" s="94"/>
      <c r="AA606" s="42"/>
    </row>
    <row r="607" spans="1:27" s="43" customFormat="1" ht="21" customHeight="1" x14ac:dyDescent="0.25">
      <c r="A607" s="44"/>
      <c r="B607" s="59" t="s">
        <v>46</v>
      </c>
      <c r="C607" s="60"/>
      <c r="D607" s="45"/>
      <c r="E607" s="45"/>
      <c r="F607" s="366" t="s">
        <v>48</v>
      </c>
      <c r="G607" s="366"/>
      <c r="H607" s="45"/>
      <c r="I607" s="366" t="s">
        <v>49</v>
      </c>
      <c r="J607" s="366"/>
      <c r="K607" s="366"/>
      <c r="L607" s="61"/>
      <c r="M607" s="45"/>
      <c r="N607" s="88"/>
      <c r="O607" s="89" t="s">
        <v>51</v>
      </c>
      <c r="P607" s="89">
        <v>28</v>
      </c>
      <c r="Q607" s="89">
        <v>3</v>
      </c>
      <c r="R607" s="89">
        <f>IF(Q607="","",R606-Q607)</f>
        <v>11</v>
      </c>
      <c r="S607" s="93"/>
      <c r="T607" s="89" t="s">
        <v>51</v>
      </c>
      <c r="U607" s="162">
        <f>IF($J$1="February","",Y606)</f>
        <v>20000</v>
      </c>
      <c r="V607" s="91">
        <v>5000</v>
      </c>
      <c r="W607" s="162">
        <f t="shared" ref="W607:W616" si="119">IF(U607="","",U607+V607)</f>
        <v>25000</v>
      </c>
      <c r="X607" s="91"/>
      <c r="Y607" s="162">
        <f t="shared" ref="Y607:Y616" si="120">IF(W607="","",W607-X607)</f>
        <v>25000</v>
      </c>
      <c r="Z607" s="94"/>
      <c r="AA607" s="45"/>
    </row>
    <row r="608" spans="1:27" s="43" customFormat="1" ht="21" customHeight="1" x14ac:dyDescent="0.25">
      <c r="A608" s="44"/>
      <c r="B608" s="45"/>
      <c r="C608" s="45"/>
      <c r="D608" s="45"/>
      <c r="E608" s="45"/>
      <c r="F608" s="45"/>
      <c r="G608" s="45"/>
      <c r="H608" s="62"/>
      <c r="L608" s="49"/>
      <c r="M608" s="45"/>
      <c r="N608" s="88"/>
      <c r="O608" s="89" t="s">
        <v>52</v>
      </c>
      <c r="P608" s="89">
        <v>28</v>
      </c>
      <c r="Q608" s="89">
        <v>2</v>
      </c>
      <c r="R608" s="89">
        <f t="shared" ref="R608:R614" si="121">IF(Q608="","",R607-Q608)</f>
        <v>9</v>
      </c>
      <c r="S608" s="93"/>
      <c r="T608" s="89" t="s">
        <v>52</v>
      </c>
      <c r="U608" s="162">
        <f>IF($J$1="March","",Y607)</f>
        <v>25000</v>
      </c>
      <c r="V608" s="91"/>
      <c r="W608" s="162">
        <f t="shared" si="119"/>
        <v>25000</v>
      </c>
      <c r="X608" s="91"/>
      <c r="Y608" s="162">
        <f t="shared" si="120"/>
        <v>25000</v>
      </c>
      <c r="Z608" s="94"/>
      <c r="AA608" s="45"/>
    </row>
    <row r="609" spans="1:27" s="43" customFormat="1" ht="21" customHeight="1" x14ac:dyDescent="0.25">
      <c r="A609" s="44"/>
      <c r="B609" s="367" t="s">
        <v>47</v>
      </c>
      <c r="C609" s="368"/>
      <c r="D609" s="45"/>
      <c r="E609" s="45"/>
      <c r="F609" s="63" t="s">
        <v>69</v>
      </c>
      <c r="G609" s="58">
        <f>IF($J$1="January",U605,IF($J$1="February",U606,IF($J$1="March",U607,IF($J$1="April",U608,IF($J$1="May",U609,IF($J$1="June",U610,IF($J$1="July",U611,IF($J$1="August",U612,IF($J$1="August",U612,IF($J$1="September",U613,IF($J$1="October",U614,IF($J$1="November",U615,IF($J$1="December",U616)))))))))))))</f>
        <v>9040</v>
      </c>
      <c r="H609" s="62"/>
      <c r="I609" s="327">
        <f>IF(C613&gt;0,$K$2,C611)+3</f>
        <v>31</v>
      </c>
      <c r="J609" s="65" t="s">
        <v>66</v>
      </c>
      <c r="K609" s="66">
        <f>K605/$K$2*I609</f>
        <v>24000</v>
      </c>
      <c r="L609" s="67"/>
      <c r="M609" s="45"/>
      <c r="N609" s="88"/>
      <c r="O609" s="89" t="s">
        <v>53</v>
      </c>
      <c r="P609" s="89">
        <v>31</v>
      </c>
      <c r="Q609" s="89">
        <v>0</v>
      </c>
      <c r="R609" s="89">
        <f t="shared" si="121"/>
        <v>9</v>
      </c>
      <c r="S609" s="93"/>
      <c r="T609" s="89" t="s">
        <v>53</v>
      </c>
      <c r="U609" s="162">
        <f>IF($J$1="April","",Y608)</f>
        <v>25000</v>
      </c>
      <c r="V609" s="91">
        <v>5000</v>
      </c>
      <c r="W609" s="162">
        <f t="shared" si="119"/>
        <v>30000</v>
      </c>
      <c r="X609" s="91">
        <v>7000</v>
      </c>
      <c r="Y609" s="162">
        <f t="shared" si="120"/>
        <v>23000</v>
      </c>
      <c r="Z609" s="94"/>
      <c r="AA609" s="45"/>
    </row>
    <row r="610" spans="1:27" s="43" customFormat="1" ht="21" customHeight="1" x14ac:dyDescent="0.25">
      <c r="A610" s="44"/>
      <c r="B610" s="54"/>
      <c r="C610" s="54"/>
      <c r="D610" s="45"/>
      <c r="E610" s="45"/>
      <c r="F610" s="63" t="s">
        <v>23</v>
      </c>
      <c r="G610" s="58">
        <f>IF($J$1="January",V605,IF($J$1="February",V606,IF($J$1="March",V607,IF($J$1="April",V608,IF($J$1="May",V609,IF($J$1="June",V610,IF($J$1="July",V611,IF($J$1="August",V612,IF($J$1="August",V612,IF($J$1="September",V613,IF($J$1="October",V614,IF($J$1="November",V615,IF($J$1="December",V616)))))))))))))</f>
        <v>0</v>
      </c>
      <c r="H610" s="62"/>
      <c r="I610" s="108"/>
      <c r="J610" s="65" t="s">
        <v>67</v>
      </c>
      <c r="K610" s="68">
        <f>K605/$K$2/8*I610</f>
        <v>0</v>
      </c>
      <c r="L610" s="69"/>
      <c r="M610" s="45"/>
      <c r="N610" s="88"/>
      <c r="O610" s="89" t="s">
        <v>54</v>
      </c>
      <c r="P610" s="89">
        <v>29</v>
      </c>
      <c r="Q610" s="89">
        <v>1</v>
      </c>
      <c r="R610" s="89">
        <f t="shared" si="121"/>
        <v>8</v>
      </c>
      <c r="S610" s="93"/>
      <c r="T610" s="89" t="s">
        <v>54</v>
      </c>
      <c r="U610" s="162">
        <f>Y609</f>
        <v>23000</v>
      </c>
      <c r="V610" s="91">
        <v>1000</v>
      </c>
      <c r="W610" s="162">
        <f t="shared" si="119"/>
        <v>24000</v>
      </c>
      <c r="X610" s="91">
        <v>6000</v>
      </c>
      <c r="Y610" s="162">
        <f t="shared" si="120"/>
        <v>18000</v>
      </c>
      <c r="Z610" s="94"/>
      <c r="AA610" s="45"/>
    </row>
    <row r="611" spans="1:27" s="43" customFormat="1" ht="21" customHeight="1" x14ac:dyDescent="0.25">
      <c r="A611" s="44"/>
      <c r="B611" s="63" t="s">
        <v>7</v>
      </c>
      <c r="C611" s="54">
        <f>IF($J$1="January",P605,IF($J$1="February",P606,IF($J$1="March",P607,IF($J$1="April",P608,IF($J$1="May",P609,IF($J$1="June",P610,IF($J$1="July",P611,IF($J$1="August",P612,IF($J$1="August",P612,IF($J$1="September",P613,IF($J$1="October",P614,IF($J$1="November",P615,IF($J$1="December",P616)))))))))))))</f>
        <v>28</v>
      </c>
      <c r="D611" s="45"/>
      <c r="E611" s="45"/>
      <c r="F611" s="63" t="s">
        <v>70</v>
      </c>
      <c r="G611" s="58">
        <f>IF($J$1="January",W605,IF($J$1="February",W606,IF($J$1="March",W607,IF($J$1="April",W608,IF($J$1="May",W609,IF($J$1="June",W610,IF($J$1="July",W611,IF($J$1="August",W612,IF($J$1="August",W612,IF($J$1="September",W613,IF($J$1="October",W614,IF($J$1="November",W615,IF($J$1="December",W616)))))))))))))</f>
        <v>9040</v>
      </c>
      <c r="H611" s="62"/>
      <c r="I611" s="361" t="s">
        <v>74</v>
      </c>
      <c r="J611" s="362"/>
      <c r="K611" s="68">
        <f>K609+K610</f>
        <v>24000</v>
      </c>
      <c r="L611" s="69"/>
      <c r="M611" s="45"/>
      <c r="N611" s="88"/>
      <c r="O611" s="89" t="s">
        <v>55</v>
      </c>
      <c r="P611" s="89">
        <v>30</v>
      </c>
      <c r="Q611" s="89">
        <v>1</v>
      </c>
      <c r="R611" s="89">
        <f t="shared" si="121"/>
        <v>7</v>
      </c>
      <c r="S611" s="93"/>
      <c r="T611" s="89" t="s">
        <v>55</v>
      </c>
      <c r="U611" s="162">
        <f>IF($J$1="June","",Y610)</f>
        <v>18000</v>
      </c>
      <c r="V611" s="91"/>
      <c r="W611" s="162">
        <f t="shared" si="119"/>
        <v>18000</v>
      </c>
      <c r="X611" s="91">
        <v>5000</v>
      </c>
      <c r="Y611" s="162">
        <f t="shared" si="120"/>
        <v>13000</v>
      </c>
      <c r="Z611" s="94"/>
      <c r="AA611" s="45"/>
    </row>
    <row r="612" spans="1:27" s="43" customFormat="1" ht="21" customHeight="1" x14ac:dyDescent="0.25">
      <c r="A612" s="44"/>
      <c r="B612" s="63" t="s">
        <v>6</v>
      </c>
      <c r="C612" s="54">
        <f>IF($J$1="January",Q605,IF($J$1="February",Q606,IF($J$1="March",Q607,IF($J$1="April",Q608,IF($J$1="May",Q609,IF($J$1="June",Q610,IF($J$1="July",Q611,IF($J$1="August",Q612,IF($J$1="August",Q612,IF($J$1="September",Q613,IF($J$1="October",Q614,IF($J$1="November",Q615,IF($J$1="December",Q616)))))))))))))</f>
        <v>3</v>
      </c>
      <c r="D612" s="45"/>
      <c r="E612" s="45"/>
      <c r="F612" s="63" t="s">
        <v>24</v>
      </c>
      <c r="G612" s="58">
        <f>IF($J$1="January",X605,IF($J$1="February",X606,IF($J$1="March",X607,IF($J$1="April",X608,IF($J$1="May",X609,IF($J$1="June",X610,IF($J$1="July",X611,IF($J$1="August",X612,IF($J$1="August",X612,IF($J$1="September",X613,IF($J$1="October",X614,IF($J$1="November",X615,IF($J$1="December",X616)))))))))))))</f>
        <v>5000</v>
      </c>
      <c r="H612" s="62"/>
      <c r="I612" s="361" t="s">
        <v>75</v>
      </c>
      <c r="J612" s="362"/>
      <c r="K612" s="58">
        <f>G612</f>
        <v>5000</v>
      </c>
      <c r="L612" s="70"/>
      <c r="M612" s="45"/>
      <c r="N612" s="88"/>
      <c r="O612" s="89" t="s">
        <v>56</v>
      </c>
      <c r="P612" s="89">
        <v>29</v>
      </c>
      <c r="Q612" s="89">
        <v>2</v>
      </c>
      <c r="R612" s="89">
        <f t="shared" si="121"/>
        <v>5</v>
      </c>
      <c r="S612" s="93"/>
      <c r="T612" s="89" t="s">
        <v>56</v>
      </c>
      <c r="U612" s="162">
        <f>IF($J$1="July","",Y611)</f>
        <v>13000</v>
      </c>
      <c r="V612" s="91"/>
      <c r="W612" s="162">
        <f t="shared" si="119"/>
        <v>13000</v>
      </c>
      <c r="X612" s="91">
        <v>5000</v>
      </c>
      <c r="Y612" s="162">
        <f t="shared" si="120"/>
        <v>8000</v>
      </c>
      <c r="Z612" s="94"/>
      <c r="AA612" s="45"/>
    </row>
    <row r="613" spans="1:27" s="43" customFormat="1" ht="21" customHeight="1" x14ac:dyDescent="0.25">
      <c r="A613" s="44"/>
      <c r="B613" s="71" t="s">
        <v>73</v>
      </c>
      <c r="C613" s="54">
        <f>IF($J$1="January",R605,IF($J$1="February",R606,IF($J$1="March",R607,IF($J$1="April",R608,IF($J$1="May",R609,IF($J$1="June",R610,IF($J$1="July",R611,IF($J$1="August",R612,IF($J$1="August",R612,IF($J$1="September",R613,IF($J$1="October",R614,IF($J$1="November",R615,IF($J$1="December",R616)))))))))))))</f>
        <v>0</v>
      </c>
      <c r="D613" s="45"/>
      <c r="E613" s="45"/>
      <c r="F613" s="63" t="s">
        <v>72</v>
      </c>
      <c r="G613" s="58">
        <f>IF($J$1="January",Y605,IF($J$1="February",Y606,IF($J$1="March",Y607,IF($J$1="April",Y608,IF($J$1="May",Y609,IF($J$1="June",Y610,IF($J$1="July",Y611,IF($J$1="August",Y612,IF($J$1="August",Y612,IF($J$1="September",Y613,IF($J$1="October",Y614,IF($J$1="November",Y615,IF($J$1="December",Y616)))))))))))))</f>
        <v>4040</v>
      </c>
      <c r="H613" s="45"/>
      <c r="I613" s="363" t="s">
        <v>68</v>
      </c>
      <c r="J613" s="364"/>
      <c r="K613" s="72">
        <f>K611-K612</f>
        <v>19000</v>
      </c>
      <c r="L613" s="73"/>
      <c r="M613" s="45"/>
      <c r="N613" s="88"/>
      <c r="O613" s="89" t="s">
        <v>61</v>
      </c>
      <c r="P613" s="89">
        <v>30</v>
      </c>
      <c r="Q613" s="89">
        <v>2</v>
      </c>
      <c r="R613" s="89">
        <f t="shared" si="121"/>
        <v>3</v>
      </c>
      <c r="S613" s="93"/>
      <c r="T613" s="89" t="s">
        <v>61</v>
      </c>
      <c r="U613" s="162">
        <f>IF($J$1="August","",Y612)</f>
        <v>8000</v>
      </c>
      <c r="V613" s="91">
        <f>40+1000</f>
        <v>1040</v>
      </c>
      <c r="W613" s="162">
        <f t="shared" si="119"/>
        <v>9040</v>
      </c>
      <c r="X613" s="91"/>
      <c r="Y613" s="162">
        <f t="shared" si="120"/>
        <v>9040</v>
      </c>
      <c r="Z613" s="94"/>
      <c r="AA613" s="45"/>
    </row>
    <row r="614" spans="1:27" s="43" customFormat="1" ht="21" customHeight="1" x14ac:dyDescent="0.25">
      <c r="A614" s="44"/>
      <c r="B614" s="45"/>
      <c r="C614" s="45"/>
      <c r="D614" s="45"/>
      <c r="E614" s="45"/>
      <c r="F614" s="45"/>
      <c r="G614" s="45"/>
      <c r="H614" s="45"/>
      <c r="I614" s="45"/>
      <c r="J614" s="45">
        <v>16670</v>
      </c>
      <c r="K614" s="177">
        <f>K613-J614</f>
        <v>2330</v>
      </c>
      <c r="L614" s="61"/>
      <c r="M614" s="45"/>
      <c r="N614" s="88"/>
      <c r="O614" s="89" t="s">
        <v>57</v>
      </c>
      <c r="P614" s="89">
        <v>28</v>
      </c>
      <c r="Q614" s="89">
        <v>3</v>
      </c>
      <c r="R614" s="89">
        <f t="shared" si="121"/>
        <v>0</v>
      </c>
      <c r="S614" s="93"/>
      <c r="T614" s="89" t="s">
        <v>57</v>
      </c>
      <c r="U614" s="162">
        <f>IF($J$1="September","",Y613)</f>
        <v>9040</v>
      </c>
      <c r="V614" s="91"/>
      <c r="W614" s="162">
        <f t="shared" si="119"/>
        <v>9040</v>
      </c>
      <c r="X614" s="91">
        <v>5000</v>
      </c>
      <c r="Y614" s="162">
        <f t="shared" si="120"/>
        <v>4040</v>
      </c>
      <c r="Z614" s="94"/>
      <c r="AA614" s="45"/>
    </row>
    <row r="615" spans="1:27" s="43" customFormat="1" ht="21" customHeight="1" x14ac:dyDescent="0.25">
      <c r="A615" s="44"/>
      <c r="B615" s="365" t="s">
        <v>103</v>
      </c>
      <c r="C615" s="365"/>
      <c r="D615" s="365"/>
      <c r="E615" s="365"/>
      <c r="F615" s="365"/>
      <c r="G615" s="365"/>
      <c r="H615" s="365"/>
      <c r="I615" s="365"/>
      <c r="J615" s="365"/>
      <c r="K615" s="365"/>
      <c r="L615" s="61"/>
      <c r="M615" s="45"/>
      <c r="N615" s="88"/>
      <c r="O615" s="89" t="s">
        <v>62</v>
      </c>
      <c r="P615" s="89"/>
      <c r="Q615" s="89"/>
      <c r="R615" s="89">
        <v>0</v>
      </c>
      <c r="S615" s="93"/>
      <c r="T615" s="89" t="s">
        <v>62</v>
      </c>
      <c r="U615" s="162" t="str">
        <f>IF($J$1="October","",Y614)</f>
        <v/>
      </c>
      <c r="V615" s="91"/>
      <c r="W615" s="162" t="str">
        <f t="shared" si="119"/>
        <v/>
      </c>
      <c r="X615" s="91"/>
      <c r="Y615" s="162" t="str">
        <f t="shared" si="120"/>
        <v/>
      </c>
      <c r="Z615" s="94"/>
      <c r="AA615" s="45"/>
    </row>
    <row r="616" spans="1:27" s="43" customFormat="1" ht="21" customHeight="1" x14ac:dyDescent="0.25">
      <c r="A616" s="44"/>
      <c r="B616" s="365"/>
      <c r="C616" s="365"/>
      <c r="D616" s="365"/>
      <c r="E616" s="365"/>
      <c r="F616" s="365"/>
      <c r="G616" s="365"/>
      <c r="H616" s="365"/>
      <c r="I616" s="365"/>
      <c r="J616" s="365"/>
      <c r="K616" s="365"/>
      <c r="L616" s="61"/>
      <c r="M616" s="45"/>
      <c r="N616" s="88"/>
      <c r="O616" s="89" t="s">
        <v>63</v>
      </c>
      <c r="P616" s="89"/>
      <c r="Q616" s="89"/>
      <c r="R616" s="89">
        <v>0</v>
      </c>
      <c r="S616" s="93"/>
      <c r="T616" s="89" t="s">
        <v>63</v>
      </c>
      <c r="U616" s="162" t="str">
        <f>IF($J$1="November","",Y615)</f>
        <v/>
      </c>
      <c r="V616" s="91"/>
      <c r="W616" s="162" t="str">
        <f t="shared" si="119"/>
        <v/>
      </c>
      <c r="X616" s="91"/>
      <c r="Y616" s="162" t="str">
        <f t="shared" si="120"/>
        <v/>
      </c>
      <c r="Z616" s="94"/>
      <c r="AA616" s="45"/>
    </row>
    <row r="617" spans="1:27" s="43" customFormat="1" ht="21" customHeight="1" thickBot="1" x14ac:dyDescent="0.3">
      <c r="A617" s="74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6"/>
      <c r="N617" s="95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7"/>
    </row>
    <row r="618" spans="1:27" s="45" customFormat="1" ht="21" hidden="1" customHeight="1" x14ac:dyDescent="0.25"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 spans="1:27" s="45" customFormat="1" ht="21" hidden="1" customHeight="1" x14ac:dyDescent="0.25"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 spans="1:27" s="45" customFormat="1" ht="21" customHeight="1" thickBot="1" x14ac:dyDescent="0.3"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 spans="1:27" s="43" customFormat="1" ht="21" customHeight="1" x14ac:dyDescent="0.25">
      <c r="A621" s="377" t="s">
        <v>45</v>
      </c>
      <c r="B621" s="378"/>
      <c r="C621" s="378"/>
      <c r="D621" s="378"/>
      <c r="E621" s="378"/>
      <c r="F621" s="378"/>
      <c r="G621" s="378"/>
      <c r="H621" s="378"/>
      <c r="I621" s="378"/>
      <c r="J621" s="378"/>
      <c r="K621" s="378"/>
      <c r="L621" s="379"/>
      <c r="M621" s="42"/>
      <c r="N621" s="81"/>
      <c r="O621" s="372" t="s">
        <v>47</v>
      </c>
      <c r="P621" s="373"/>
      <c r="Q621" s="373"/>
      <c r="R621" s="374"/>
      <c r="S621" s="82"/>
      <c r="T621" s="372" t="s">
        <v>48</v>
      </c>
      <c r="U621" s="373"/>
      <c r="V621" s="373"/>
      <c r="W621" s="373"/>
      <c r="X621" s="373"/>
      <c r="Y621" s="374"/>
      <c r="Z621" s="83"/>
      <c r="AA621" s="42"/>
    </row>
    <row r="622" spans="1:27" s="43" customFormat="1" ht="21" customHeight="1" x14ac:dyDescent="0.25">
      <c r="A622" s="44"/>
      <c r="B622" s="45"/>
      <c r="C622" s="375" t="s">
        <v>101</v>
      </c>
      <c r="D622" s="375"/>
      <c r="E622" s="375"/>
      <c r="F622" s="375"/>
      <c r="G622" s="46" t="str">
        <f>$J$1</f>
        <v>October</v>
      </c>
      <c r="H622" s="376">
        <f>$K$1</f>
        <v>2020</v>
      </c>
      <c r="I622" s="376"/>
      <c r="J622" s="45"/>
      <c r="K622" s="47"/>
      <c r="L622" s="48"/>
      <c r="M622" s="47"/>
      <c r="N622" s="84"/>
      <c r="O622" s="85" t="s">
        <v>58</v>
      </c>
      <c r="P622" s="85" t="s">
        <v>7</v>
      </c>
      <c r="Q622" s="85" t="s">
        <v>6</v>
      </c>
      <c r="R622" s="85" t="s">
        <v>59</v>
      </c>
      <c r="S622" s="86"/>
      <c r="T622" s="85" t="s">
        <v>58</v>
      </c>
      <c r="U622" s="85" t="s">
        <v>60</v>
      </c>
      <c r="V622" s="85" t="s">
        <v>23</v>
      </c>
      <c r="W622" s="85" t="s">
        <v>22</v>
      </c>
      <c r="X622" s="85" t="s">
        <v>24</v>
      </c>
      <c r="Y622" s="85" t="s">
        <v>64</v>
      </c>
      <c r="Z622" s="87"/>
      <c r="AA622" s="47"/>
    </row>
    <row r="623" spans="1:27" s="43" customFormat="1" ht="21" customHeight="1" x14ac:dyDescent="0.25">
      <c r="A623" s="44"/>
      <c r="B623" s="45"/>
      <c r="C623" s="45"/>
      <c r="D623" s="50"/>
      <c r="E623" s="50"/>
      <c r="F623" s="50"/>
      <c r="G623" s="50"/>
      <c r="H623" s="50"/>
      <c r="I623" s="45"/>
      <c r="J623" s="51" t="s">
        <v>1</v>
      </c>
      <c r="K623" s="52">
        <v>24000</v>
      </c>
      <c r="L623" s="53"/>
      <c r="M623" s="45"/>
      <c r="N623" s="88"/>
      <c r="O623" s="89" t="s">
        <v>50</v>
      </c>
      <c r="P623" s="89"/>
      <c r="Q623" s="89"/>
      <c r="R623" s="89"/>
      <c r="S623" s="90"/>
      <c r="T623" s="89" t="s">
        <v>50</v>
      </c>
      <c r="U623" s="91"/>
      <c r="V623" s="91"/>
      <c r="W623" s="91">
        <f>V623+U623</f>
        <v>0</v>
      </c>
      <c r="X623" s="91"/>
      <c r="Y623" s="91">
        <f>W623-X623</f>
        <v>0</v>
      </c>
      <c r="Z623" s="87"/>
      <c r="AA623" s="45"/>
    </row>
    <row r="624" spans="1:27" s="43" customFormat="1" ht="21" customHeight="1" x14ac:dyDescent="0.25">
      <c r="A624" s="44"/>
      <c r="B624" s="45" t="s">
        <v>0</v>
      </c>
      <c r="C624" s="55" t="s">
        <v>207</v>
      </c>
      <c r="D624" s="45"/>
      <c r="E624" s="45"/>
      <c r="F624" s="45"/>
      <c r="G624" s="45"/>
      <c r="H624" s="56"/>
      <c r="I624" s="50"/>
      <c r="J624" s="45"/>
      <c r="K624" s="45"/>
      <c r="L624" s="57"/>
      <c r="M624" s="42"/>
      <c r="N624" s="92"/>
      <c r="O624" s="89" t="s">
        <v>76</v>
      </c>
      <c r="P624" s="89"/>
      <c r="Q624" s="89"/>
      <c r="R624" s="89"/>
      <c r="S624" s="93"/>
      <c r="T624" s="89" t="s">
        <v>76</v>
      </c>
      <c r="U624" s="162">
        <f>IF($J$1="January","",Y623)</f>
        <v>0</v>
      </c>
      <c r="V624" s="91"/>
      <c r="W624" s="162">
        <f>IF(U624="","",U624+V624)</f>
        <v>0</v>
      </c>
      <c r="X624" s="91"/>
      <c r="Y624" s="162">
        <f>IF(W624="","",W624-X624)</f>
        <v>0</v>
      </c>
      <c r="Z624" s="94"/>
      <c r="AA624" s="42"/>
    </row>
    <row r="625" spans="1:27" s="43" customFormat="1" ht="21" customHeight="1" x14ac:dyDescent="0.25">
      <c r="A625" s="44"/>
      <c r="B625" s="59" t="s">
        <v>46</v>
      </c>
      <c r="C625" s="60"/>
      <c r="D625" s="45"/>
      <c r="E625" s="45"/>
      <c r="F625" s="366" t="s">
        <v>48</v>
      </c>
      <c r="G625" s="366"/>
      <c r="H625" s="45"/>
      <c r="I625" s="366" t="s">
        <v>49</v>
      </c>
      <c r="J625" s="366"/>
      <c r="K625" s="366"/>
      <c r="L625" s="61"/>
      <c r="M625" s="45"/>
      <c r="N625" s="88"/>
      <c r="O625" s="89" t="s">
        <v>51</v>
      </c>
      <c r="P625" s="89"/>
      <c r="Q625" s="89"/>
      <c r="R625" s="89">
        <v>0</v>
      </c>
      <c r="S625" s="93"/>
      <c r="T625" s="89" t="s">
        <v>51</v>
      </c>
      <c r="U625" s="162">
        <f>IF($J$1="February","",Y624)</f>
        <v>0</v>
      </c>
      <c r="V625" s="91"/>
      <c r="W625" s="162">
        <f t="shared" ref="W625:W634" si="122">IF(U625="","",U625+V625)</f>
        <v>0</v>
      </c>
      <c r="X625" s="91"/>
      <c r="Y625" s="162">
        <f t="shared" ref="Y625:Y634" si="123">IF(W625="","",W625-X625)</f>
        <v>0</v>
      </c>
      <c r="Z625" s="94"/>
      <c r="AA625" s="45"/>
    </row>
    <row r="626" spans="1:27" s="43" customFormat="1" ht="21" customHeight="1" x14ac:dyDescent="0.25">
      <c r="A626" s="44"/>
      <c r="B626" s="45"/>
      <c r="C626" s="45"/>
      <c r="D626" s="45"/>
      <c r="E626" s="45"/>
      <c r="F626" s="45"/>
      <c r="G626" s="45"/>
      <c r="H626" s="62"/>
      <c r="L626" s="49"/>
      <c r="M626" s="45"/>
      <c r="N626" s="88"/>
      <c r="O626" s="89" t="s">
        <v>52</v>
      </c>
      <c r="P626" s="89"/>
      <c r="Q626" s="89"/>
      <c r="R626" s="89">
        <v>0</v>
      </c>
      <c r="S626" s="93"/>
      <c r="T626" s="89" t="s">
        <v>52</v>
      </c>
      <c r="U626" s="162">
        <f>IF($J$1="March","",Y625)</f>
        <v>0</v>
      </c>
      <c r="V626" s="91"/>
      <c r="W626" s="162">
        <f t="shared" si="122"/>
        <v>0</v>
      </c>
      <c r="X626" s="91"/>
      <c r="Y626" s="162">
        <f t="shared" si="123"/>
        <v>0</v>
      </c>
      <c r="Z626" s="94"/>
      <c r="AA626" s="45"/>
    </row>
    <row r="627" spans="1:27" s="43" customFormat="1" ht="21" customHeight="1" x14ac:dyDescent="0.25">
      <c r="A627" s="44"/>
      <c r="B627" s="367" t="s">
        <v>47</v>
      </c>
      <c r="C627" s="368"/>
      <c r="D627" s="45"/>
      <c r="E627" s="45"/>
      <c r="F627" s="63" t="s">
        <v>69</v>
      </c>
      <c r="G627" s="58">
        <f>IF($J$1="January",U623,IF($J$1="February",U624,IF($J$1="March",U625,IF($J$1="April",U626,IF($J$1="May",U627,IF($J$1="June",U628,IF($J$1="July",U629,IF($J$1="August",U630,IF($J$1="August",U630,IF($J$1="September",U631,IF($J$1="October",U632,IF($J$1="November",U633,IF($J$1="December",U634)))))))))))))</f>
        <v>5950</v>
      </c>
      <c r="H627" s="62"/>
      <c r="I627" s="312">
        <f>IF(C631&gt;0,$K$2,C629)</f>
        <v>28</v>
      </c>
      <c r="J627" s="65" t="s">
        <v>66</v>
      </c>
      <c r="K627" s="66">
        <f>K623/$K$2*I627</f>
        <v>21677.419354838712</v>
      </c>
      <c r="L627" s="67"/>
      <c r="M627" s="45"/>
      <c r="N627" s="88"/>
      <c r="O627" s="89" t="s">
        <v>53</v>
      </c>
      <c r="P627" s="89"/>
      <c r="Q627" s="89"/>
      <c r="R627" s="89">
        <v>0</v>
      </c>
      <c r="S627" s="93"/>
      <c r="T627" s="89" t="s">
        <v>53</v>
      </c>
      <c r="U627" s="162">
        <f>IF($J$1="April","",Y626)</f>
        <v>0</v>
      </c>
      <c r="V627" s="91"/>
      <c r="W627" s="162">
        <f t="shared" si="122"/>
        <v>0</v>
      </c>
      <c r="X627" s="91"/>
      <c r="Y627" s="162">
        <f t="shared" si="123"/>
        <v>0</v>
      </c>
      <c r="Z627" s="94"/>
      <c r="AA627" s="45"/>
    </row>
    <row r="628" spans="1:27" s="43" customFormat="1" ht="21" customHeight="1" x14ac:dyDescent="0.25">
      <c r="A628" s="44"/>
      <c r="B628" s="54"/>
      <c r="C628" s="54"/>
      <c r="D628" s="45"/>
      <c r="E628" s="45"/>
      <c r="F628" s="63" t="s">
        <v>23</v>
      </c>
      <c r="G628" s="58">
        <f>IF($J$1="January",V623,IF($J$1="February",V624,IF($J$1="March",V625,IF($J$1="April",V626,IF($J$1="May",V627,IF($J$1="June",V628,IF($J$1="July",V629,IF($J$1="August",V630,IF($J$1="August",V630,IF($J$1="September",V631,IF($J$1="October",V632,IF($J$1="November",V633,IF($J$1="December",V634)))))))))))))</f>
        <v>1850</v>
      </c>
      <c r="H628" s="62"/>
      <c r="I628" s="108">
        <v>-14</v>
      </c>
      <c r="J628" s="65" t="s">
        <v>67</v>
      </c>
      <c r="K628" s="68">
        <f>K623/$K$2/8*I628</f>
        <v>-1354.8387096774195</v>
      </c>
      <c r="L628" s="69"/>
      <c r="M628" s="45"/>
      <c r="N628" s="88"/>
      <c r="O628" s="89" t="s">
        <v>54</v>
      </c>
      <c r="P628" s="89"/>
      <c r="Q628" s="89"/>
      <c r="R628" s="89">
        <v>0</v>
      </c>
      <c r="S628" s="93"/>
      <c r="T628" s="89" t="s">
        <v>54</v>
      </c>
      <c r="U628" s="162">
        <f>IF($J$1="May","",Y627)</f>
        <v>0</v>
      </c>
      <c r="V628" s="91"/>
      <c r="W628" s="162">
        <f t="shared" si="122"/>
        <v>0</v>
      </c>
      <c r="X628" s="91"/>
      <c r="Y628" s="162">
        <f t="shared" si="123"/>
        <v>0</v>
      </c>
      <c r="Z628" s="94"/>
      <c r="AA628" s="45"/>
    </row>
    <row r="629" spans="1:27" s="43" customFormat="1" ht="21" customHeight="1" x14ac:dyDescent="0.25">
      <c r="A629" s="44"/>
      <c r="B629" s="63" t="s">
        <v>7</v>
      </c>
      <c r="C629" s="54">
        <f>IF($J$1="January",P623,IF($J$1="February",P624,IF($J$1="March",P625,IF($J$1="April",P626,IF($J$1="May",P627,IF($J$1="June",P628,IF($J$1="July",P629,IF($J$1="August",P630,IF($J$1="August",P630,IF($J$1="September",P631,IF($J$1="October",P632,IF($J$1="November",P633,IF($J$1="December",P634)))))))))))))</f>
        <v>28</v>
      </c>
      <c r="D629" s="45"/>
      <c r="E629" s="45"/>
      <c r="F629" s="63" t="s">
        <v>70</v>
      </c>
      <c r="G629" s="58">
        <f>IF($J$1="January",W623,IF($J$1="February",W624,IF($J$1="March",W625,IF($J$1="April",W626,IF($J$1="May",W627,IF($J$1="June",W628,IF($J$1="July",W629,IF($J$1="August",W630,IF($J$1="August",W630,IF($J$1="September",W631,IF($J$1="October",W632,IF($J$1="November",W633,IF($J$1="December",W634)))))))))))))</f>
        <v>7800</v>
      </c>
      <c r="H629" s="62"/>
      <c r="I629" s="361" t="s">
        <v>74</v>
      </c>
      <c r="J629" s="362"/>
      <c r="K629" s="68">
        <f>K627+K628</f>
        <v>20322.580645161292</v>
      </c>
      <c r="L629" s="69"/>
      <c r="M629" s="45"/>
      <c r="N629" s="88"/>
      <c r="O629" s="89" t="s">
        <v>55</v>
      </c>
      <c r="P629" s="89"/>
      <c r="Q629" s="89"/>
      <c r="R629" s="89">
        <v>0</v>
      </c>
      <c r="S629" s="93"/>
      <c r="T629" s="89" t="s">
        <v>55</v>
      </c>
      <c r="U629" s="162">
        <f>IF($J$1="June","",Y628)</f>
        <v>0</v>
      </c>
      <c r="V629" s="91"/>
      <c r="W629" s="162">
        <f t="shared" si="122"/>
        <v>0</v>
      </c>
      <c r="X629" s="91"/>
      <c r="Y629" s="162">
        <v>2500</v>
      </c>
      <c r="Z629" s="94"/>
      <c r="AA629" s="45"/>
    </row>
    <row r="630" spans="1:27" s="43" customFormat="1" ht="21" customHeight="1" x14ac:dyDescent="0.25">
      <c r="A630" s="44"/>
      <c r="B630" s="63" t="s">
        <v>6</v>
      </c>
      <c r="C630" s="54">
        <f>IF($J$1="January",Q623,IF($J$1="February",Q624,IF($J$1="March",Q625,IF($J$1="April",Q626,IF($J$1="May",Q627,IF($J$1="June",Q628,IF($J$1="July",Q629,IF($J$1="August",Q630,IF($J$1="August",Q630,IF($J$1="September",Q631,IF($J$1="October",Q632,IF($J$1="November",Q633,IF($J$1="December",Q634)))))))))))))</f>
        <v>3</v>
      </c>
      <c r="D630" s="45"/>
      <c r="E630" s="45"/>
      <c r="F630" s="63" t="s">
        <v>24</v>
      </c>
      <c r="G630" s="58">
        <f>IF($J$1="January",X623,IF($J$1="February",X624,IF($J$1="March",X625,IF($J$1="April",X626,IF($J$1="May",X627,IF($J$1="June",X628,IF($J$1="July",X629,IF($J$1="August",X630,IF($J$1="August",X630,IF($J$1="September",X631,IF($J$1="October",X632,IF($J$1="November",X633,IF($J$1="December",X634)))))))))))))</f>
        <v>4000</v>
      </c>
      <c r="H630" s="62"/>
      <c r="I630" s="361" t="s">
        <v>75</v>
      </c>
      <c r="J630" s="362"/>
      <c r="K630" s="58">
        <f>G630</f>
        <v>4000</v>
      </c>
      <c r="L630" s="70"/>
      <c r="M630" s="45"/>
      <c r="N630" s="88"/>
      <c r="O630" s="89" t="s">
        <v>56</v>
      </c>
      <c r="P630" s="89">
        <v>26</v>
      </c>
      <c r="Q630" s="89">
        <v>5</v>
      </c>
      <c r="R630" s="89">
        <v>3</v>
      </c>
      <c r="S630" s="93"/>
      <c r="T630" s="89" t="s">
        <v>56</v>
      </c>
      <c r="U630" s="162">
        <f>IF($J$1="July","",Y629)</f>
        <v>2500</v>
      </c>
      <c r="V630" s="91">
        <v>3200</v>
      </c>
      <c r="W630" s="162">
        <f t="shared" si="122"/>
        <v>5700</v>
      </c>
      <c r="X630" s="91">
        <v>3100</v>
      </c>
      <c r="Y630" s="162">
        <f t="shared" si="123"/>
        <v>2600</v>
      </c>
      <c r="Z630" s="94"/>
      <c r="AA630" s="45"/>
    </row>
    <row r="631" spans="1:27" s="43" customFormat="1" ht="21" customHeight="1" x14ac:dyDescent="0.25">
      <c r="A631" s="44"/>
      <c r="B631" s="71" t="s">
        <v>73</v>
      </c>
      <c r="C631" s="54">
        <f>IF($J$1="January",R623,IF($J$1="February",R624,IF($J$1="March",R625,IF($J$1="April",R626,IF($J$1="May",R627,IF($J$1="June",R628,IF($J$1="July",R629,IF($J$1="August",R630,IF($J$1="August",R630,IF($J$1="September",R631,IF($J$1="October",R632,IF($J$1="November",R633,IF($J$1="December",R634)))))))))))))</f>
        <v>0</v>
      </c>
      <c r="D631" s="45"/>
      <c r="E631" s="45"/>
      <c r="F631" s="63" t="s">
        <v>72</v>
      </c>
      <c r="G631" s="58">
        <f>IF($J$1="January",Y623,IF($J$1="February",Y624,IF($J$1="March",Y625,IF($J$1="April",Y626,IF($J$1="May",Y627,IF($J$1="June",Y628,IF($J$1="July",Y629,IF($J$1="August",Y630,IF($J$1="August",Y630,IF($J$1="September",Y631,IF($J$1="October",Y632,IF($J$1="November",Y633,IF($J$1="December",Y634)))))))))))))</f>
        <v>3800</v>
      </c>
      <c r="H631" s="45"/>
      <c r="I631" s="363" t="s">
        <v>68</v>
      </c>
      <c r="J631" s="364"/>
      <c r="K631" s="72">
        <f>K629-K630</f>
        <v>16322.580645161292</v>
      </c>
      <c r="L631" s="73"/>
      <c r="M631" s="45"/>
      <c r="N631" s="88"/>
      <c r="O631" s="89" t="s">
        <v>61</v>
      </c>
      <c r="P631" s="89">
        <v>27</v>
      </c>
      <c r="Q631" s="89">
        <v>3</v>
      </c>
      <c r="R631" s="89">
        <v>0</v>
      </c>
      <c r="S631" s="93"/>
      <c r="T631" s="89" t="s">
        <v>61</v>
      </c>
      <c r="U631" s="162">
        <f>IF($J$1="August","",Y630)</f>
        <v>2600</v>
      </c>
      <c r="V631" s="91">
        <f>5000+350+1500+500</f>
        <v>7350</v>
      </c>
      <c r="W631" s="162">
        <f t="shared" si="122"/>
        <v>9950</v>
      </c>
      <c r="X631" s="91">
        <v>4000</v>
      </c>
      <c r="Y631" s="162">
        <f t="shared" si="123"/>
        <v>5950</v>
      </c>
      <c r="Z631" s="94"/>
      <c r="AA631" s="45"/>
    </row>
    <row r="632" spans="1:27" s="43" customFormat="1" ht="21" customHeight="1" x14ac:dyDescent="0.25">
      <c r="A632" s="44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61"/>
      <c r="M632" s="45"/>
      <c r="N632" s="88"/>
      <c r="O632" s="89" t="s">
        <v>57</v>
      </c>
      <c r="P632" s="89">
        <v>28</v>
      </c>
      <c r="Q632" s="89">
        <v>3</v>
      </c>
      <c r="R632" s="89">
        <v>0</v>
      </c>
      <c r="S632" s="93"/>
      <c r="T632" s="89" t="s">
        <v>57</v>
      </c>
      <c r="U632" s="162">
        <f>IF($J$1="September","",Y631)</f>
        <v>5950</v>
      </c>
      <c r="V632" s="91">
        <f>500+600+250+500</f>
        <v>1850</v>
      </c>
      <c r="W632" s="162">
        <f t="shared" si="122"/>
        <v>7800</v>
      </c>
      <c r="X632" s="91">
        <v>4000</v>
      </c>
      <c r="Y632" s="162">
        <f t="shared" si="123"/>
        <v>3800</v>
      </c>
      <c r="Z632" s="94"/>
      <c r="AA632" s="45"/>
    </row>
    <row r="633" spans="1:27" s="43" customFormat="1" ht="21" customHeight="1" x14ac:dyDescent="0.25">
      <c r="A633" s="44"/>
      <c r="B633" s="365" t="s">
        <v>103</v>
      </c>
      <c r="C633" s="365"/>
      <c r="D633" s="365"/>
      <c r="E633" s="365"/>
      <c r="F633" s="365"/>
      <c r="G633" s="365"/>
      <c r="H633" s="365"/>
      <c r="I633" s="365"/>
      <c r="J633" s="365"/>
      <c r="K633" s="365"/>
      <c r="L633" s="61"/>
      <c r="M633" s="45"/>
      <c r="N633" s="88"/>
      <c r="O633" s="89" t="s">
        <v>62</v>
      </c>
      <c r="P633" s="89"/>
      <c r="Q633" s="89"/>
      <c r="R633" s="89">
        <v>0</v>
      </c>
      <c r="S633" s="93"/>
      <c r="T633" s="89" t="s">
        <v>62</v>
      </c>
      <c r="U633" s="162" t="str">
        <f>IF($J$1="October","",Y632)</f>
        <v/>
      </c>
      <c r="V633" s="91"/>
      <c r="W633" s="162" t="str">
        <f t="shared" si="122"/>
        <v/>
      </c>
      <c r="X633" s="91"/>
      <c r="Y633" s="162" t="str">
        <f t="shared" si="123"/>
        <v/>
      </c>
      <c r="Z633" s="94"/>
      <c r="AA633" s="45"/>
    </row>
    <row r="634" spans="1:27" s="43" customFormat="1" ht="21" customHeight="1" x14ac:dyDescent="0.25">
      <c r="A634" s="44"/>
      <c r="B634" s="365"/>
      <c r="C634" s="365"/>
      <c r="D634" s="365"/>
      <c r="E634" s="365"/>
      <c r="F634" s="365"/>
      <c r="G634" s="365"/>
      <c r="H634" s="365"/>
      <c r="I634" s="365"/>
      <c r="J634" s="365"/>
      <c r="K634" s="365"/>
      <c r="L634" s="61"/>
      <c r="M634" s="45"/>
      <c r="N634" s="88"/>
      <c r="O634" s="89" t="s">
        <v>63</v>
      </c>
      <c r="P634" s="89"/>
      <c r="Q634" s="89"/>
      <c r="R634" s="89">
        <v>0</v>
      </c>
      <c r="S634" s="93"/>
      <c r="T634" s="89" t="s">
        <v>63</v>
      </c>
      <c r="U634" s="162" t="str">
        <f>IF($J$1="November","",Y633)</f>
        <v/>
      </c>
      <c r="V634" s="91"/>
      <c r="W634" s="162" t="str">
        <f t="shared" si="122"/>
        <v/>
      </c>
      <c r="X634" s="91"/>
      <c r="Y634" s="162" t="str">
        <f t="shared" si="123"/>
        <v/>
      </c>
      <c r="Z634" s="94"/>
      <c r="AA634" s="45"/>
    </row>
    <row r="635" spans="1:27" s="43" customFormat="1" ht="21" customHeight="1" thickBot="1" x14ac:dyDescent="0.3">
      <c r="A635" s="74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6"/>
      <c r="N635" s="95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7"/>
    </row>
    <row r="636" spans="1:27" s="45" customFormat="1" ht="21" customHeight="1" thickBot="1" x14ac:dyDescent="0.3"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 spans="1:27" s="45" customFormat="1" ht="21" hidden="1" customHeight="1" thickBot="1" x14ac:dyDescent="0.3"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 spans="1:27" s="43" customFormat="1" ht="21" customHeight="1" x14ac:dyDescent="0.25">
      <c r="A638" s="383" t="s">
        <v>45</v>
      </c>
      <c r="B638" s="384"/>
      <c r="C638" s="384"/>
      <c r="D638" s="384"/>
      <c r="E638" s="384"/>
      <c r="F638" s="384"/>
      <c r="G638" s="384"/>
      <c r="H638" s="384"/>
      <c r="I638" s="384"/>
      <c r="J638" s="384"/>
      <c r="K638" s="384"/>
      <c r="L638" s="385"/>
      <c r="M638" s="42"/>
      <c r="N638" s="81"/>
      <c r="O638" s="372" t="s">
        <v>47</v>
      </c>
      <c r="P638" s="373"/>
      <c r="Q638" s="373"/>
      <c r="R638" s="374"/>
      <c r="S638" s="82"/>
      <c r="T638" s="372" t="s">
        <v>48</v>
      </c>
      <c r="U638" s="373"/>
      <c r="V638" s="373"/>
      <c r="W638" s="373"/>
      <c r="X638" s="373"/>
      <c r="Y638" s="374"/>
      <c r="Z638" s="83"/>
      <c r="AA638" s="42"/>
    </row>
    <row r="639" spans="1:27" s="43" customFormat="1" ht="21" customHeight="1" x14ac:dyDescent="0.25">
      <c r="A639" s="44"/>
      <c r="B639" s="45"/>
      <c r="C639" s="375" t="s">
        <v>101</v>
      </c>
      <c r="D639" s="375"/>
      <c r="E639" s="375"/>
      <c r="F639" s="375"/>
      <c r="G639" s="46" t="str">
        <f>$J$1</f>
        <v>October</v>
      </c>
      <c r="H639" s="376">
        <f>$K$1</f>
        <v>2020</v>
      </c>
      <c r="I639" s="376"/>
      <c r="J639" s="45"/>
      <c r="K639" s="47"/>
      <c r="L639" s="48"/>
      <c r="M639" s="47"/>
      <c r="N639" s="84"/>
      <c r="O639" s="85" t="s">
        <v>58</v>
      </c>
      <c r="P639" s="85" t="s">
        <v>7</v>
      </c>
      <c r="Q639" s="85" t="s">
        <v>6</v>
      </c>
      <c r="R639" s="85" t="s">
        <v>59</v>
      </c>
      <c r="S639" s="86"/>
      <c r="T639" s="85" t="s">
        <v>58</v>
      </c>
      <c r="U639" s="85" t="s">
        <v>60</v>
      </c>
      <c r="V639" s="85" t="s">
        <v>23</v>
      </c>
      <c r="W639" s="85" t="s">
        <v>22</v>
      </c>
      <c r="X639" s="85" t="s">
        <v>24</v>
      </c>
      <c r="Y639" s="85" t="s">
        <v>64</v>
      </c>
      <c r="Z639" s="87"/>
      <c r="AA639" s="47"/>
    </row>
    <row r="640" spans="1:27" s="43" customFormat="1" ht="21" customHeight="1" x14ac:dyDescent="0.25">
      <c r="A640" s="44"/>
      <c r="B640" s="45"/>
      <c r="C640" s="45"/>
      <c r="D640" s="50"/>
      <c r="E640" s="50"/>
      <c r="F640" s="50"/>
      <c r="G640" s="50"/>
      <c r="H640" s="50"/>
      <c r="I640" s="45"/>
      <c r="J640" s="51" t="s">
        <v>1</v>
      </c>
      <c r="K640" s="52">
        <f>18500+1500</f>
        <v>20000</v>
      </c>
      <c r="L640" s="53"/>
      <c r="M640" s="45"/>
      <c r="N640" s="88"/>
      <c r="O640" s="89" t="s">
        <v>50</v>
      </c>
      <c r="P640" s="89">
        <v>31</v>
      </c>
      <c r="Q640" s="89">
        <v>0</v>
      </c>
      <c r="R640" s="89">
        <v>15</v>
      </c>
      <c r="S640" s="90"/>
      <c r="T640" s="89" t="s">
        <v>50</v>
      </c>
      <c r="U640" s="91">
        <v>73000</v>
      </c>
      <c r="V640" s="91">
        <v>1000</v>
      </c>
      <c r="W640" s="91">
        <f>V640+U640</f>
        <v>74000</v>
      </c>
      <c r="X640" s="91">
        <v>3000</v>
      </c>
      <c r="Y640" s="91">
        <f>W640-X640</f>
        <v>71000</v>
      </c>
      <c r="Z640" s="87"/>
      <c r="AA640" s="45"/>
    </row>
    <row r="641" spans="1:27" s="43" customFormat="1" ht="21" customHeight="1" x14ac:dyDescent="0.25">
      <c r="A641" s="44"/>
      <c r="B641" s="45" t="s">
        <v>0</v>
      </c>
      <c r="C641" s="55" t="s">
        <v>86</v>
      </c>
      <c r="D641" s="45"/>
      <c r="E641" s="45"/>
      <c r="F641" s="45"/>
      <c r="G641" s="45"/>
      <c r="H641" s="56"/>
      <c r="I641" s="50"/>
      <c r="J641" s="45"/>
      <c r="K641" s="45"/>
      <c r="L641" s="57"/>
      <c r="M641" s="42"/>
      <c r="N641" s="92"/>
      <c r="O641" s="89" t="s">
        <v>76</v>
      </c>
      <c r="P641" s="89">
        <v>26</v>
      </c>
      <c r="Q641" s="89">
        <v>3</v>
      </c>
      <c r="R641" s="89">
        <f>R640-Q641</f>
        <v>12</v>
      </c>
      <c r="S641" s="93"/>
      <c r="T641" s="89" t="s">
        <v>76</v>
      </c>
      <c r="U641" s="162">
        <f>IF($J$1="January","",Y640)</f>
        <v>71000</v>
      </c>
      <c r="V641" s="91"/>
      <c r="W641" s="162">
        <f>IF(U641="","",U641+V641)</f>
        <v>71000</v>
      </c>
      <c r="X641" s="91"/>
      <c r="Y641" s="162">
        <f>IF(W641="","",W641-X641)</f>
        <v>71000</v>
      </c>
      <c r="Z641" s="94"/>
      <c r="AA641" s="42"/>
    </row>
    <row r="642" spans="1:27" s="43" customFormat="1" ht="21" customHeight="1" x14ac:dyDescent="0.25">
      <c r="A642" s="44"/>
      <c r="B642" s="59" t="s">
        <v>46</v>
      </c>
      <c r="C642" s="60"/>
      <c r="D642" s="45"/>
      <c r="E642" s="45"/>
      <c r="F642" s="366" t="s">
        <v>48</v>
      </c>
      <c r="G642" s="366"/>
      <c r="H642" s="45"/>
      <c r="I642" s="366" t="s">
        <v>49</v>
      </c>
      <c r="J642" s="366"/>
      <c r="K642" s="366"/>
      <c r="L642" s="61"/>
      <c r="M642" s="45"/>
      <c r="N642" s="88"/>
      <c r="O642" s="89" t="s">
        <v>51</v>
      </c>
      <c r="P642" s="89">
        <v>31</v>
      </c>
      <c r="Q642" s="89">
        <v>0</v>
      </c>
      <c r="R642" s="89">
        <f>IF(Q642="","",R641-Q642)+5</f>
        <v>17</v>
      </c>
      <c r="S642" s="93"/>
      <c r="T642" s="89" t="s">
        <v>51</v>
      </c>
      <c r="U642" s="162">
        <f>IF($J$1="February","",Y641)</f>
        <v>71000</v>
      </c>
      <c r="V642" s="91"/>
      <c r="W642" s="162">
        <f t="shared" ref="W642:W651" si="124">IF(U642="","",U642+V642)</f>
        <v>71000</v>
      </c>
      <c r="X642" s="91">
        <v>3000</v>
      </c>
      <c r="Y642" s="162">
        <f t="shared" ref="Y642:Y651" si="125">IF(W642="","",W642-X642)</f>
        <v>68000</v>
      </c>
      <c r="Z642" s="94"/>
      <c r="AA642" s="45"/>
    </row>
    <row r="643" spans="1:27" s="43" customFormat="1" ht="21" customHeight="1" x14ac:dyDescent="0.25">
      <c r="A643" s="44"/>
      <c r="B643" s="45"/>
      <c r="C643" s="45"/>
      <c r="D643" s="45"/>
      <c r="E643" s="45"/>
      <c r="F643" s="45"/>
      <c r="G643" s="45"/>
      <c r="H643" s="62"/>
      <c r="L643" s="49"/>
      <c r="M643" s="45"/>
      <c r="N643" s="88"/>
      <c r="O643" s="89" t="s">
        <v>52</v>
      </c>
      <c r="P643" s="89">
        <v>26</v>
      </c>
      <c r="Q643" s="89">
        <v>4</v>
      </c>
      <c r="R643" s="89">
        <f t="shared" ref="R643:R651" si="126">IF(Q643="","",R642-Q643)</f>
        <v>13</v>
      </c>
      <c r="S643" s="93"/>
      <c r="T643" s="89" t="s">
        <v>52</v>
      </c>
      <c r="U643" s="162">
        <f>IF($J$1="March","",Y642)</f>
        <v>68000</v>
      </c>
      <c r="V643" s="91"/>
      <c r="W643" s="162">
        <f t="shared" si="124"/>
        <v>68000</v>
      </c>
      <c r="X643" s="91"/>
      <c r="Y643" s="162">
        <f t="shared" si="125"/>
        <v>68000</v>
      </c>
      <c r="Z643" s="94"/>
      <c r="AA643" s="45"/>
    </row>
    <row r="644" spans="1:27" s="43" customFormat="1" ht="21" customHeight="1" x14ac:dyDescent="0.25">
      <c r="A644" s="44"/>
      <c r="B644" s="367" t="s">
        <v>47</v>
      </c>
      <c r="C644" s="368"/>
      <c r="D644" s="45"/>
      <c r="E644" s="45"/>
      <c r="F644" s="63" t="s">
        <v>69</v>
      </c>
      <c r="G644" s="179">
        <f>IF($J$1="January",U640,IF($J$1="February",U641,IF($J$1="March",U642,IF($J$1="April",U643,IF($J$1="May",U644,IF($J$1="June",U645,IF($J$1="July",U646,IF($J$1="August",U647,IF($J$1="August",U647,IF($J$1="September",U648,IF($J$1="October",U649,IF($J$1="November",U650,IF($J$1="December",U651)))))))))))))</f>
        <v>59800</v>
      </c>
      <c r="H644" s="62"/>
      <c r="I644" s="64">
        <f>IF(C648&gt;0,$K$2,C646)</f>
        <v>31</v>
      </c>
      <c r="J644" s="65" t="s">
        <v>66</v>
      </c>
      <c r="K644" s="66">
        <f>K640/$K$2*I644</f>
        <v>20000</v>
      </c>
      <c r="L644" s="67"/>
      <c r="M644" s="45"/>
      <c r="N644" s="88"/>
      <c r="O644" s="89" t="s">
        <v>53</v>
      </c>
      <c r="P644" s="89">
        <v>31</v>
      </c>
      <c r="Q644" s="89">
        <v>0</v>
      </c>
      <c r="R644" s="89">
        <f t="shared" si="126"/>
        <v>13</v>
      </c>
      <c r="S644" s="93"/>
      <c r="T644" s="89" t="s">
        <v>53</v>
      </c>
      <c r="U644" s="162">
        <f>IF($J$1="April","",Y643)</f>
        <v>68000</v>
      </c>
      <c r="V644" s="91"/>
      <c r="W644" s="162">
        <f t="shared" si="124"/>
        <v>68000</v>
      </c>
      <c r="X644" s="91">
        <v>2200</v>
      </c>
      <c r="Y644" s="162">
        <f t="shared" si="125"/>
        <v>65800</v>
      </c>
      <c r="Z644" s="94"/>
      <c r="AA644" s="45"/>
    </row>
    <row r="645" spans="1:27" s="43" customFormat="1" ht="21" customHeight="1" x14ac:dyDescent="0.25">
      <c r="A645" s="44"/>
      <c r="B645" s="54"/>
      <c r="C645" s="54"/>
      <c r="D645" s="45"/>
      <c r="E645" s="45"/>
      <c r="F645" s="63" t="s">
        <v>23</v>
      </c>
      <c r="G645" s="179">
        <f>IF($J$1="January",V640,IF($J$1="February",V641,IF($J$1="March",V642,IF($J$1="April",V643,IF($J$1="May",V644,IF($J$1="June",V645,IF($J$1="July",V646,IF($J$1="August",V647,IF($J$1="August",V647,IF($J$1="September",V648,IF($J$1="October",V649,IF($J$1="November",V650,IF($J$1="December",V651)))))))))))))</f>
        <v>30000</v>
      </c>
      <c r="H645" s="62"/>
      <c r="I645" s="108">
        <v>14</v>
      </c>
      <c r="J645" s="65" t="s">
        <v>67</v>
      </c>
      <c r="K645" s="68">
        <f>K640/$K$2/8*I645</f>
        <v>1129.0322580645161</v>
      </c>
      <c r="L645" s="69"/>
      <c r="M645" s="45"/>
      <c r="N645" s="88"/>
      <c r="O645" s="89" t="s">
        <v>54</v>
      </c>
      <c r="P645" s="89">
        <v>30</v>
      </c>
      <c r="Q645" s="89">
        <v>0</v>
      </c>
      <c r="R645" s="89">
        <f t="shared" si="126"/>
        <v>13</v>
      </c>
      <c r="S645" s="93"/>
      <c r="T645" s="89" t="s">
        <v>54</v>
      </c>
      <c r="U645" s="162">
        <f>IF($J$1="May","",Y644)</f>
        <v>65800</v>
      </c>
      <c r="V645" s="91">
        <v>3000</v>
      </c>
      <c r="W645" s="162">
        <f t="shared" si="124"/>
        <v>68800</v>
      </c>
      <c r="X645" s="91">
        <v>3000</v>
      </c>
      <c r="Y645" s="162">
        <f t="shared" si="125"/>
        <v>65800</v>
      </c>
      <c r="Z645" s="94"/>
      <c r="AA645" s="45"/>
    </row>
    <row r="646" spans="1:27" s="43" customFormat="1" ht="21" customHeight="1" x14ac:dyDescent="0.25">
      <c r="A646" s="44"/>
      <c r="B646" s="63" t="s">
        <v>7</v>
      </c>
      <c r="C646" s="54">
        <f>IF($J$1="January",P640,IF($J$1="February",P641,IF($J$1="March",P642,IF($J$1="April",P643,IF($J$1="May",P644,IF($J$1="June",P645,IF($J$1="July",P646,IF($J$1="August",P647,IF($J$1="August",P647,IF($J$1="September",P648,IF($J$1="October",P649,IF($J$1="November",P650,IF($J$1="December",P651)))))))))))))</f>
        <v>31</v>
      </c>
      <c r="D646" s="45"/>
      <c r="E646" s="45"/>
      <c r="F646" s="63" t="s">
        <v>70</v>
      </c>
      <c r="G646" s="179">
        <f>IF($J$1="January",W640,IF($J$1="February",W641,IF($J$1="March",W642,IF($J$1="April",W643,IF($J$1="May",W644,IF($J$1="June",W645,IF($J$1="July",W646,IF($J$1="August",W647,IF($J$1="August",W647,IF($J$1="September",W648,IF($J$1="October",W649,IF($J$1="November",W650,IF($J$1="December",W651)))))))))))))</f>
        <v>89800</v>
      </c>
      <c r="H646" s="62"/>
      <c r="I646" s="361" t="s">
        <v>74</v>
      </c>
      <c r="J646" s="362"/>
      <c r="K646" s="68">
        <f>K644+K645</f>
        <v>21129.032258064515</v>
      </c>
      <c r="L646" s="69"/>
      <c r="M646" s="45"/>
      <c r="N646" s="88"/>
      <c r="O646" s="89" t="s">
        <v>55</v>
      </c>
      <c r="P646" s="89">
        <v>31</v>
      </c>
      <c r="Q646" s="89">
        <v>0</v>
      </c>
      <c r="R646" s="89">
        <f t="shared" si="126"/>
        <v>13</v>
      </c>
      <c r="S646" s="93"/>
      <c r="T646" s="89" t="s">
        <v>55</v>
      </c>
      <c r="U646" s="162">
        <f>IF($J$1="June","",Y645)</f>
        <v>65800</v>
      </c>
      <c r="V646" s="91"/>
      <c r="W646" s="162">
        <f t="shared" si="124"/>
        <v>65800</v>
      </c>
      <c r="X646" s="91">
        <v>3000</v>
      </c>
      <c r="Y646" s="162">
        <f t="shared" si="125"/>
        <v>62800</v>
      </c>
      <c r="Z646" s="94"/>
      <c r="AA646" s="45"/>
    </row>
    <row r="647" spans="1:27" s="43" customFormat="1" ht="21" customHeight="1" x14ac:dyDescent="0.25">
      <c r="A647" s="44"/>
      <c r="B647" s="63" t="s">
        <v>6</v>
      </c>
      <c r="C647" s="54">
        <f>IF($J$1="January",Q640,IF($J$1="February",Q641,IF($J$1="March",Q642,IF($J$1="April",Q643,IF($J$1="May",Q644,IF($J$1="June",Q645,IF($J$1="July",Q646,IF($J$1="August",Q647,IF($J$1="August",Q647,IF($J$1="September",Q648,IF($J$1="October",Q649,IF($J$1="November",Q650,IF($J$1="December",Q651)))))))))))))</f>
        <v>0</v>
      </c>
      <c r="D647" s="45"/>
      <c r="E647" s="45"/>
      <c r="F647" s="63" t="s">
        <v>24</v>
      </c>
      <c r="G647" s="179">
        <f>IF($J$1="January",X640,IF($J$1="February",X641,IF($J$1="March",X642,IF($J$1="April",X643,IF($J$1="May",X644,IF($J$1="June",X645,IF($J$1="July",X646,IF($J$1="August",X647,IF($J$1="August",X647,IF($J$1="September",X648,IF($J$1="October",X649,IF($J$1="November",X650,IF($J$1="December",X651)))))))))))))</f>
        <v>8000</v>
      </c>
      <c r="H647" s="62"/>
      <c r="I647" s="361" t="s">
        <v>75</v>
      </c>
      <c r="J647" s="362"/>
      <c r="K647" s="58">
        <f>G647</f>
        <v>8000</v>
      </c>
      <c r="L647" s="70"/>
      <c r="M647" s="45"/>
      <c r="N647" s="88"/>
      <c r="O647" s="89" t="s">
        <v>56</v>
      </c>
      <c r="P647" s="89">
        <v>31</v>
      </c>
      <c r="Q647" s="89">
        <v>0</v>
      </c>
      <c r="R647" s="89">
        <f t="shared" si="126"/>
        <v>13</v>
      </c>
      <c r="S647" s="93"/>
      <c r="T647" s="89" t="s">
        <v>56</v>
      </c>
      <c r="U647" s="162">
        <f>IF($J$1="July","",Y646)</f>
        <v>62800</v>
      </c>
      <c r="V647" s="91"/>
      <c r="W647" s="162">
        <f t="shared" si="124"/>
        <v>62800</v>
      </c>
      <c r="X647" s="91"/>
      <c r="Y647" s="162">
        <f t="shared" si="125"/>
        <v>62800</v>
      </c>
      <c r="Z647" s="94"/>
      <c r="AA647" s="45"/>
    </row>
    <row r="648" spans="1:27" s="43" customFormat="1" ht="21" customHeight="1" x14ac:dyDescent="0.25">
      <c r="A648" s="44"/>
      <c r="B648" s="71" t="s">
        <v>73</v>
      </c>
      <c r="C648" s="54">
        <f>IF($J$1="January",R640,IF($J$1="February",R641,IF($J$1="March",R642,IF($J$1="April",R643,IF($J$1="May",R644,IF($J$1="June",R645,IF($J$1="July",R646,IF($J$1="August",R647,IF($J$1="August",R647,IF($J$1="September",R648,IF($J$1="October",R649,IF($J$1="November",R650,IF($J$1="December",R651)))))))))))))</f>
        <v>12</v>
      </c>
      <c r="D648" s="45"/>
      <c r="E648" s="45"/>
      <c r="F648" s="63" t="s">
        <v>72</v>
      </c>
      <c r="G648" s="179">
        <f>IF($J$1="January",Y640,IF($J$1="February",Y641,IF($J$1="March",Y642,IF($J$1="April",Y643,IF($J$1="May",Y644,IF($J$1="June",Y645,IF($J$1="July",Y646,IF($J$1="August",Y647,IF($J$1="August",Y647,IF($J$1="September",Y648,IF($J$1="October",Y649,IF($J$1="November",Y650,IF($J$1="December",Y651)))))))))))))</f>
        <v>81800</v>
      </c>
      <c r="H648" s="45"/>
      <c r="I648" s="363" t="s">
        <v>68</v>
      </c>
      <c r="J648" s="364"/>
      <c r="K648" s="72">
        <f>K646-K647</f>
        <v>13129.032258064515</v>
      </c>
      <c r="L648" s="73"/>
      <c r="M648" s="45"/>
      <c r="N648" s="88"/>
      <c r="O648" s="89" t="s">
        <v>61</v>
      </c>
      <c r="P648" s="89">
        <v>29</v>
      </c>
      <c r="Q648" s="89">
        <v>1</v>
      </c>
      <c r="R648" s="89">
        <f t="shared" si="126"/>
        <v>12</v>
      </c>
      <c r="S648" s="93"/>
      <c r="T648" s="89" t="s">
        <v>61</v>
      </c>
      <c r="U648" s="162">
        <f>IF($J$1="August","",Y647)</f>
        <v>62800</v>
      </c>
      <c r="V648" s="91"/>
      <c r="W648" s="162">
        <f t="shared" si="124"/>
        <v>62800</v>
      </c>
      <c r="X648" s="91">
        <v>3000</v>
      </c>
      <c r="Y648" s="162">
        <f t="shared" si="125"/>
        <v>59800</v>
      </c>
      <c r="Z648" s="94"/>
      <c r="AA648" s="45"/>
    </row>
    <row r="649" spans="1:27" s="43" customFormat="1" ht="21" customHeight="1" x14ac:dyDescent="0.25">
      <c r="A649" s="44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61"/>
      <c r="M649" s="45"/>
      <c r="N649" s="88"/>
      <c r="O649" s="89" t="s">
        <v>57</v>
      </c>
      <c r="P649" s="89">
        <v>31</v>
      </c>
      <c r="Q649" s="89">
        <v>0</v>
      </c>
      <c r="R649" s="89">
        <f t="shared" si="126"/>
        <v>12</v>
      </c>
      <c r="S649" s="93"/>
      <c r="T649" s="89" t="s">
        <v>57</v>
      </c>
      <c r="U649" s="162">
        <f>IF($J$1="September","",Y648)</f>
        <v>59800</v>
      </c>
      <c r="V649" s="91">
        <v>30000</v>
      </c>
      <c r="W649" s="162">
        <f t="shared" si="124"/>
        <v>89800</v>
      </c>
      <c r="X649" s="91">
        <v>8000</v>
      </c>
      <c r="Y649" s="162">
        <f t="shared" si="125"/>
        <v>81800</v>
      </c>
      <c r="Z649" s="94"/>
      <c r="AA649" s="45"/>
    </row>
    <row r="650" spans="1:27" s="43" customFormat="1" ht="21" customHeight="1" x14ac:dyDescent="0.25">
      <c r="A650" s="44"/>
      <c r="B650" s="365" t="s">
        <v>103</v>
      </c>
      <c r="C650" s="365"/>
      <c r="D650" s="365"/>
      <c r="E650" s="365"/>
      <c r="F650" s="365"/>
      <c r="G650" s="365"/>
      <c r="H650" s="365"/>
      <c r="I650" s="365"/>
      <c r="J650" s="365"/>
      <c r="K650" s="365"/>
      <c r="L650" s="61"/>
      <c r="M650" s="45"/>
      <c r="N650" s="88"/>
      <c r="O650" s="89" t="s">
        <v>62</v>
      </c>
      <c r="P650" s="89"/>
      <c r="Q650" s="89"/>
      <c r="R650" s="89" t="str">
        <f t="shared" si="126"/>
        <v/>
      </c>
      <c r="S650" s="93"/>
      <c r="T650" s="89" t="s">
        <v>62</v>
      </c>
      <c r="U650" s="162" t="str">
        <f>IF($J$1="October","",Y649)</f>
        <v/>
      </c>
      <c r="V650" s="91"/>
      <c r="W650" s="162" t="str">
        <f t="shared" si="124"/>
        <v/>
      </c>
      <c r="X650" s="91"/>
      <c r="Y650" s="162" t="str">
        <f t="shared" si="125"/>
        <v/>
      </c>
      <c r="Z650" s="94"/>
      <c r="AA650" s="45"/>
    </row>
    <row r="651" spans="1:27" s="43" customFormat="1" ht="21" customHeight="1" x14ac:dyDescent="0.25">
      <c r="A651" s="44"/>
      <c r="B651" s="365"/>
      <c r="C651" s="365"/>
      <c r="D651" s="365"/>
      <c r="E651" s="365"/>
      <c r="F651" s="365"/>
      <c r="G651" s="365"/>
      <c r="H651" s="365"/>
      <c r="I651" s="365"/>
      <c r="J651" s="365"/>
      <c r="K651" s="365"/>
      <c r="L651" s="61"/>
      <c r="M651" s="45"/>
      <c r="N651" s="88"/>
      <c r="O651" s="89" t="s">
        <v>63</v>
      </c>
      <c r="P651" s="89"/>
      <c r="Q651" s="89"/>
      <c r="R651" s="89" t="str">
        <f t="shared" si="126"/>
        <v/>
      </c>
      <c r="S651" s="93"/>
      <c r="T651" s="89" t="s">
        <v>63</v>
      </c>
      <c r="U651" s="162" t="str">
        <f>IF($J$1="November","",Y650)</f>
        <v/>
      </c>
      <c r="V651" s="91"/>
      <c r="W651" s="162" t="str">
        <f t="shared" si="124"/>
        <v/>
      </c>
      <c r="X651" s="91"/>
      <c r="Y651" s="162" t="str">
        <f t="shared" si="125"/>
        <v/>
      </c>
      <c r="Z651" s="94"/>
      <c r="AA651" s="45"/>
    </row>
    <row r="652" spans="1:27" s="43" customFormat="1" ht="21" customHeight="1" thickBot="1" x14ac:dyDescent="0.3">
      <c r="A652" s="74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6"/>
      <c r="N652" s="95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7"/>
    </row>
    <row r="653" spans="1:27" s="45" customFormat="1" ht="21" customHeight="1" thickBot="1" x14ac:dyDescent="0.3"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 spans="1:27" s="43" customFormat="1" ht="21" customHeight="1" x14ac:dyDescent="0.25">
      <c r="A654" s="383" t="s">
        <v>45</v>
      </c>
      <c r="B654" s="384"/>
      <c r="C654" s="384"/>
      <c r="D654" s="384"/>
      <c r="E654" s="384"/>
      <c r="F654" s="384"/>
      <c r="G654" s="384"/>
      <c r="H654" s="384"/>
      <c r="I654" s="384"/>
      <c r="J654" s="384"/>
      <c r="K654" s="384"/>
      <c r="L654" s="385"/>
      <c r="M654" s="42"/>
      <c r="N654" s="81"/>
      <c r="O654" s="372" t="s">
        <v>47</v>
      </c>
      <c r="P654" s="373"/>
      <c r="Q654" s="373"/>
      <c r="R654" s="374"/>
      <c r="S654" s="82"/>
      <c r="T654" s="372" t="s">
        <v>48</v>
      </c>
      <c r="U654" s="373"/>
      <c r="V654" s="373"/>
      <c r="W654" s="373"/>
      <c r="X654" s="373"/>
      <c r="Y654" s="374"/>
      <c r="Z654" s="83"/>
      <c r="AA654" s="42"/>
    </row>
    <row r="655" spans="1:27" s="43" customFormat="1" ht="21" customHeight="1" x14ac:dyDescent="0.25">
      <c r="A655" s="44"/>
      <c r="B655" s="45"/>
      <c r="C655" s="375" t="s">
        <v>101</v>
      </c>
      <c r="D655" s="375"/>
      <c r="E655" s="375"/>
      <c r="F655" s="375"/>
      <c r="G655" s="46" t="str">
        <f>$J$1</f>
        <v>October</v>
      </c>
      <c r="H655" s="376">
        <f>$K$1</f>
        <v>2020</v>
      </c>
      <c r="I655" s="376"/>
      <c r="J655" s="45"/>
      <c r="K655" s="47"/>
      <c r="L655" s="48"/>
      <c r="M655" s="47"/>
      <c r="N655" s="84"/>
      <c r="O655" s="85" t="s">
        <v>58</v>
      </c>
      <c r="P655" s="85" t="s">
        <v>7</v>
      </c>
      <c r="Q655" s="85" t="s">
        <v>6</v>
      </c>
      <c r="R655" s="85" t="s">
        <v>59</v>
      </c>
      <c r="S655" s="86"/>
      <c r="T655" s="85" t="s">
        <v>58</v>
      </c>
      <c r="U655" s="85" t="s">
        <v>60</v>
      </c>
      <c r="V655" s="85" t="s">
        <v>23</v>
      </c>
      <c r="W655" s="85" t="s">
        <v>22</v>
      </c>
      <c r="X655" s="85" t="s">
        <v>24</v>
      </c>
      <c r="Y655" s="85" t="s">
        <v>64</v>
      </c>
      <c r="Z655" s="87"/>
      <c r="AA655" s="47"/>
    </row>
    <row r="656" spans="1:27" s="43" customFormat="1" ht="21" customHeight="1" x14ac:dyDescent="0.25">
      <c r="A656" s="44"/>
      <c r="B656" s="45"/>
      <c r="C656" s="45"/>
      <c r="D656" s="50"/>
      <c r="E656" s="50"/>
      <c r="F656" s="50"/>
      <c r="G656" s="50"/>
      <c r="H656" s="50"/>
      <c r="I656" s="45"/>
      <c r="J656" s="51" t="s">
        <v>1</v>
      </c>
      <c r="K656" s="52">
        <v>15000</v>
      </c>
      <c r="L656" s="53"/>
      <c r="M656" s="45"/>
      <c r="N656" s="88"/>
      <c r="O656" s="89" t="s">
        <v>50</v>
      </c>
      <c r="P656" s="89"/>
      <c r="Q656" s="89"/>
      <c r="R656" s="89"/>
      <c r="S656" s="90"/>
      <c r="T656" s="89" t="s">
        <v>50</v>
      </c>
      <c r="U656" s="91"/>
      <c r="V656" s="91"/>
      <c r="W656" s="91">
        <f>V656+U656</f>
        <v>0</v>
      </c>
      <c r="X656" s="91"/>
      <c r="Y656" s="91">
        <f>W656-X656</f>
        <v>0</v>
      </c>
      <c r="Z656" s="87"/>
      <c r="AA656" s="45"/>
    </row>
    <row r="657" spans="1:27" s="43" customFormat="1" ht="21" customHeight="1" x14ac:dyDescent="0.25">
      <c r="A657" s="44"/>
      <c r="B657" s="45" t="s">
        <v>0</v>
      </c>
      <c r="C657" s="55" t="s">
        <v>265</v>
      </c>
      <c r="D657" s="45"/>
      <c r="E657" s="45"/>
      <c r="F657" s="45"/>
      <c r="G657" s="45"/>
      <c r="H657" s="56"/>
      <c r="I657" s="50"/>
      <c r="J657" s="45"/>
      <c r="K657" s="45"/>
      <c r="L657" s="57"/>
      <c r="M657" s="42"/>
      <c r="N657" s="92"/>
      <c r="O657" s="89" t="s">
        <v>76</v>
      </c>
      <c r="P657" s="89"/>
      <c r="Q657" s="89"/>
      <c r="R657" s="89"/>
      <c r="S657" s="93"/>
      <c r="T657" s="89" t="s">
        <v>76</v>
      </c>
      <c r="U657" s="162">
        <f>IF($J$1="January","",Y656)</f>
        <v>0</v>
      </c>
      <c r="V657" s="91"/>
      <c r="W657" s="162">
        <f>IF(U657="","",U657+V657)</f>
        <v>0</v>
      </c>
      <c r="X657" s="91"/>
      <c r="Y657" s="162">
        <f>IF(W657="","",W657-X657)</f>
        <v>0</v>
      </c>
      <c r="Z657" s="94"/>
      <c r="AA657" s="42"/>
    </row>
    <row r="658" spans="1:27" s="43" customFormat="1" ht="21" customHeight="1" x14ac:dyDescent="0.25">
      <c r="A658" s="44"/>
      <c r="B658" s="59" t="s">
        <v>46</v>
      </c>
      <c r="C658" s="60"/>
      <c r="D658" s="45"/>
      <c r="E658" s="45"/>
      <c r="F658" s="366" t="s">
        <v>48</v>
      </c>
      <c r="G658" s="366"/>
      <c r="H658" s="45"/>
      <c r="I658" s="366" t="s">
        <v>49</v>
      </c>
      <c r="J658" s="366"/>
      <c r="K658" s="366"/>
      <c r="L658" s="61"/>
      <c r="M658" s="45"/>
      <c r="N658" s="88"/>
      <c r="O658" s="89" t="s">
        <v>51</v>
      </c>
      <c r="P658" s="89"/>
      <c r="Q658" s="89"/>
      <c r="R658" s="89"/>
      <c r="S658" s="93"/>
      <c r="T658" s="89" t="s">
        <v>51</v>
      </c>
      <c r="U658" s="162">
        <f>IF($J$1="February","",Y657)</f>
        <v>0</v>
      </c>
      <c r="V658" s="91"/>
      <c r="W658" s="162">
        <f t="shared" ref="W658:W667" si="127">IF(U658="","",U658+V658)</f>
        <v>0</v>
      </c>
      <c r="X658" s="91"/>
      <c r="Y658" s="162">
        <f t="shared" ref="Y658:Y667" si="128">IF(W658="","",W658-X658)</f>
        <v>0</v>
      </c>
      <c r="Z658" s="94"/>
      <c r="AA658" s="45"/>
    </row>
    <row r="659" spans="1:27" s="43" customFormat="1" ht="21" customHeight="1" x14ac:dyDescent="0.25">
      <c r="A659" s="44"/>
      <c r="B659" s="45"/>
      <c r="C659" s="45"/>
      <c r="D659" s="45"/>
      <c r="E659" s="45"/>
      <c r="F659" s="45"/>
      <c r="G659" s="45"/>
      <c r="H659" s="62"/>
      <c r="L659" s="49"/>
      <c r="M659" s="45"/>
      <c r="N659" s="88"/>
      <c r="O659" s="89" t="s">
        <v>52</v>
      </c>
      <c r="P659" s="89"/>
      <c r="Q659" s="89"/>
      <c r="R659" s="89"/>
      <c r="S659" s="93"/>
      <c r="T659" s="89" t="s">
        <v>52</v>
      </c>
      <c r="U659" s="162">
        <f>IF($J$1="March","",Y658)</f>
        <v>0</v>
      </c>
      <c r="V659" s="91"/>
      <c r="W659" s="162">
        <f t="shared" si="127"/>
        <v>0</v>
      </c>
      <c r="X659" s="91"/>
      <c r="Y659" s="162">
        <f t="shared" si="128"/>
        <v>0</v>
      </c>
      <c r="Z659" s="94"/>
      <c r="AA659" s="45"/>
    </row>
    <row r="660" spans="1:27" s="43" customFormat="1" ht="21" customHeight="1" x14ac:dyDescent="0.25">
      <c r="A660" s="44"/>
      <c r="B660" s="367" t="s">
        <v>47</v>
      </c>
      <c r="C660" s="368"/>
      <c r="D660" s="45"/>
      <c r="E660" s="45"/>
      <c r="F660" s="63" t="s">
        <v>69</v>
      </c>
      <c r="G660" s="58">
        <f>IF($J$1="January",U656,IF($J$1="February",U657,IF($J$1="March",U658,IF($J$1="April",U659,IF($J$1="May",U660,IF($J$1="June",U661,IF($J$1="July",U662,IF($J$1="August",U663,IF($J$1="August",U663,IF($J$1="September",U664,IF($J$1="October",U665,IF($J$1="November",U666,IF($J$1="December",U667)))))))))))))</f>
        <v>0</v>
      </c>
      <c r="H660" s="62"/>
      <c r="I660" s="64">
        <f>IF(C664&gt;0,$K$2,C662)</f>
        <v>8</v>
      </c>
      <c r="J660" s="65" t="s">
        <v>66</v>
      </c>
      <c r="K660" s="66">
        <f>K656/$K$2*I660</f>
        <v>3870.9677419354839</v>
      </c>
      <c r="L660" s="67"/>
      <c r="M660" s="45"/>
      <c r="N660" s="88"/>
      <c r="O660" s="89" t="s">
        <v>53</v>
      </c>
      <c r="P660" s="89"/>
      <c r="Q660" s="89"/>
      <c r="R660" s="89"/>
      <c r="S660" s="93"/>
      <c r="T660" s="89" t="s">
        <v>53</v>
      </c>
      <c r="U660" s="162">
        <f>IF($J$1="April","",Y659)</f>
        <v>0</v>
      </c>
      <c r="V660" s="91"/>
      <c r="W660" s="162">
        <f t="shared" si="127"/>
        <v>0</v>
      </c>
      <c r="X660" s="91"/>
      <c r="Y660" s="162">
        <f t="shared" si="128"/>
        <v>0</v>
      </c>
      <c r="Z660" s="94"/>
      <c r="AA660" s="45"/>
    </row>
    <row r="661" spans="1:27" s="43" customFormat="1" ht="21" customHeight="1" x14ac:dyDescent="0.25">
      <c r="A661" s="44"/>
      <c r="B661" s="54"/>
      <c r="C661" s="54"/>
      <c r="D661" s="45"/>
      <c r="E661" s="45"/>
      <c r="F661" s="63" t="s">
        <v>23</v>
      </c>
      <c r="G661" s="58">
        <f>IF($J$1="January",V656,IF($J$1="February",V657,IF($J$1="March",V658,IF($J$1="April",V659,IF($J$1="May",V660,IF($J$1="June",V661,IF($J$1="July",V662,IF($J$1="August",V663,IF($J$1="August",V663,IF($J$1="September",V664,IF($J$1="October",V665,IF($J$1="November",V666,IF($J$1="December",V667)))))))))))))</f>
        <v>0</v>
      </c>
      <c r="H661" s="62"/>
      <c r="I661" s="108">
        <v>7</v>
      </c>
      <c r="J661" s="65" t="s">
        <v>67</v>
      </c>
      <c r="K661" s="68">
        <f>K656/$K$2/8*I661</f>
        <v>423.38709677419354</v>
      </c>
      <c r="L661" s="69"/>
      <c r="M661" s="45"/>
      <c r="N661" s="88"/>
      <c r="O661" s="89" t="s">
        <v>54</v>
      </c>
      <c r="P661" s="89"/>
      <c r="Q661" s="89"/>
      <c r="R661" s="89"/>
      <c r="S661" s="93"/>
      <c r="T661" s="89" t="s">
        <v>54</v>
      </c>
      <c r="U661" s="162">
        <f>IF($J$1="May","",Y660)</f>
        <v>0</v>
      </c>
      <c r="V661" s="91"/>
      <c r="W661" s="162">
        <f t="shared" si="127"/>
        <v>0</v>
      </c>
      <c r="X661" s="91"/>
      <c r="Y661" s="162">
        <f t="shared" si="128"/>
        <v>0</v>
      </c>
      <c r="Z661" s="94"/>
      <c r="AA661" s="45"/>
    </row>
    <row r="662" spans="1:27" s="43" customFormat="1" ht="21" customHeight="1" x14ac:dyDescent="0.25">
      <c r="A662" s="44"/>
      <c r="B662" s="63" t="s">
        <v>7</v>
      </c>
      <c r="C662" s="54">
        <f>IF($J$1="January",P656,IF($J$1="February",P657,IF($J$1="March",P658,IF($J$1="April",P659,IF($J$1="May",P660,IF($J$1="June",P661,IF($J$1="July",P662,IF($J$1="August",P663,IF($J$1="August",P663,IF($J$1="September",P664,IF($J$1="October",P665,IF($J$1="November",P666,IF($J$1="December",P667)))))))))))))</f>
        <v>8</v>
      </c>
      <c r="D662" s="45"/>
      <c r="E662" s="45"/>
      <c r="F662" s="63" t="s">
        <v>70</v>
      </c>
      <c r="G662" s="58">
        <f>IF($J$1="January",W656,IF($J$1="February",W657,IF($J$1="March",W658,IF($J$1="April",W659,IF($J$1="May",W660,IF($J$1="June",W661,IF($J$1="July",W662,IF($J$1="August",W663,IF($J$1="August",W663,IF($J$1="September",W664,IF($J$1="October",W665,IF($J$1="November",W666,IF($J$1="December",W667)))))))))))))</f>
        <v>0</v>
      </c>
      <c r="H662" s="62"/>
      <c r="I662" s="361" t="s">
        <v>74</v>
      </c>
      <c r="J662" s="362"/>
      <c r="K662" s="68">
        <f>K660+K661</f>
        <v>4294.3548387096771</v>
      </c>
      <c r="L662" s="69"/>
      <c r="M662" s="45"/>
      <c r="N662" s="88"/>
      <c r="O662" s="89" t="s">
        <v>55</v>
      </c>
      <c r="P662" s="89"/>
      <c r="Q662" s="89"/>
      <c r="R662" s="89"/>
      <c r="S662" s="93"/>
      <c r="T662" s="89" t="s">
        <v>55</v>
      </c>
      <c r="U662" s="162">
        <f>IF($J$1="June","",Y661)</f>
        <v>0</v>
      </c>
      <c r="V662" s="91"/>
      <c r="W662" s="162">
        <f t="shared" si="127"/>
        <v>0</v>
      </c>
      <c r="X662" s="91"/>
      <c r="Y662" s="162">
        <f t="shared" si="128"/>
        <v>0</v>
      </c>
      <c r="Z662" s="94"/>
      <c r="AA662" s="45"/>
    </row>
    <row r="663" spans="1:27" s="43" customFormat="1" ht="21" customHeight="1" x14ac:dyDescent="0.25">
      <c r="A663" s="44"/>
      <c r="B663" s="63" t="s">
        <v>6</v>
      </c>
      <c r="C663" s="54">
        <f>IF($J$1="January",Q656,IF($J$1="February",Q657,IF($J$1="March",Q658,IF($J$1="April",Q659,IF($J$1="May",Q660,IF($J$1="June",Q661,IF($J$1="July",Q662,IF($J$1="August",Q663,IF($J$1="August",Q663,IF($J$1="September",Q664,IF($J$1="October",Q665,IF($J$1="November",Q666,IF($J$1="December",Q667)))))))))))))</f>
        <v>0</v>
      </c>
      <c r="D663" s="45"/>
      <c r="E663" s="45"/>
      <c r="F663" s="63" t="s">
        <v>24</v>
      </c>
      <c r="G663" s="58">
        <f>IF($J$1="January",X656,IF($J$1="February",X657,IF($J$1="March",X658,IF($J$1="April",X659,IF($J$1="May",X660,IF($J$1="June",X661,IF($J$1="July",X662,IF($J$1="August",X663,IF($J$1="August",X663,IF($J$1="September",X664,IF($J$1="October",X665,IF($J$1="November",X666,IF($J$1="December",X667)))))))))))))</f>
        <v>0</v>
      </c>
      <c r="H663" s="62"/>
      <c r="I663" s="361" t="s">
        <v>75</v>
      </c>
      <c r="J663" s="362"/>
      <c r="K663" s="58">
        <f>G663</f>
        <v>0</v>
      </c>
      <c r="L663" s="70"/>
      <c r="M663" s="45"/>
      <c r="N663" s="88"/>
      <c r="O663" s="89" t="s">
        <v>56</v>
      </c>
      <c r="P663" s="89"/>
      <c r="Q663" s="89"/>
      <c r="R663" s="89"/>
      <c r="S663" s="93"/>
      <c r="T663" s="89" t="s">
        <v>56</v>
      </c>
      <c r="U663" s="162">
        <f>IF($J$1="July","",Y662)</f>
        <v>0</v>
      </c>
      <c r="V663" s="91"/>
      <c r="W663" s="162">
        <f t="shared" si="127"/>
        <v>0</v>
      </c>
      <c r="X663" s="91"/>
      <c r="Y663" s="162">
        <f t="shared" si="128"/>
        <v>0</v>
      </c>
      <c r="Z663" s="94"/>
      <c r="AA663" s="45"/>
    </row>
    <row r="664" spans="1:27" s="43" customFormat="1" ht="21" customHeight="1" x14ac:dyDescent="0.25">
      <c r="A664" s="44"/>
      <c r="B664" s="71" t="s">
        <v>73</v>
      </c>
      <c r="C664" s="54">
        <f>IF($J$1="January",R656,IF($J$1="February",R657,IF($J$1="March",R658,IF($J$1="April",R659,IF($J$1="May",R660,IF($J$1="June",R661,IF($J$1="July",R662,IF($J$1="August",R663,IF($J$1="August",R663,IF($J$1="September",R664,IF($J$1="October",R665,IF($J$1="November",R666,IF($J$1="December",R667)))))))))))))</f>
        <v>0</v>
      </c>
      <c r="D664" s="45"/>
      <c r="E664" s="45"/>
      <c r="F664" s="63" t="s">
        <v>72</v>
      </c>
      <c r="G664" s="58">
        <f>IF($J$1="January",Y656,IF($J$1="February",Y657,IF($J$1="March",Y658,IF($J$1="April",Y659,IF($J$1="May",Y660,IF($J$1="June",Y661,IF($J$1="July",Y662,IF($J$1="August",Y663,IF($J$1="August",Y663,IF($J$1="September",Y664,IF($J$1="October",Y665,IF($J$1="November",Y666,IF($J$1="December",Y667)))))))))))))</f>
        <v>0</v>
      </c>
      <c r="H664" s="45"/>
      <c r="I664" s="363" t="s">
        <v>68</v>
      </c>
      <c r="J664" s="364"/>
      <c r="K664" s="72">
        <f>K662-K663</f>
        <v>4294.3548387096771</v>
      </c>
      <c r="L664" s="73"/>
      <c r="M664" s="45"/>
      <c r="N664" s="88"/>
      <c r="O664" s="89" t="s">
        <v>61</v>
      </c>
      <c r="P664" s="89"/>
      <c r="Q664" s="89"/>
      <c r="R664" s="89"/>
      <c r="S664" s="93"/>
      <c r="T664" s="89" t="s">
        <v>61</v>
      </c>
      <c r="U664" s="162">
        <f>IF($J$1="August","",Y663)</f>
        <v>0</v>
      </c>
      <c r="V664" s="91"/>
      <c r="W664" s="162">
        <f t="shared" si="127"/>
        <v>0</v>
      </c>
      <c r="X664" s="91"/>
      <c r="Y664" s="162">
        <f t="shared" si="128"/>
        <v>0</v>
      </c>
      <c r="Z664" s="94"/>
      <c r="AA664" s="45"/>
    </row>
    <row r="665" spans="1:27" s="43" customFormat="1" ht="21" customHeight="1" x14ac:dyDescent="0.25">
      <c r="A665" s="44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61"/>
      <c r="M665" s="45"/>
      <c r="N665" s="88"/>
      <c r="O665" s="89" t="s">
        <v>57</v>
      </c>
      <c r="P665" s="89">
        <v>8</v>
      </c>
      <c r="Q665" s="89">
        <v>0</v>
      </c>
      <c r="R665" s="89">
        <f t="shared" ref="R665:R667" si="129">IF(Q665="","",R664-Q665)</f>
        <v>0</v>
      </c>
      <c r="S665" s="93"/>
      <c r="T665" s="89" t="s">
        <v>57</v>
      </c>
      <c r="U665" s="162">
        <f>IF($J$1="September","",Y664)</f>
        <v>0</v>
      </c>
      <c r="V665" s="91"/>
      <c r="W665" s="162">
        <f t="shared" si="127"/>
        <v>0</v>
      </c>
      <c r="X665" s="91"/>
      <c r="Y665" s="162">
        <f t="shared" si="128"/>
        <v>0</v>
      </c>
      <c r="Z665" s="94"/>
      <c r="AA665" s="45"/>
    </row>
    <row r="666" spans="1:27" s="43" customFormat="1" ht="21" customHeight="1" x14ac:dyDescent="0.25">
      <c r="A666" s="44"/>
      <c r="B666" s="365" t="s">
        <v>103</v>
      </c>
      <c r="C666" s="365"/>
      <c r="D666" s="365"/>
      <c r="E666" s="365"/>
      <c r="F666" s="365"/>
      <c r="G666" s="365"/>
      <c r="H666" s="365"/>
      <c r="I666" s="365"/>
      <c r="J666" s="365"/>
      <c r="K666" s="365"/>
      <c r="L666" s="61"/>
      <c r="M666" s="45"/>
      <c r="N666" s="88"/>
      <c r="O666" s="89" t="s">
        <v>62</v>
      </c>
      <c r="P666" s="89"/>
      <c r="Q666" s="89"/>
      <c r="R666" s="89" t="str">
        <f t="shared" si="129"/>
        <v/>
      </c>
      <c r="S666" s="93"/>
      <c r="T666" s="89" t="s">
        <v>62</v>
      </c>
      <c r="U666" s="162" t="str">
        <f>IF($J$1="October","",Y665)</f>
        <v/>
      </c>
      <c r="V666" s="91"/>
      <c r="W666" s="162" t="str">
        <f t="shared" si="127"/>
        <v/>
      </c>
      <c r="X666" s="91"/>
      <c r="Y666" s="162" t="str">
        <f t="shared" si="128"/>
        <v/>
      </c>
      <c r="Z666" s="94"/>
      <c r="AA666" s="45"/>
    </row>
    <row r="667" spans="1:27" s="43" customFormat="1" ht="21" customHeight="1" x14ac:dyDescent="0.25">
      <c r="A667" s="44"/>
      <c r="B667" s="365"/>
      <c r="C667" s="365"/>
      <c r="D667" s="365"/>
      <c r="E667" s="365"/>
      <c r="F667" s="365"/>
      <c r="G667" s="365"/>
      <c r="H667" s="365"/>
      <c r="I667" s="365"/>
      <c r="J667" s="365"/>
      <c r="K667" s="365"/>
      <c r="L667" s="61"/>
      <c r="M667" s="45"/>
      <c r="N667" s="88"/>
      <c r="O667" s="89" t="s">
        <v>63</v>
      </c>
      <c r="P667" s="89"/>
      <c r="Q667" s="89"/>
      <c r="R667" s="89" t="str">
        <f t="shared" si="129"/>
        <v/>
      </c>
      <c r="S667" s="93"/>
      <c r="T667" s="89" t="s">
        <v>63</v>
      </c>
      <c r="U667" s="162" t="str">
        <f>IF($J$1="November","",Y666)</f>
        <v/>
      </c>
      <c r="V667" s="91"/>
      <c r="W667" s="162" t="str">
        <f t="shared" si="127"/>
        <v/>
      </c>
      <c r="X667" s="91"/>
      <c r="Y667" s="162" t="str">
        <f t="shared" si="128"/>
        <v/>
      </c>
      <c r="Z667" s="94"/>
      <c r="AA667" s="45"/>
    </row>
    <row r="668" spans="1:27" s="43" customFormat="1" ht="21" customHeight="1" thickBot="1" x14ac:dyDescent="0.3">
      <c r="A668" s="74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6"/>
      <c r="N668" s="95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7"/>
    </row>
    <row r="669" spans="1:27" s="45" customFormat="1" ht="21" customHeight="1" thickBot="1" x14ac:dyDescent="0.3"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 spans="1:27" s="43" customFormat="1" ht="21" customHeight="1" x14ac:dyDescent="0.25">
      <c r="A670" s="383" t="s">
        <v>45</v>
      </c>
      <c r="B670" s="384"/>
      <c r="C670" s="384"/>
      <c r="D670" s="384"/>
      <c r="E670" s="384"/>
      <c r="F670" s="384"/>
      <c r="G670" s="384"/>
      <c r="H670" s="384"/>
      <c r="I670" s="384"/>
      <c r="J670" s="384"/>
      <c r="K670" s="384"/>
      <c r="L670" s="385"/>
      <c r="M670" s="130"/>
      <c r="N670" s="81"/>
      <c r="O670" s="372" t="s">
        <v>47</v>
      </c>
      <c r="P670" s="373"/>
      <c r="Q670" s="373"/>
      <c r="R670" s="374"/>
      <c r="S670" s="82"/>
      <c r="T670" s="372" t="s">
        <v>48</v>
      </c>
      <c r="U670" s="373"/>
      <c r="V670" s="373"/>
      <c r="W670" s="373"/>
      <c r="X670" s="373"/>
      <c r="Y670" s="374"/>
      <c r="Z670" s="83"/>
    </row>
    <row r="671" spans="1:27" s="43" customFormat="1" ht="21" customHeight="1" x14ac:dyDescent="0.25">
      <c r="A671" s="44"/>
      <c r="B671" s="45"/>
      <c r="C671" s="375" t="s">
        <v>101</v>
      </c>
      <c r="D671" s="375"/>
      <c r="E671" s="375"/>
      <c r="F671" s="375"/>
      <c r="G671" s="46" t="str">
        <f>$J$1</f>
        <v>October</v>
      </c>
      <c r="H671" s="376">
        <f>$K$1</f>
        <v>2020</v>
      </c>
      <c r="I671" s="376"/>
      <c r="J671" s="45"/>
      <c r="K671" s="47"/>
      <c r="L671" s="48"/>
      <c r="M671" s="47"/>
      <c r="N671" s="84"/>
      <c r="O671" s="85" t="s">
        <v>58</v>
      </c>
      <c r="P671" s="85" t="s">
        <v>7</v>
      </c>
      <c r="Q671" s="85" t="s">
        <v>6</v>
      </c>
      <c r="R671" s="85" t="s">
        <v>59</v>
      </c>
      <c r="S671" s="86"/>
      <c r="T671" s="85" t="s">
        <v>58</v>
      </c>
      <c r="U671" s="85" t="s">
        <v>60</v>
      </c>
      <c r="V671" s="85" t="s">
        <v>23</v>
      </c>
      <c r="W671" s="85" t="s">
        <v>22</v>
      </c>
      <c r="X671" s="85" t="s">
        <v>24</v>
      </c>
      <c r="Y671" s="85" t="s">
        <v>64</v>
      </c>
      <c r="Z671" s="87"/>
    </row>
    <row r="672" spans="1:27" s="43" customFormat="1" ht="21" customHeight="1" x14ac:dyDescent="0.25">
      <c r="A672" s="44"/>
      <c r="B672" s="45"/>
      <c r="C672" s="45"/>
      <c r="D672" s="50"/>
      <c r="E672" s="50"/>
      <c r="F672" s="50"/>
      <c r="G672" s="50"/>
      <c r="H672" s="50"/>
      <c r="I672" s="45"/>
      <c r="J672" s="51" t="s">
        <v>1</v>
      </c>
      <c r="K672" s="52">
        <v>17000</v>
      </c>
      <c r="L672" s="53"/>
      <c r="M672" s="45"/>
      <c r="N672" s="88"/>
      <c r="O672" s="89" t="s">
        <v>50</v>
      </c>
      <c r="P672" s="89">
        <v>30</v>
      </c>
      <c r="Q672" s="89">
        <v>1</v>
      </c>
      <c r="R672" s="89">
        <v>0</v>
      </c>
      <c r="S672" s="90"/>
      <c r="T672" s="89" t="s">
        <v>50</v>
      </c>
      <c r="U672" s="91">
        <v>5000</v>
      </c>
      <c r="V672" s="91"/>
      <c r="W672" s="91">
        <f>V672+U672</f>
        <v>5000</v>
      </c>
      <c r="X672" s="91">
        <v>1000</v>
      </c>
      <c r="Y672" s="91">
        <f>W672-X672</f>
        <v>4000</v>
      </c>
      <c r="Z672" s="87"/>
    </row>
    <row r="673" spans="1:27" s="43" customFormat="1" ht="21" customHeight="1" x14ac:dyDescent="0.25">
      <c r="A673" s="44"/>
      <c r="B673" s="45" t="s">
        <v>0</v>
      </c>
      <c r="C673" s="100" t="s">
        <v>139</v>
      </c>
      <c r="D673" s="45"/>
      <c r="E673" s="45"/>
      <c r="F673" s="45"/>
      <c r="G673" s="45"/>
      <c r="H673" s="56"/>
      <c r="I673" s="50"/>
      <c r="J673" s="45"/>
      <c r="K673" s="45"/>
      <c r="L673" s="57"/>
      <c r="M673" s="130"/>
      <c r="N673" s="92"/>
      <c r="O673" s="89" t="s">
        <v>76</v>
      </c>
      <c r="P673" s="89">
        <v>28</v>
      </c>
      <c r="Q673" s="89">
        <v>1</v>
      </c>
      <c r="R673" s="89">
        <v>0</v>
      </c>
      <c r="S673" s="93"/>
      <c r="T673" s="89" t="s">
        <v>76</v>
      </c>
      <c r="U673" s="162">
        <f>IF($J$1="January","",Y672)</f>
        <v>4000</v>
      </c>
      <c r="V673" s="91">
        <f>130+5000</f>
        <v>5130</v>
      </c>
      <c r="W673" s="162">
        <f>IF(U673="","",U673+V673)</f>
        <v>9130</v>
      </c>
      <c r="X673" s="91">
        <v>1130</v>
      </c>
      <c r="Y673" s="162">
        <f>IF(W673="","",W673-X673)</f>
        <v>8000</v>
      </c>
      <c r="Z673" s="94"/>
    </row>
    <row r="674" spans="1:27" s="43" customFormat="1" ht="21" customHeight="1" x14ac:dyDescent="0.25">
      <c r="A674" s="44"/>
      <c r="B674" s="59" t="s">
        <v>46</v>
      </c>
      <c r="C674" s="100"/>
      <c r="D674" s="45"/>
      <c r="E674" s="45"/>
      <c r="F674" s="366" t="s">
        <v>48</v>
      </c>
      <c r="G674" s="366"/>
      <c r="H674" s="45"/>
      <c r="I674" s="366" t="s">
        <v>49</v>
      </c>
      <c r="J674" s="366"/>
      <c r="K674" s="366"/>
      <c r="L674" s="61"/>
      <c r="M674" s="45"/>
      <c r="N674" s="88"/>
      <c r="O674" s="89" t="s">
        <v>51</v>
      </c>
      <c r="P674" s="89">
        <v>31</v>
      </c>
      <c r="Q674" s="89">
        <v>0</v>
      </c>
      <c r="R674" s="89">
        <v>0</v>
      </c>
      <c r="S674" s="93"/>
      <c r="T674" s="89" t="s">
        <v>51</v>
      </c>
      <c r="U674" s="162">
        <f>IF($J$1="February","",Y673)</f>
        <v>8000</v>
      </c>
      <c r="V674" s="91"/>
      <c r="W674" s="162">
        <f t="shared" ref="W674:W683" si="130">IF(U674="","",U674+V674)</f>
        <v>8000</v>
      </c>
      <c r="X674" s="91">
        <v>1000</v>
      </c>
      <c r="Y674" s="162">
        <f t="shared" ref="Y674:Y683" si="131">IF(W674="","",W674-X674)</f>
        <v>7000</v>
      </c>
      <c r="Z674" s="94"/>
    </row>
    <row r="675" spans="1:27" s="43" customFormat="1" ht="21" customHeight="1" x14ac:dyDescent="0.25">
      <c r="A675" s="44"/>
      <c r="B675" s="45"/>
      <c r="C675" s="45"/>
      <c r="D675" s="45"/>
      <c r="E675" s="45"/>
      <c r="F675" s="45"/>
      <c r="G675" s="45"/>
      <c r="H675" s="62"/>
      <c r="L675" s="49"/>
      <c r="M675" s="45"/>
      <c r="N675" s="88"/>
      <c r="O675" s="89" t="s">
        <v>52</v>
      </c>
      <c r="P675" s="89">
        <v>0</v>
      </c>
      <c r="Q675" s="89">
        <v>0</v>
      </c>
      <c r="R675" s="89">
        <v>0</v>
      </c>
      <c r="S675" s="93"/>
      <c r="T675" s="89" t="s">
        <v>52</v>
      </c>
      <c r="U675" s="162">
        <f>IF($J$1="March","",Y674)</f>
        <v>7000</v>
      </c>
      <c r="V675" s="91"/>
      <c r="W675" s="162">
        <f t="shared" si="130"/>
        <v>7000</v>
      </c>
      <c r="X675" s="91"/>
      <c r="Y675" s="162">
        <f t="shared" si="131"/>
        <v>7000</v>
      </c>
      <c r="Z675" s="94"/>
    </row>
    <row r="676" spans="1:27" s="43" customFormat="1" ht="21" customHeight="1" x14ac:dyDescent="0.25">
      <c r="A676" s="44"/>
      <c r="B676" s="367" t="s">
        <v>47</v>
      </c>
      <c r="C676" s="368"/>
      <c r="D676" s="45"/>
      <c r="E676" s="45"/>
      <c r="F676" s="63" t="s">
        <v>69</v>
      </c>
      <c r="G676" s="58">
        <f>IF($J$1="January",U672,IF($J$1="February",U673,IF($J$1="March",U674,IF($J$1="April",U675,IF($J$1="May",U676,IF($J$1="June",U677,IF($J$1="July",U678,IF($J$1="August",U679,IF($J$1="August",U679,IF($J$1="September",U680,IF($J$1="October",U681,IF($J$1="November",U682,IF($J$1="December",U683)))))))))))))</f>
        <v>2000</v>
      </c>
      <c r="H676" s="62"/>
      <c r="I676" s="64">
        <f>IF(C680&gt;0,$K$2,C678)</f>
        <v>31</v>
      </c>
      <c r="J676" s="65" t="s">
        <v>66</v>
      </c>
      <c r="K676" s="66">
        <f>K672/$K$2*I676</f>
        <v>17000</v>
      </c>
      <c r="L676" s="67"/>
      <c r="M676" s="45"/>
      <c r="N676" s="88"/>
      <c r="O676" s="89" t="s">
        <v>53</v>
      </c>
      <c r="P676" s="89">
        <v>27</v>
      </c>
      <c r="Q676" s="89">
        <v>4</v>
      </c>
      <c r="R676" s="89">
        <v>0</v>
      </c>
      <c r="S676" s="93"/>
      <c r="T676" s="89" t="s">
        <v>53</v>
      </c>
      <c r="U676" s="162">
        <f>IF($J$1="April","",Y675)</f>
        <v>7000</v>
      </c>
      <c r="V676" s="91"/>
      <c r="W676" s="162">
        <f t="shared" si="130"/>
        <v>7000</v>
      </c>
      <c r="X676" s="91">
        <v>1000</v>
      </c>
      <c r="Y676" s="162">
        <f t="shared" si="131"/>
        <v>6000</v>
      </c>
      <c r="Z676" s="94"/>
    </row>
    <row r="677" spans="1:27" s="43" customFormat="1" ht="21" customHeight="1" x14ac:dyDescent="0.25">
      <c r="A677" s="44"/>
      <c r="B677" s="54"/>
      <c r="C677" s="54"/>
      <c r="D677" s="45"/>
      <c r="E677" s="45"/>
      <c r="F677" s="63" t="s">
        <v>23</v>
      </c>
      <c r="G677" s="58">
        <f>IF($J$1="January",V672,IF($J$1="February",V673,IF($J$1="March",V674,IF($J$1="April",V675,IF($J$1="May",V676,IF($J$1="June",V677,IF($J$1="July",V678,IF($J$1="August",V679,IF($J$1="August",V679,IF($J$1="September",V680,IF($J$1="October",V681,IF($J$1="November",V682,IF($J$1="December",V683)))))))))))))</f>
        <v>10000</v>
      </c>
      <c r="H677" s="62"/>
      <c r="I677" s="108">
        <v>18</v>
      </c>
      <c r="J677" s="65" t="s">
        <v>67</v>
      </c>
      <c r="K677" s="68">
        <f>K672/$K$2/8*I677</f>
        <v>1233.8709677419354</v>
      </c>
      <c r="L677" s="69"/>
      <c r="M677" s="45"/>
      <c r="N677" s="88"/>
      <c r="O677" s="89" t="s">
        <v>54</v>
      </c>
      <c r="P677" s="89">
        <v>26</v>
      </c>
      <c r="Q677" s="89">
        <v>4</v>
      </c>
      <c r="R677" s="89">
        <v>15</v>
      </c>
      <c r="S677" s="93"/>
      <c r="T677" s="89" t="s">
        <v>54</v>
      </c>
      <c r="U677" s="162">
        <f>IF($J$1="May","",Y676)</f>
        <v>6000</v>
      </c>
      <c r="V677" s="91"/>
      <c r="W677" s="162">
        <f t="shared" si="130"/>
        <v>6000</v>
      </c>
      <c r="X677" s="91">
        <v>1000</v>
      </c>
      <c r="Y677" s="162">
        <f t="shared" si="131"/>
        <v>5000</v>
      </c>
      <c r="Z677" s="94"/>
    </row>
    <row r="678" spans="1:27" s="43" customFormat="1" ht="21" customHeight="1" x14ac:dyDescent="0.25">
      <c r="A678" s="44"/>
      <c r="B678" s="63" t="s">
        <v>7</v>
      </c>
      <c r="C678" s="54">
        <f>IF($J$1="January",P672,IF($J$1="February",P673,IF($J$1="March",P674,IF($J$1="April",P675,IF($J$1="May",P676,IF($J$1="June",P677,IF($J$1="July",P678,IF($J$1="August",P679,IF($J$1="August",P679,IF($J$1="September",P680,IF($J$1="October",P681,IF($J$1="November",P682,IF($J$1="December",P683)))))))))))))</f>
        <v>29</v>
      </c>
      <c r="D678" s="45"/>
      <c r="E678" s="45"/>
      <c r="F678" s="63" t="s">
        <v>70</v>
      </c>
      <c r="G678" s="58">
        <f>IF($J$1="January",W672,IF($J$1="February",W673,IF($J$1="March",W674,IF($J$1="April",W675,IF($J$1="May",W676,IF($J$1="June",W677,IF($J$1="July",W678,IF($J$1="August",W679,IF($J$1="August",W679,IF($J$1="September",W680,IF($J$1="October",W681,IF($J$1="November",W682,IF($J$1="December",W683)))))))))))))</f>
        <v>12000</v>
      </c>
      <c r="H678" s="62"/>
      <c r="I678" s="361" t="s">
        <v>74</v>
      </c>
      <c r="J678" s="362"/>
      <c r="K678" s="68">
        <f>K676+K677</f>
        <v>18233.870967741936</v>
      </c>
      <c r="L678" s="69"/>
      <c r="M678" s="45"/>
      <c r="N678" s="88"/>
      <c r="O678" s="89" t="s">
        <v>55</v>
      </c>
      <c r="P678" s="89">
        <v>29</v>
      </c>
      <c r="Q678" s="89">
        <v>2</v>
      </c>
      <c r="R678" s="89">
        <f>R677-Q678</f>
        <v>13</v>
      </c>
      <c r="S678" s="93"/>
      <c r="T678" s="89" t="s">
        <v>55</v>
      </c>
      <c r="U678" s="162">
        <f>IF($J$1="June","",Y677)</f>
        <v>5000</v>
      </c>
      <c r="V678" s="91"/>
      <c r="W678" s="162">
        <f t="shared" si="130"/>
        <v>5000</v>
      </c>
      <c r="X678" s="91">
        <v>1000</v>
      </c>
      <c r="Y678" s="162">
        <f t="shared" si="131"/>
        <v>4000</v>
      </c>
      <c r="Z678" s="94"/>
    </row>
    <row r="679" spans="1:27" s="43" customFormat="1" ht="21" customHeight="1" x14ac:dyDescent="0.25">
      <c r="A679" s="44"/>
      <c r="B679" s="63" t="s">
        <v>6</v>
      </c>
      <c r="C679" s="54">
        <f>IF($J$1="January",Q672,IF($J$1="February",Q673,IF($J$1="March",Q674,IF($J$1="April",Q675,IF($J$1="May",Q676,IF($J$1="June",Q677,IF($J$1="July",Q678,IF($J$1="August",Q679,IF($J$1="August",Q679,IF($J$1="September",Q680,IF($J$1="October",Q681,IF($J$1="November",Q682,IF($J$1="December",Q683)))))))))))))</f>
        <v>2</v>
      </c>
      <c r="D679" s="45"/>
      <c r="E679" s="45"/>
      <c r="F679" s="63" t="s">
        <v>24</v>
      </c>
      <c r="G679" s="58">
        <f>IF($J$1="January",X672,IF($J$1="February",X673,IF($J$1="March",X674,IF($J$1="April",X675,IF($J$1="May",X676,IF($J$1="June",X677,IF($J$1="July",X678,IF($J$1="August",X679,IF($J$1="August",X679,IF($J$1="September",X680,IF($J$1="October",X681,IF($J$1="November",X682,IF($J$1="December",X683)))))))))))))</f>
        <v>2000</v>
      </c>
      <c r="H679" s="62"/>
      <c r="I679" s="361" t="s">
        <v>75</v>
      </c>
      <c r="J679" s="362"/>
      <c r="K679" s="58">
        <f>G679</f>
        <v>2000</v>
      </c>
      <c r="L679" s="70"/>
      <c r="M679" s="45"/>
      <c r="N679" s="88"/>
      <c r="O679" s="89" t="s">
        <v>56</v>
      </c>
      <c r="P679" s="89">
        <v>28</v>
      </c>
      <c r="Q679" s="89">
        <v>3</v>
      </c>
      <c r="R679" s="89">
        <f>R678-Q679</f>
        <v>10</v>
      </c>
      <c r="S679" s="93"/>
      <c r="T679" s="89" t="s">
        <v>56</v>
      </c>
      <c r="U679" s="162">
        <f>IF($J$1="July","",Y678)</f>
        <v>4000</v>
      </c>
      <c r="V679" s="91"/>
      <c r="W679" s="162">
        <f t="shared" si="130"/>
        <v>4000</v>
      </c>
      <c r="X679" s="91">
        <v>1000</v>
      </c>
      <c r="Y679" s="162">
        <f t="shared" si="131"/>
        <v>3000</v>
      </c>
      <c r="Z679" s="94"/>
    </row>
    <row r="680" spans="1:27" s="43" customFormat="1" ht="21" customHeight="1" x14ac:dyDescent="0.25">
      <c r="A680" s="44"/>
      <c r="B680" s="71" t="s">
        <v>73</v>
      </c>
      <c r="C680" s="54">
        <f>IF($J$1="January",R672,IF($J$1="February",R673,IF($J$1="March",R674,IF($J$1="April",R675,IF($J$1="May",R676,IF($J$1="June",R677,IF($J$1="July",R678,IF($J$1="August",R679,IF($J$1="August",R679,IF($J$1="September",R680,IF($J$1="October",R681,IF($J$1="November",R682,IF($J$1="December",R683)))))))))))))</f>
        <v>7</v>
      </c>
      <c r="D680" s="45"/>
      <c r="E680" s="45"/>
      <c r="F680" s="63" t="s">
        <v>72</v>
      </c>
      <c r="G680" s="58">
        <f>IF($J$1="January",Y672,IF($J$1="February",Y673,IF($J$1="March",Y674,IF($J$1="April",Y675,IF($J$1="May",Y676,IF($J$1="June",Y677,IF($J$1="July",Y678,IF($J$1="August",Y679,IF($J$1="August",Y679,IF($J$1="September",Y680,IF($J$1="October",Y681,IF($J$1="November",Y682,IF($J$1="December",Y683)))))))))))))</f>
        <v>10000</v>
      </c>
      <c r="H680" s="45"/>
      <c r="I680" s="363" t="s">
        <v>68</v>
      </c>
      <c r="J680" s="364"/>
      <c r="K680" s="72">
        <f>K678-K679</f>
        <v>16233.870967741936</v>
      </c>
      <c r="L680" s="73"/>
      <c r="M680" s="45"/>
      <c r="N680" s="88"/>
      <c r="O680" s="89" t="s">
        <v>61</v>
      </c>
      <c r="P680" s="89">
        <v>29</v>
      </c>
      <c r="Q680" s="89">
        <v>1</v>
      </c>
      <c r="R680" s="89">
        <f>R679-Q680</f>
        <v>9</v>
      </c>
      <c r="S680" s="93"/>
      <c r="T680" s="89" t="s">
        <v>61</v>
      </c>
      <c r="U680" s="162">
        <f>IF($J$1="August","",Y679)</f>
        <v>3000</v>
      </c>
      <c r="V680" s="91"/>
      <c r="W680" s="162">
        <f t="shared" si="130"/>
        <v>3000</v>
      </c>
      <c r="X680" s="91">
        <v>1000</v>
      </c>
      <c r="Y680" s="162">
        <f t="shared" si="131"/>
        <v>2000</v>
      </c>
      <c r="Z680" s="94"/>
    </row>
    <row r="681" spans="1:27" s="43" customFormat="1" ht="21" customHeight="1" x14ac:dyDescent="0.25">
      <c r="A681" s="44"/>
      <c r="B681" s="45"/>
      <c r="C681" s="45"/>
      <c r="D681" s="45"/>
      <c r="E681" s="45"/>
      <c r="F681" s="45"/>
      <c r="G681" s="45"/>
      <c r="H681" s="45"/>
      <c r="I681" s="45"/>
      <c r="J681" s="45"/>
      <c r="K681" s="177"/>
      <c r="L681" s="61"/>
      <c r="M681" s="45"/>
      <c r="N681" s="88"/>
      <c r="O681" s="89" t="s">
        <v>57</v>
      </c>
      <c r="P681" s="89">
        <v>29</v>
      </c>
      <c r="Q681" s="89">
        <v>2</v>
      </c>
      <c r="R681" s="89">
        <f>R680-Q681</f>
        <v>7</v>
      </c>
      <c r="S681" s="93"/>
      <c r="T681" s="89" t="s">
        <v>57</v>
      </c>
      <c r="U681" s="162">
        <f>IF($J$1="September","",Y680)</f>
        <v>2000</v>
      </c>
      <c r="V681" s="91">
        <v>10000</v>
      </c>
      <c r="W681" s="162">
        <f t="shared" si="130"/>
        <v>12000</v>
      </c>
      <c r="X681" s="91">
        <v>2000</v>
      </c>
      <c r="Y681" s="162">
        <f t="shared" si="131"/>
        <v>10000</v>
      </c>
      <c r="Z681" s="94"/>
    </row>
    <row r="682" spans="1:27" s="43" customFormat="1" ht="21" customHeight="1" x14ac:dyDescent="0.25">
      <c r="A682" s="44"/>
      <c r="B682" s="365" t="s">
        <v>103</v>
      </c>
      <c r="C682" s="365"/>
      <c r="D682" s="365"/>
      <c r="E682" s="365"/>
      <c r="F682" s="365"/>
      <c r="G682" s="365"/>
      <c r="H682" s="365"/>
      <c r="I682" s="365"/>
      <c r="J682" s="365"/>
      <c r="K682" s="365"/>
      <c r="L682" s="61"/>
      <c r="M682" s="45"/>
      <c r="N682" s="88"/>
      <c r="O682" s="89" t="s">
        <v>62</v>
      </c>
      <c r="P682" s="89"/>
      <c r="Q682" s="89"/>
      <c r="R682" s="89">
        <v>0</v>
      </c>
      <c r="S682" s="93"/>
      <c r="T682" s="89" t="s">
        <v>62</v>
      </c>
      <c r="U682" s="162" t="str">
        <f>IF($J$1="October","",Y681)</f>
        <v/>
      </c>
      <c r="V682" s="91"/>
      <c r="W682" s="162" t="str">
        <f t="shared" si="130"/>
        <v/>
      </c>
      <c r="X682" s="91"/>
      <c r="Y682" s="162" t="str">
        <f t="shared" si="131"/>
        <v/>
      </c>
      <c r="Z682" s="94"/>
    </row>
    <row r="683" spans="1:27" s="43" customFormat="1" ht="21" customHeight="1" x14ac:dyDescent="0.25">
      <c r="A683" s="44"/>
      <c r="B683" s="365"/>
      <c r="C683" s="365"/>
      <c r="D683" s="365"/>
      <c r="E683" s="365"/>
      <c r="F683" s="365"/>
      <c r="G683" s="365"/>
      <c r="H683" s="365"/>
      <c r="I683" s="365"/>
      <c r="J683" s="365"/>
      <c r="K683" s="365"/>
      <c r="L683" s="61"/>
      <c r="M683" s="45"/>
      <c r="N683" s="88"/>
      <c r="O683" s="89" t="s">
        <v>63</v>
      </c>
      <c r="P683" s="89"/>
      <c r="Q683" s="89"/>
      <c r="R683" s="89" t="str">
        <f t="shared" ref="R683" si="132">IF(Q683="","",R682-Q683)</f>
        <v/>
      </c>
      <c r="S683" s="93"/>
      <c r="T683" s="89" t="s">
        <v>63</v>
      </c>
      <c r="U683" s="162" t="str">
        <f>IF($J$1="November","",Y682)</f>
        <v/>
      </c>
      <c r="V683" s="91"/>
      <c r="W683" s="162" t="str">
        <f t="shared" si="130"/>
        <v/>
      </c>
      <c r="X683" s="91"/>
      <c r="Y683" s="162" t="str">
        <f t="shared" si="131"/>
        <v/>
      </c>
      <c r="Z683" s="94"/>
    </row>
    <row r="684" spans="1:27" s="43" customFormat="1" ht="21" customHeight="1" thickBot="1" x14ac:dyDescent="0.3">
      <c r="A684" s="74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6"/>
      <c r="N684" s="95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7"/>
    </row>
    <row r="685" spans="1:27" s="43" customFormat="1" ht="21" customHeight="1" thickBot="1" x14ac:dyDescent="0.3">
      <c r="A685" s="44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61"/>
      <c r="N685" s="88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109"/>
    </row>
    <row r="686" spans="1:27" s="43" customFormat="1" ht="21" customHeight="1" x14ac:dyDescent="0.25">
      <c r="A686" s="369" t="s">
        <v>45</v>
      </c>
      <c r="B686" s="370"/>
      <c r="C686" s="370"/>
      <c r="D686" s="370"/>
      <c r="E686" s="370"/>
      <c r="F686" s="370"/>
      <c r="G686" s="370"/>
      <c r="H686" s="370"/>
      <c r="I686" s="370"/>
      <c r="J686" s="370"/>
      <c r="K686" s="370"/>
      <c r="L686" s="371"/>
      <c r="M686" s="42"/>
      <c r="N686" s="81"/>
      <c r="O686" s="372" t="s">
        <v>47</v>
      </c>
      <c r="P686" s="373"/>
      <c r="Q686" s="373"/>
      <c r="R686" s="374"/>
      <c r="S686" s="82"/>
      <c r="T686" s="372" t="s">
        <v>48</v>
      </c>
      <c r="U686" s="373"/>
      <c r="V686" s="373"/>
      <c r="W686" s="373"/>
      <c r="X686" s="373"/>
      <c r="Y686" s="374"/>
      <c r="Z686" s="83"/>
      <c r="AA686" s="42"/>
    </row>
    <row r="687" spans="1:27" s="43" customFormat="1" ht="21" customHeight="1" x14ac:dyDescent="0.25">
      <c r="A687" s="44"/>
      <c r="B687" s="45"/>
      <c r="C687" s="375" t="s">
        <v>101</v>
      </c>
      <c r="D687" s="375"/>
      <c r="E687" s="375"/>
      <c r="F687" s="375"/>
      <c r="G687" s="46" t="str">
        <f>$J$1</f>
        <v>October</v>
      </c>
      <c r="H687" s="376">
        <f>$K$1</f>
        <v>2020</v>
      </c>
      <c r="I687" s="376"/>
      <c r="J687" s="45"/>
      <c r="K687" s="47"/>
      <c r="L687" s="48"/>
      <c r="M687" s="47"/>
      <c r="N687" s="84"/>
      <c r="O687" s="85" t="s">
        <v>58</v>
      </c>
      <c r="P687" s="85" t="s">
        <v>7</v>
      </c>
      <c r="Q687" s="85" t="s">
        <v>6</v>
      </c>
      <c r="R687" s="85" t="s">
        <v>59</v>
      </c>
      <c r="S687" s="86"/>
      <c r="T687" s="85" t="s">
        <v>58</v>
      </c>
      <c r="U687" s="85" t="s">
        <v>60</v>
      </c>
      <c r="V687" s="85" t="s">
        <v>23</v>
      </c>
      <c r="W687" s="85" t="s">
        <v>22</v>
      </c>
      <c r="X687" s="85" t="s">
        <v>24</v>
      </c>
      <c r="Y687" s="85" t="s">
        <v>64</v>
      </c>
      <c r="Z687" s="87"/>
      <c r="AA687" s="47"/>
    </row>
    <row r="688" spans="1:27" s="43" customFormat="1" ht="21" customHeight="1" x14ac:dyDescent="0.25">
      <c r="A688" s="44"/>
      <c r="B688" s="45"/>
      <c r="C688" s="45"/>
      <c r="D688" s="50"/>
      <c r="E688" s="50"/>
      <c r="F688" s="50"/>
      <c r="G688" s="50"/>
      <c r="H688" s="50"/>
      <c r="I688" s="45"/>
      <c r="J688" s="51" t="s">
        <v>1</v>
      </c>
      <c r="K688" s="52">
        <v>17000</v>
      </c>
      <c r="L688" s="53"/>
      <c r="M688" s="45"/>
      <c r="N688" s="88"/>
      <c r="O688" s="89" t="s">
        <v>50</v>
      </c>
      <c r="P688" s="89">
        <v>31</v>
      </c>
      <c r="Q688" s="89">
        <v>0</v>
      </c>
      <c r="R688" s="89">
        <v>15</v>
      </c>
      <c r="S688" s="90"/>
      <c r="T688" s="89" t="s">
        <v>50</v>
      </c>
      <c r="U688" s="91"/>
      <c r="V688" s="91"/>
      <c r="W688" s="91">
        <f>V688+U688</f>
        <v>0</v>
      </c>
      <c r="X688" s="91"/>
      <c r="Y688" s="91">
        <f>W688-X688</f>
        <v>0</v>
      </c>
      <c r="Z688" s="87"/>
      <c r="AA688" s="45"/>
    </row>
    <row r="689" spans="1:27" s="43" customFormat="1" ht="21" customHeight="1" x14ac:dyDescent="0.25">
      <c r="A689" s="44"/>
      <c r="B689" s="45" t="s">
        <v>0</v>
      </c>
      <c r="C689" s="55" t="s">
        <v>116</v>
      </c>
      <c r="D689" s="45"/>
      <c r="E689" s="45"/>
      <c r="F689" s="45"/>
      <c r="G689" s="45"/>
      <c r="H689" s="56"/>
      <c r="I689" s="50"/>
      <c r="J689" s="45"/>
      <c r="K689" s="45"/>
      <c r="L689" s="57"/>
      <c r="M689" s="42"/>
      <c r="N689" s="92"/>
      <c r="O689" s="89" t="s">
        <v>76</v>
      </c>
      <c r="P689" s="89">
        <v>28</v>
      </c>
      <c r="Q689" s="89">
        <v>1</v>
      </c>
      <c r="R689" s="89">
        <f>IF(Q689="","",R688-Q689)</f>
        <v>14</v>
      </c>
      <c r="S689" s="93"/>
      <c r="T689" s="89" t="s">
        <v>76</v>
      </c>
      <c r="U689" s="162">
        <f>IF($J$1="January","",Y688)</f>
        <v>0</v>
      </c>
      <c r="V689" s="91">
        <v>30</v>
      </c>
      <c r="W689" s="162">
        <f>IF(U689="","",U689+V689)</f>
        <v>30</v>
      </c>
      <c r="X689" s="91">
        <v>30</v>
      </c>
      <c r="Y689" s="162">
        <f>IF(W689="","",W689-X689)</f>
        <v>0</v>
      </c>
      <c r="Z689" s="94"/>
      <c r="AA689" s="42"/>
    </row>
    <row r="690" spans="1:27" s="43" customFormat="1" ht="21" customHeight="1" x14ac:dyDescent="0.25">
      <c r="A690" s="44"/>
      <c r="B690" s="59" t="s">
        <v>46</v>
      </c>
      <c r="C690" s="60"/>
      <c r="D690" s="45"/>
      <c r="E690" s="45"/>
      <c r="F690" s="366" t="s">
        <v>48</v>
      </c>
      <c r="G690" s="366"/>
      <c r="H690" s="45"/>
      <c r="I690" s="366" t="s">
        <v>49</v>
      </c>
      <c r="J690" s="366"/>
      <c r="K690" s="366"/>
      <c r="L690" s="61"/>
      <c r="M690" s="45"/>
      <c r="N690" s="88"/>
      <c r="O690" s="89" t="s">
        <v>51</v>
      </c>
      <c r="P690" s="89">
        <v>29</v>
      </c>
      <c r="Q690" s="89">
        <v>2</v>
      </c>
      <c r="R690" s="89">
        <f>IF(Q690="","",R689-Q690)</f>
        <v>12</v>
      </c>
      <c r="S690" s="93"/>
      <c r="T690" s="89" t="s">
        <v>51</v>
      </c>
      <c r="U690" s="162">
        <f>IF($J$1="February","",Y689)</f>
        <v>0</v>
      </c>
      <c r="V690" s="91"/>
      <c r="W690" s="162">
        <f t="shared" ref="W690:W699" si="133">IF(U690="","",U690+V690)</f>
        <v>0</v>
      </c>
      <c r="X690" s="91"/>
      <c r="Y690" s="162">
        <f t="shared" ref="Y690:Y699" si="134">IF(W690="","",W690-X690)</f>
        <v>0</v>
      </c>
      <c r="Z690" s="94"/>
      <c r="AA690" s="45"/>
    </row>
    <row r="691" spans="1:27" s="43" customFormat="1" ht="21" customHeight="1" x14ac:dyDescent="0.25">
      <c r="A691" s="44"/>
      <c r="B691" s="45"/>
      <c r="C691" s="45"/>
      <c r="D691" s="45"/>
      <c r="E691" s="45"/>
      <c r="F691" s="45"/>
      <c r="G691" s="45"/>
      <c r="H691" s="62"/>
      <c r="L691" s="49"/>
      <c r="M691" s="45"/>
      <c r="N691" s="88"/>
      <c r="O691" s="89" t="s">
        <v>52</v>
      </c>
      <c r="P691" s="89">
        <v>26</v>
      </c>
      <c r="Q691" s="89">
        <v>4</v>
      </c>
      <c r="R691" s="89">
        <f t="shared" ref="R691:R698" si="135">IF(Q691="","",R690-Q691)</f>
        <v>8</v>
      </c>
      <c r="S691" s="93"/>
      <c r="T691" s="89" t="s">
        <v>52</v>
      </c>
      <c r="U691" s="162">
        <f>IF($J$1="March","",Y690)</f>
        <v>0</v>
      </c>
      <c r="V691" s="91"/>
      <c r="W691" s="162">
        <f t="shared" si="133"/>
        <v>0</v>
      </c>
      <c r="X691" s="91"/>
      <c r="Y691" s="162">
        <f t="shared" si="134"/>
        <v>0</v>
      </c>
      <c r="Z691" s="94"/>
      <c r="AA691" s="45"/>
    </row>
    <row r="692" spans="1:27" s="43" customFormat="1" ht="21" customHeight="1" x14ac:dyDescent="0.25">
      <c r="A692" s="44"/>
      <c r="B692" s="367" t="s">
        <v>47</v>
      </c>
      <c r="C692" s="368"/>
      <c r="D692" s="45"/>
      <c r="E692" s="45"/>
      <c r="F692" s="63" t="s">
        <v>69</v>
      </c>
      <c r="G692" s="58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62"/>
      <c r="I692" s="64">
        <f>IF(C696&gt;0,$K$2,C694)</f>
        <v>31</v>
      </c>
      <c r="J692" s="65" t="s">
        <v>66</v>
      </c>
      <c r="K692" s="66">
        <f>K688/$K$2*I692</f>
        <v>17000</v>
      </c>
      <c r="L692" s="67"/>
      <c r="M692" s="45"/>
      <c r="N692" s="88"/>
      <c r="O692" s="89" t="s">
        <v>53</v>
      </c>
      <c r="P692" s="89">
        <v>31</v>
      </c>
      <c r="Q692" s="89">
        <v>0</v>
      </c>
      <c r="R692" s="89">
        <f>15-1</f>
        <v>14</v>
      </c>
      <c r="S692" s="93"/>
      <c r="T692" s="89" t="s">
        <v>53</v>
      </c>
      <c r="U692" s="162">
        <f>IF($J$1="April","",Y691)</f>
        <v>0</v>
      </c>
      <c r="V692" s="91"/>
      <c r="W692" s="162">
        <f t="shared" si="133"/>
        <v>0</v>
      </c>
      <c r="X692" s="91"/>
      <c r="Y692" s="162">
        <f t="shared" si="134"/>
        <v>0</v>
      </c>
      <c r="Z692" s="94"/>
      <c r="AA692" s="45"/>
    </row>
    <row r="693" spans="1:27" s="43" customFormat="1" ht="21" customHeight="1" x14ac:dyDescent="0.25">
      <c r="A693" s="44"/>
      <c r="B693" s="54"/>
      <c r="C693" s="54"/>
      <c r="D693" s="45"/>
      <c r="E693" s="45"/>
      <c r="F693" s="63" t="s">
        <v>23</v>
      </c>
      <c r="G693" s="58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62"/>
      <c r="I693" s="108">
        <v>161</v>
      </c>
      <c r="J693" s="65" t="s">
        <v>67</v>
      </c>
      <c r="K693" s="68">
        <f>K688/$K$2/8*I693</f>
        <v>11036.290322580646</v>
      </c>
      <c r="L693" s="69"/>
      <c r="M693" s="45"/>
      <c r="N693" s="88"/>
      <c r="O693" s="89" t="s">
        <v>54</v>
      </c>
      <c r="P693" s="89">
        <v>29</v>
      </c>
      <c r="Q693" s="89">
        <v>1</v>
      </c>
      <c r="R693" s="89">
        <f t="shared" si="135"/>
        <v>13</v>
      </c>
      <c r="S693" s="93"/>
      <c r="T693" s="89" t="s">
        <v>54</v>
      </c>
      <c r="U693" s="162">
        <f>IF($J$1="May","",Y692)</f>
        <v>0</v>
      </c>
      <c r="V693" s="91"/>
      <c r="W693" s="162">
        <f t="shared" si="133"/>
        <v>0</v>
      </c>
      <c r="X693" s="91"/>
      <c r="Y693" s="162">
        <f t="shared" si="134"/>
        <v>0</v>
      </c>
      <c r="Z693" s="94"/>
      <c r="AA693" s="45"/>
    </row>
    <row r="694" spans="1:27" s="43" customFormat="1" ht="21" customHeight="1" x14ac:dyDescent="0.25">
      <c r="A694" s="44"/>
      <c r="B694" s="63" t="s">
        <v>7</v>
      </c>
      <c r="C694" s="54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30</v>
      </c>
      <c r="D694" s="45"/>
      <c r="E694" s="45"/>
      <c r="F694" s="63" t="s">
        <v>70</v>
      </c>
      <c r="G694" s="58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62"/>
      <c r="I694" s="361" t="s">
        <v>74</v>
      </c>
      <c r="J694" s="362"/>
      <c r="K694" s="68">
        <f>K692+K693</f>
        <v>28036.290322580644</v>
      </c>
      <c r="L694" s="69"/>
      <c r="M694" s="45"/>
      <c r="N694" s="88"/>
      <c r="O694" s="89" t="s">
        <v>55</v>
      </c>
      <c r="P694" s="89">
        <v>30</v>
      </c>
      <c r="Q694" s="89">
        <v>1</v>
      </c>
      <c r="R694" s="89">
        <f t="shared" si="135"/>
        <v>12</v>
      </c>
      <c r="S694" s="93"/>
      <c r="T694" s="89" t="s">
        <v>55</v>
      </c>
      <c r="U694" s="162">
        <f>IF($J$1="June","",Y693)</f>
        <v>0</v>
      </c>
      <c r="V694" s="91"/>
      <c r="W694" s="162">
        <f t="shared" si="133"/>
        <v>0</v>
      </c>
      <c r="X694" s="91"/>
      <c r="Y694" s="162">
        <f t="shared" si="134"/>
        <v>0</v>
      </c>
      <c r="Z694" s="94"/>
      <c r="AA694" s="45"/>
    </row>
    <row r="695" spans="1:27" s="43" customFormat="1" ht="21" customHeight="1" x14ac:dyDescent="0.25">
      <c r="A695" s="44"/>
      <c r="B695" s="63" t="s">
        <v>6</v>
      </c>
      <c r="C695" s="54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1</v>
      </c>
      <c r="D695" s="45"/>
      <c r="E695" s="45"/>
      <c r="F695" s="63" t="s">
        <v>24</v>
      </c>
      <c r="G695" s="58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62"/>
      <c r="I695" s="361" t="s">
        <v>75</v>
      </c>
      <c r="J695" s="362"/>
      <c r="K695" s="58">
        <f>G695</f>
        <v>0</v>
      </c>
      <c r="L695" s="70"/>
      <c r="M695" s="45"/>
      <c r="N695" s="88"/>
      <c r="O695" s="89" t="s">
        <v>56</v>
      </c>
      <c r="P695" s="89">
        <v>30</v>
      </c>
      <c r="Q695" s="89">
        <v>1</v>
      </c>
      <c r="R695" s="89">
        <f t="shared" si="135"/>
        <v>11</v>
      </c>
      <c r="S695" s="93"/>
      <c r="T695" s="89" t="s">
        <v>56</v>
      </c>
      <c r="U695" s="162">
        <f>IF($J$1="July","",Y694)</f>
        <v>0</v>
      </c>
      <c r="V695" s="91"/>
      <c r="W695" s="162">
        <f t="shared" si="133"/>
        <v>0</v>
      </c>
      <c r="X695" s="91"/>
      <c r="Y695" s="162">
        <f t="shared" si="134"/>
        <v>0</v>
      </c>
      <c r="Z695" s="94"/>
      <c r="AA695" s="45"/>
    </row>
    <row r="696" spans="1:27" s="43" customFormat="1" ht="21" customHeight="1" x14ac:dyDescent="0.25">
      <c r="A696" s="44"/>
      <c r="B696" s="71" t="s">
        <v>73</v>
      </c>
      <c r="C696" s="54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10</v>
      </c>
      <c r="D696" s="45"/>
      <c r="E696" s="45"/>
      <c r="F696" s="63" t="s">
        <v>72</v>
      </c>
      <c r="G696" s="58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45"/>
      <c r="I696" s="363" t="s">
        <v>68</v>
      </c>
      <c r="J696" s="364"/>
      <c r="K696" s="72">
        <f>K694-K695</f>
        <v>28036.290322580644</v>
      </c>
      <c r="L696" s="73"/>
      <c r="M696" s="45"/>
      <c r="N696" s="88"/>
      <c r="O696" s="89" t="s">
        <v>61</v>
      </c>
      <c r="P696" s="89">
        <v>30</v>
      </c>
      <c r="Q696" s="89">
        <v>0</v>
      </c>
      <c r="R696" s="89">
        <f t="shared" si="135"/>
        <v>11</v>
      </c>
      <c r="S696" s="93"/>
      <c r="T696" s="89" t="s">
        <v>61</v>
      </c>
      <c r="U696" s="162">
        <f>IF($J$1="August","",Y695)</f>
        <v>0</v>
      </c>
      <c r="V696" s="91"/>
      <c r="W696" s="162">
        <f t="shared" si="133"/>
        <v>0</v>
      </c>
      <c r="X696" s="91"/>
      <c r="Y696" s="162">
        <f t="shared" si="134"/>
        <v>0</v>
      </c>
      <c r="Z696" s="94"/>
      <c r="AA696" s="45"/>
    </row>
    <row r="697" spans="1:27" s="43" customFormat="1" ht="21" customHeight="1" x14ac:dyDescent="0.25">
      <c r="A697" s="44"/>
      <c r="B697" s="45"/>
      <c r="C697" s="45"/>
      <c r="D697" s="45"/>
      <c r="E697" s="45"/>
      <c r="F697" s="45"/>
      <c r="G697" s="45"/>
      <c r="H697" s="45"/>
      <c r="I697" s="45"/>
      <c r="J697" s="45"/>
      <c r="K697" s="177"/>
      <c r="L697" s="61"/>
      <c r="M697" s="45"/>
      <c r="N697" s="88"/>
      <c r="O697" s="89" t="s">
        <v>57</v>
      </c>
      <c r="P697" s="89">
        <v>30</v>
      </c>
      <c r="Q697" s="89">
        <v>1</v>
      </c>
      <c r="R697" s="89">
        <f t="shared" si="135"/>
        <v>10</v>
      </c>
      <c r="S697" s="93"/>
      <c r="T697" s="89" t="s">
        <v>57</v>
      </c>
      <c r="U697" s="162">
        <f>IF($J$1="September","",Y696)</f>
        <v>0</v>
      </c>
      <c r="V697" s="91"/>
      <c r="W697" s="162">
        <f t="shared" si="133"/>
        <v>0</v>
      </c>
      <c r="X697" s="91"/>
      <c r="Y697" s="162">
        <f t="shared" si="134"/>
        <v>0</v>
      </c>
      <c r="Z697" s="94"/>
      <c r="AA697" s="45"/>
    </row>
    <row r="698" spans="1:27" s="43" customFormat="1" ht="21" customHeight="1" x14ac:dyDescent="0.25">
      <c r="A698" s="44"/>
      <c r="B698" s="365" t="s">
        <v>103</v>
      </c>
      <c r="C698" s="365"/>
      <c r="D698" s="365"/>
      <c r="E698" s="365"/>
      <c r="F698" s="365"/>
      <c r="G698" s="365"/>
      <c r="H698" s="365"/>
      <c r="I698" s="365"/>
      <c r="J698" s="365"/>
      <c r="K698" s="365"/>
      <c r="L698" s="61"/>
      <c r="M698" s="45"/>
      <c r="N698" s="88"/>
      <c r="O698" s="89" t="s">
        <v>62</v>
      </c>
      <c r="P698" s="89"/>
      <c r="Q698" s="89"/>
      <c r="R698" s="89" t="str">
        <f t="shared" si="135"/>
        <v/>
      </c>
      <c r="S698" s="93"/>
      <c r="T698" s="89" t="s">
        <v>62</v>
      </c>
      <c r="U698" s="162" t="str">
        <f>IF($J$1="October","",Y697)</f>
        <v/>
      </c>
      <c r="V698" s="91"/>
      <c r="W698" s="162" t="str">
        <f t="shared" si="133"/>
        <v/>
      </c>
      <c r="X698" s="91"/>
      <c r="Y698" s="162" t="str">
        <f t="shared" si="134"/>
        <v/>
      </c>
      <c r="Z698" s="94"/>
      <c r="AA698" s="45"/>
    </row>
    <row r="699" spans="1:27" s="43" customFormat="1" ht="21" customHeight="1" x14ac:dyDescent="0.25">
      <c r="A699" s="44"/>
      <c r="B699" s="365"/>
      <c r="C699" s="365"/>
      <c r="D699" s="365"/>
      <c r="E699" s="365"/>
      <c r="F699" s="365"/>
      <c r="G699" s="365"/>
      <c r="H699" s="365"/>
      <c r="I699" s="365"/>
      <c r="J699" s="365"/>
      <c r="K699" s="365"/>
      <c r="L699" s="61"/>
      <c r="M699" s="45"/>
      <c r="N699" s="88"/>
      <c r="O699" s="89" t="s">
        <v>63</v>
      </c>
      <c r="P699" s="89"/>
      <c r="Q699" s="89"/>
      <c r="R699" s="89">
        <v>0</v>
      </c>
      <c r="S699" s="93"/>
      <c r="T699" s="89" t="s">
        <v>63</v>
      </c>
      <c r="U699" s="162" t="str">
        <f>IF($J$1="November","",Y698)</f>
        <v/>
      </c>
      <c r="V699" s="91"/>
      <c r="W699" s="162" t="str">
        <f t="shared" si="133"/>
        <v/>
      </c>
      <c r="X699" s="91"/>
      <c r="Y699" s="162" t="str">
        <f t="shared" si="134"/>
        <v/>
      </c>
      <c r="Z699" s="94"/>
      <c r="AA699" s="45"/>
    </row>
    <row r="700" spans="1:27" s="43" customFormat="1" ht="21" customHeight="1" thickBot="1" x14ac:dyDescent="0.3">
      <c r="A700" s="74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6"/>
      <c r="N700" s="95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7"/>
    </row>
    <row r="701" spans="1:27" s="45" customFormat="1" ht="21" customHeight="1" thickBot="1" x14ac:dyDescent="0.3"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 spans="1:27" s="43" customFormat="1" ht="21" customHeight="1" x14ac:dyDescent="0.25">
      <c r="A702" s="413" t="s">
        <v>45</v>
      </c>
      <c r="B702" s="414"/>
      <c r="C702" s="414"/>
      <c r="D702" s="414"/>
      <c r="E702" s="414"/>
      <c r="F702" s="414"/>
      <c r="G702" s="414"/>
      <c r="H702" s="414"/>
      <c r="I702" s="414"/>
      <c r="J702" s="414"/>
      <c r="K702" s="414"/>
      <c r="L702" s="415"/>
      <c r="M702" s="42"/>
      <c r="N702" s="81"/>
      <c r="O702" s="372" t="s">
        <v>47</v>
      </c>
      <c r="P702" s="373"/>
      <c r="Q702" s="373"/>
      <c r="R702" s="374"/>
      <c r="S702" s="82"/>
      <c r="T702" s="372" t="s">
        <v>48</v>
      </c>
      <c r="U702" s="373"/>
      <c r="V702" s="373"/>
      <c r="W702" s="373"/>
      <c r="X702" s="373"/>
      <c r="Y702" s="374"/>
      <c r="Z702" s="83"/>
      <c r="AA702" s="42"/>
    </row>
    <row r="703" spans="1:27" s="43" customFormat="1" ht="21" customHeight="1" x14ac:dyDescent="0.25">
      <c r="A703" s="44"/>
      <c r="B703" s="45"/>
      <c r="C703" s="375" t="s">
        <v>101</v>
      </c>
      <c r="D703" s="375"/>
      <c r="E703" s="375"/>
      <c r="F703" s="375"/>
      <c r="G703" s="46" t="str">
        <f>$J$1</f>
        <v>October</v>
      </c>
      <c r="H703" s="376">
        <f>$K$1</f>
        <v>2020</v>
      </c>
      <c r="I703" s="376"/>
      <c r="J703" s="45"/>
      <c r="K703" s="47"/>
      <c r="L703" s="48"/>
      <c r="M703" s="47"/>
      <c r="N703" s="84"/>
      <c r="O703" s="85" t="s">
        <v>58</v>
      </c>
      <c r="P703" s="85" t="s">
        <v>7</v>
      </c>
      <c r="Q703" s="85" t="s">
        <v>6</v>
      </c>
      <c r="R703" s="85" t="s">
        <v>59</v>
      </c>
      <c r="S703" s="86"/>
      <c r="T703" s="85" t="s">
        <v>58</v>
      </c>
      <c r="U703" s="85" t="s">
        <v>60</v>
      </c>
      <c r="V703" s="85" t="s">
        <v>23</v>
      </c>
      <c r="W703" s="85" t="s">
        <v>22</v>
      </c>
      <c r="X703" s="85" t="s">
        <v>24</v>
      </c>
      <c r="Y703" s="85" t="s">
        <v>64</v>
      </c>
      <c r="Z703" s="87"/>
      <c r="AA703" s="47"/>
    </row>
    <row r="704" spans="1:27" s="43" customFormat="1" ht="21" customHeight="1" x14ac:dyDescent="0.25">
      <c r="A704" s="44"/>
      <c r="B704" s="45"/>
      <c r="C704" s="45"/>
      <c r="D704" s="50"/>
      <c r="E704" s="50"/>
      <c r="F704" s="50"/>
      <c r="G704" s="50"/>
      <c r="H704" s="50"/>
      <c r="I704" s="45"/>
      <c r="J704" s="51" t="s">
        <v>1</v>
      </c>
      <c r="K704" s="52">
        <v>15000</v>
      </c>
      <c r="L704" s="53"/>
      <c r="M704" s="45"/>
      <c r="N704" s="88"/>
      <c r="O704" s="89" t="s">
        <v>50</v>
      </c>
      <c r="P704" s="89"/>
      <c r="Q704" s="89"/>
      <c r="R704" s="89">
        <v>0</v>
      </c>
      <c r="S704" s="90"/>
      <c r="T704" s="89" t="s">
        <v>50</v>
      </c>
      <c r="U704" s="91"/>
      <c r="V704" s="91"/>
      <c r="W704" s="91">
        <f>V704+U704</f>
        <v>0</v>
      </c>
      <c r="X704" s="91"/>
      <c r="Y704" s="91">
        <f>W704-X704</f>
        <v>0</v>
      </c>
      <c r="Z704" s="87"/>
      <c r="AA704" s="45"/>
    </row>
    <row r="705" spans="1:27" s="43" customFormat="1" ht="21" customHeight="1" x14ac:dyDescent="0.25">
      <c r="A705" s="44"/>
      <c r="B705" s="45" t="s">
        <v>0</v>
      </c>
      <c r="C705" s="55" t="s">
        <v>195</v>
      </c>
      <c r="D705" s="45"/>
      <c r="E705" s="45"/>
      <c r="F705" s="45"/>
      <c r="G705" s="45"/>
      <c r="H705" s="56"/>
      <c r="I705" s="50"/>
      <c r="J705" s="45"/>
      <c r="K705" s="45"/>
      <c r="L705" s="57"/>
      <c r="M705" s="42"/>
      <c r="N705" s="92"/>
      <c r="O705" s="89" t="s">
        <v>76</v>
      </c>
      <c r="P705" s="89"/>
      <c r="Q705" s="89"/>
      <c r="R705" s="89" t="str">
        <f>IF(Q705="","",R704-Q705)</f>
        <v/>
      </c>
      <c r="S705" s="93"/>
      <c r="T705" s="89" t="s">
        <v>76</v>
      </c>
      <c r="U705" s="162">
        <f>IF($J$1="January","",Y704)</f>
        <v>0</v>
      </c>
      <c r="V705" s="91"/>
      <c r="W705" s="162">
        <f>IF(U705="","",U705+V705)</f>
        <v>0</v>
      </c>
      <c r="X705" s="91"/>
      <c r="Y705" s="162">
        <f>IF(W705="","",W705-X705)</f>
        <v>0</v>
      </c>
      <c r="Z705" s="94"/>
      <c r="AA705" s="42"/>
    </row>
    <row r="706" spans="1:27" s="43" customFormat="1" ht="21" customHeight="1" x14ac:dyDescent="0.25">
      <c r="A706" s="44"/>
      <c r="B706" s="59" t="s">
        <v>46</v>
      </c>
      <c r="C706" s="60"/>
      <c r="D706" s="45"/>
      <c r="E706" s="45"/>
      <c r="F706" s="366" t="s">
        <v>48</v>
      </c>
      <c r="G706" s="366"/>
      <c r="H706" s="45"/>
      <c r="I706" s="366" t="s">
        <v>49</v>
      </c>
      <c r="J706" s="366"/>
      <c r="K706" s="366"/>
      <c r="L706" s="61"/>
      <c r="M706" s="45"/>
      <c r="N706" s="88"/>
      <c r="O706" s="89" t="s">
        <v>51</v>
      </c>
      <c r="P706" s="89"/>
      <c r="Q706" s="89"/>
      <c r="R706" s="89" t="str">
        <f>IF(Q706="","",R705-Q706)</f>
        <v/>
      </c>
      <c r="S706" s="93"/>
      <c r="T706" s="89" t="s">
        <v>51</v>
      </c>
      <c r="U706" s="162">
        <f>IF($J$1="February","",Y705)</f>
        <v>0</v>
      </c>
      <c r="V706" s="91"/>
      <c r="W706" s="162">
        <f t="shared" ref="W706:W715" si="136">IF(U706="","",U706+V706)</f>
        <v>0</v>
      </c>
      <c r="X706" s="91"/>
      <c r="Y706" s="162">
        <f t="shared" ref="Y706:Y715" si="137">IF(W706="","",W706-X706)</f>
        <v>0</v>
      </c>
      <c r="Z706" s="94"/>
      <c r="AA706" s="45"/>
    </row>
    <row r="707" spans="1:27" s="43" customFormat="1" ht="21" customHeight="1" x14ac:dyDescent="0.25">
      <c r="A707" s="44"/>
      <c r="B707" s="45"/>
      <c r="C707" s="45"/>
      <c r="D707" s="45"/>
      <c r="E707" s="45"/>
      <c r="F707" s="45"/>
      <c r="G707" s="45"/>
      <c r="H707" s="62"/>
      <c r="L707" s="49"/>
      <c r="M707" s="45"/>
      <c r="N707" s="88"/>
      <c r="O707" s="89" t="s">
        <v>52</v>
      </c>
      <c r="P707" s="89"/>
      <c r="Q707" s="89"/>
      <c r="R707" s="89" t="str">
        <f t="shared" ref="R707:R708" si="138">IF(Q707="","",R706-Q707)</f>
        <v/>
      </c>
      <c r="S707" s="93"/>
      <c r="T707" s="89" t="s">
        <v>52</v>
      </c>
      <c r="U707" s="162">
        <f>IF($J$1="March","",Y706)</f>
        <v>0</v>
      </c>
      <c r="V707" s="91"/>
      <c r="W707" s="162">
        <f t="shared" si="136"/>
        <v>0</v>
      </c>
      <c r="X707" s="91"/>
      <c r="Y707" s="162">
        <f t="shared" si="137"/>
        <v>0</v>
      </c>
      <c r="Z707" s="94"/>
      <c r="AA707" s="45"/>
    </row>
    <row r="708" spans="1:27" s="43" customFormat="1" ht="21" customHeight="1" x14ac:dyDescent="0.25">
      <c r="A708" s="44"/>
      <c r="B708" s="367" t="s">
        <v>47</v>
      </c>
      <c r="C708" s="368"/>
      <c r="D708" s="45"/>
      <c r="E708" s="45"/>
      <c r="F708" s="63" t="s">
        <v>69</v>
      </c>
      <c r="G708" s="179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62"/>
      <c r="I708" s="64">
        <f>IF(C712&gt;0,$K$2,C710)</f>
        <v>10</v>
      </c>
      <c r="J708" s="65" t="s">
        <v>66</v>
      </c>
      <c r="K708" s="66">
        <f>K704/$K$2*I708</f>
        <v>4838.7096774193551</v>
      </c>
      <c r="L708" s="67"/>
      <c r="M708" s="45"/>
      <c r="N708" s="88"/>
      <c r="O708" s="89" t="s">
        <v>53</v>
      </c>
      <c r="P708" s="89"/>
      <c r="Q708" s="89"/>
      <c r="R708" s="89" t="str">
        <f t="shared" si="138"/>
        <v/>
      </c>
      <c r="S708" s="93"/>
      <c r="T708" s="89" t="s">
        <v>53</v>
      </c>
      <c r="U708" s="162">
        <f>IF($J$1="April","",Y707)</f>
        <v>0</v>
      </c>
      <c r="V708" s="91"/>
      <c r="W708" s="162">
        <f t="shared" si="136"/>
        <v>0</v>
      </c>
      <c r="X708" s="91"/>
      <c r="Y708" s="162">
        <f t="shared" si="137"/>
        <v>0</v>
      </c>
      <c r="Z708" s="94"/>
      <c r="AA708" s="45"/>
    </row>
    <row r="709" spans="1:27" s="43" customFormat="1" ht="21" customHeight="1" x14ac:dyDescent="0.25">
      <c r="A709" s="44"/>
      <c r="B709" s="54"/>
      <c r="C709" s="54"/>
      <c r="D709" s="45"/>
      <c r="E709" s="45"/>
      <c r="F709" s="63" t="s">
        <v>23</v>
      </c>
      <c r="G709" s="179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62"/>
      <c r="I709" s="108"/>
      <c r="J709" s="65" t="s">
        <v>67</v>
      </c>
      <c r="K709" s="68">
        <f>K704/$K$2/8*I709</f>
        <v>0</v>
      </c>
      <c r="L709" s="69"/>
      <c r="M709" s="45"/>
      <c r="N709" s="88"/>
      <c r="O709" s="89" t="s">
        <v>54</v>
      </c>
      <c r="P709" s="89">
        <v>21</v>
      </c>
      <c r="Q709" s="89">
        <v>9</v>
      </c>
      <c r="R709" s="89">
        <v>0</v>
      </c>
      <c r="S709" s="93"/>
      <c r="T709" s="89" t="s">
        <v>54</v>
      </c>
      <c r="U709" s="162">
        <f>IF($J$1="May","",Y708)</f>
        <v>0</v>
      </c>
      <c r="V709" s="91"/>
      <c r="W709" s="162">
        <f t="shared" si="136"/>
        <v>0</v>
      </c>
      <c r="X709" s="91"/>
      <c r="Y709" s="162">
        <f t="shared" si="137"/>
        <v>0</v>
      </c>
      <c r="Z709" s="94"/>
      <c r="AA709" s="45"/>
    </row>
    <row r="710" spans="1:27" s="43" customFormat="1" ht="21" customHeight="1" x14ac:dyDescent="0.25">
      <c r="A710" s="44"/>
      <c r="B710" s="63" t="s">
        <v>7</v>
      </c>
      <c r="C710" s="54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10</v>
      </c>
      <c r="D710" s="45"/>
      <c r="E710" s="45"/>
      <c r="F710" s="63" t="s">
        <v>70</v>
      </c>
      <c r="G710" s="179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62"/>
      <c r="I710" s="361" t="s">
        <v>74</v>
      </c>
      <c r="J710" s="362"/>
      <c r="K710" s="68">
        <f>K708+K709</f>
        <v>4838.7096774193551</v>
      </c>
      <c r="L710" s="69"/>
      <c r="M710" s="45"/>
      <c r="N710" s="88"/>
      <c r="O710" s="89" t="s">
        <v>55</v>
      </c>
      <c r="P710" s="89">
        <v>31</v>
      </c>
      <c r="Q710" s="89">
        <v>0</v>
      </c>
      <c r="R710" s="89">
        <v>0</v>
      </c>
      <c r="S710" s="93"/>
      <c r="T710" s="89" t="s">
        <v>55</v>
      </c>
      <c r="U710" s="162">
        <f>IF($J$1="June","",Y709)</f>
        <v>0</v>
      </c>
      <c r="V710" s="91"/>
      <c r="W710" s="162">
        <f t="shared" si="136"/>
        <v>0</v>
      </c>
      <c r="X710" s="91"/>
      <c r="Y710" s="162">
        <f t="shared" si="137"/>
        <v>0</v>
      </c>
      <c r="Z710" s="94"/>
      <c r="AA710" s="45"/>
    </row>
    <row r="711" spans="1:27" s="43" customFormat="1" ht="21" customHeight="1" x14ac:dyDescent="0.25">
      <c r="A711" s="44"/>
      <c r="B711" s="63" t="s">
        <v>6</v>
      </c>
      <c r="C711" s="54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45"/>
      <c r="E711" s="45"/>
      <c r="F711" s="63" t="s">
        <v>24</v>
      </c>
      <c r="G711" s="179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62"/>
      <c r="I711" s="361" t="s">
        <v>75</v>
      </c>
      <c r="J711" s="362"/>
      <c r="K711" s="58">
        <f>G711</f>
        <v>0</v>
      </c>
      <c r="L711" s="70"/>
      <c r="M711" s="45"/>
      <c r="N711" s="88"/>
      <c r="O711" s="89" t="s">
        <v>56</v>
      </c>
      <c r="P711" s="89">
        <v>31</v>
      </c>
      <c r="Q711" s="89">
        <v>0</v>
      </c>
      <c r="R711" s="89">
        <v>0</v>
      </c>
      <c r="S711" s="93"/>
      <c r="T711" s="89" t="s">
        <v>56</v>
      </c>
      <c r="U711" s="162">
        <f>IF($J$1="July","",Y710)</f>
        <v>0</v>
      </c>
      <c r="V711" s="91"/>
      <c r="W711" s="162">
        <f t="shared" si="136"/>
        <v>0</v>
      </c>
      <c r="X711" s="91"/>
      <c r="Y711" s="162">
        <f t="shared" si="137"/>
        <v>0</v>
      </c>
      <c r="Z711" s="94"/>
      <c r="AA711" s="45"/>
    </row>
    <row r="712" spans="1:27" s="43" customFormat="1" ht="21" customHeight="1" x14ac:dyDescent="0.25">
      <c r="A712" s="44"/>
      <c r="B712" s="71" t="s">
        <v>73</v>
      </c>
      <c r="C712" s="54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45"/>
      <c r="E712" s="45"/>
      <c r="F712" s="63" t="s">
        <v>72</v>
      </c>
      <c r="G712" s="179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45"/>
      <c r="I712" s="363" t="s">
        <v>68</v>
      </c>
      <c r="J712" s="364"/>
      <c r="K712" s="72">
        <f>K710-K711</f>
        <v>4838.7096774193551</v>
      </c>
      <c r="L712" s="73"/>
      <c r="M712" s="45"/>
      <c r="N712" s="88"/>
      <c r="O712" s="89" t="s">
        <v>61</v>
      </c>
      <c r="P712" s="89">
        <v>30</v>
      </c>
      <c r="Q712" s="89">
        <v>0</v>
      </c>
      <c r="R712" s="89">
        <v>0</v>
      </c>
      <c r="S712" s="93"/>
      <c r="T712" s="89" t="s">
        <v>61</v>
      </c>
      <c r="U712" s="162">
        <f>IF($J$1="August","",Y711)</f>
        <v>0</v>
      </c>
      <c r="V712" s="91"/>
      <c r="W712" s="162">
        <f t="shared" si="136"/>
        <v>0</v>
      </c>
      <c r="X712" s="91"/>
      <c r="Y712" s="162">
        <f t="shared" si="137"/>
        <v>0</v>
      </c>
      <c r="Z712" s="94"/>
      <c r="AA712" s="45"/>
    </row>
    <row r="713" spans="1:27" s="43" customFormat="1" ht="21" customHeight="1" x14ac:dyDescent="0.25">
      <c r="A713" s="44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61"/>
      <c r="M713" s="45"/>
      <c r="N713" s="88"/>
      <c r="O713" s="89" t="s">
        <v>57</v>
      </c>
      <c r="P713" s="89">
        <v>10</v>
      </c>
      <c r="Q713" s="89"/>
      <c r="R713" s="89">
        <v>0</v>
      </c>
      <c r="S713" s="93"/>
      <c r="T713" s="89" t="s">
        <v>57</v>
      </c>
      <c r="U713" s="162">
        <f>IF($J$1="September","",Y712)</f>
        <v>0</v>
      </c>
      <c r="V713" s="91"/>
      <c r="W713" s="162">
        <f t="shared" si="136"/>
        <v>0</v>
      </c>
      <c r="X713" s="91"/>
      <c r="Y713" s="162">
        <f t="shared" si="137"/>
        <v>0</v>
      </c>
      <c r="Z713" s="94"/>
      <c r="AA713" s="45"/>
    </row>
    <row r="714" spans="1:27" s="43" customFormat="1" ht="21" customHeight="1" x14ac:dyDescent="0.25">
      <c r="A714" s="44"/>
      <c r="B714" s="365" t="s">
        <v>103</v>
      </c>
      <c r="C714" s="365"/>
      <c r="D714" s="365"/>
      <c r="E714" s="365"/>
      <c r="F714" s="365"/>
      <c r="G714" s="365"/>
      <c r="H714" s="365"/>
      <c r="I714" s="365"/>
      <c r="J714" s="365"/>
      <c r="K714" s="365"/>
      <c r="L714" s="61"/>
      <c r="M714" s="45"/>
      <c r="N714" s="88"/>
      <c r="O714" s="89" t="s">
        <v>62</v>
      </c>
      <c r="P714" s="89"/>
      <c r="Q714" s="89"/>
      <c r="R714" s="89">
        <v>0</v>
      </c>
      <c r="S714" s="93"/>
      <c r="T714" s="89" t="s">
        <v>62</v>
      </c>
      <c r="U714" s="162" t="str">
        <f>IF($J$1="October","",Y713)</f>
        <v/>
      </c>
      <c r="V714" s="91"/>
      <c r="W714" s="162" t="str">
        <f t="shared" si="136"/>
        <v/>
      </c>
      <c r="X714" s="91"/>
      <c r="Y714" s="162" t="str">
        <f t="shared" si="137"/>
        <v/>
      </c>
      <c r="Z714" s="94"/>
      <c r="AA714" s="45"/>
    </row>
    <row r="715" spans="1:27" s="43" customFormat="1" ht="21" customHeight="1" x14ac:dyDescent="0.25">
      <c r="A715" s="44"/>
      <c r="B715" s="365"/>
      <c r="C715" s="365"/>
      <c r="D715" s="365"/>
      <c r="E715" s="365"/>
      <c r="F715" s="365"/>
      <c r="G715" s="365"/>
      <c r="H715" s="365"/>
      <c r="I715" s="365"/>
      <c r="J715" s="365"/>
      <c r="K715" s="365"/>
      <c r="L715" s="61"/>
      <c r="M715" s="45"/>
      <c r="N715" s="88"/>
      <c r="O715" s="89" t="s">
        <v>63</v>
      </c>
      <c r="P715" s="89"/>
      <c r="Q715" s="89"/>
      <c r="R715" s="89">
        <v>0</v>
      </c>
      <c r="S715" s="93"/>
      <c r="T715" s="89" t="s">
        <v>63</v>
      </c>
      <c r="U715" s="162" t="str">
        <f>IF($J$1="November","",Y714)</f>
        <v/>
      </c>
      <c r="V715" s="91"/>
      <c r="W715" s="162" t="str">
        <f t="shared" si="136"/>
        <v/>
      </c>
      <c r="X715" s="91"/>
      <c r="Y715" s="162" t="str">
        <f t="shared" si="137"/>
        <v/>
      </c>
      <c r="Z715" s="94"/>
      <c r="AA715" s="45"/>
    </row>
    <row r="716" spans="1:27" s="43" customFormat="1" ht="21" customHeight="1" thickBot="1" x14ac:dyDescent="0.3">
      <c r="A716" s="74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6"/>
      <c r="N716" s="95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7"/>
    </row>
    <row r="717" spans="1:27" s="43" customFormat="1" ht="21" customHeight="1" thickBot="1" x14ac:dyDescent="0.3">
      <c r="A717" s="44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61"/>
      <c r="N717" s="88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109"/>
    </row>
    <row r="718" spans="1:27" s="43" customFormat="1" ht="21" customHeight="1" x14ac:dyDescent="0.25">
      <c r="A718" s="369" t="s">
        <v>45</v>
      </c>
      <c r="B718" s="370"/>
      <c r="C718" s="370"/>
      <c r="D718" s="370"/>
      <c r="E718" s="370"/>
      <c r="F718" s="370"/>
      <c r="G718" s="370"/>
      <c r="H718" s="370"/>
      <c r="I718" s="370"/>
      <c r="J718" s="370"/>
      <c r="K718" s="370"/>
      <c r="L718" s="371"/>
      <c r="M718" s="42"/>
      <c r="N718" s="81"/>
      <c r="O718" s="372" t="s">
        <v>47</v>
      </c>
      <c r="P718" s="373"/>
      <c r="Q718" s="373"/>
      <c r="R718" s="374"/>
      <c r="S718" s="82"/>
      <c r="T718" s="372" t="s">
        <v>48</v>
      </c>
      <c r="U718" s="373"/>
      <c r="V718" s="373"/>
      <c r="W718" s="373"/>
      <c r="X718" s="373"/>
      <c r="Y718" s="374"/>
      <c r="Z718" s="83"/>
      <c r="AA718" s="42"/>
    </row>
    <row r="719" spans="1:27" s="43" customFormat="1" ht="21" customHeight="1" x14ac:dyDescent="0.25">
      <c r="A719" s="44"/>
      <c r="B719" s="45"/>
      <c r="C719" s="375" t="s">
        <v>101</v>
      </c>
      <c r="D719" s="375"/>
      <c r="E719" s="375"/>
      <c r="F719" s="375"/>
      <c r="G719" s="46" t="str">
        <f>$J$1</f>
        <v>October</v>
      </c>
      <c r="H719" s="376">
        <f>$K$1</f>
        <v>2020</v>
      </c>
      <c r="I719" s="376"/>
      <c r="J719" s="45"/>
      <c r="K719" s="47"/>
      <c r="L719" s="48"/>
      <c r="M719" s="47"/>
      <c r="N719" s="84"/>
      <c r="O719" s="85" t="s">
        <v>58</v>
      </c>
      <c r="P719" s="85" t="s">
        <v>7</v>
      </c>
      <c r="Q719" s="85" t="s">
        <v>6</v>
      </c>
      <c r="R719" s="85" t="s">
        <v>59</v>
      </c>
      <c r="S719" s="86"/>
      <c r="T719" s="85" t="s">
        <v>58</v>
      </c>
      <c r="U719" s="85" t="s">
        <v>60</v>
      </c>
      <c r="V719" s="85" t="s">
        <v>23</v>
      </c>
      <c r="W719" s="85" t="s">
        <v>22</v>
      </c>
      <c r="X719" s="85" t="s">
        <v>24</v>
      </c>
      <c r="Y719" s="85" t="s">
        <v>64</v>
      </c>
      <c r="Z719" s="87"/>
      <c r="AA719" s="47"/>
    </row>
    <row r="720" spans="1:27" s="43" customFormat="1" ht="21" customHeight="1" x14ac:dyDescent="0.25">
      <c r="A720" s="44"/>
      <c r="B720" s="45"/>
      <c r="C720" s="45"/>
      <c r="D720" s="50"/>
      <c r="E720" s="50"/>
      <c r="F720" s="50"/>
      <c r="G720" s="50"/>
      <c r="H720" s="50"/>
      <c r="I720" s="45"/>
      <c r="J720" s="51" t="s">
        <v>1</v>
      </c>
      <c r="K720" s="52">
        <v>16000</v>
      </c>
      <c r="L720" s="53"/>
      <c r="M720" s="45"/>
      <c r="N720" s="88"/>
      <c r="O720" s="89" t="s">
        <v>50</v>
      </c>
      <c r="P720" s="89">
        <v>31</v>
      </c>
      <c r="Q720" s="89">
        <v>0</v>
      </c>
      <c r="R720" s="89">
        <f>15-Q720</f>
        <v>15</v>
      </c>
      <c r="S720" s="90"/>
      <c r="T720" s="89" t="s">
        <v>50</v>
      </c>
      <c r="U720" s="91">
        <v>19000</v>
      </c>
      <c r="V720" s="91"/>
      <c r="W720" s="91">
        <f>V720+U720</f>
        <v>19000</v>
      </c>
      <c r="X720" s="91">
        <v>1000</v>
      </c>
      <c r="Y720" s="91">
        <f>W720-X720</f>
        <v>18000</v>
      </c>
      <c r="Z720" s="87"/>
      <c r="AA720" s="45"/>
    </row>
    <row r="721" spans="1:27" s="43" customFormat="1" ht="21" customHeight="1" x14ac:dyDescent="0.25">
      <c r="A721" s="44"/>
      <c r="B721" s="45" t="s">
        <v>0</v>
      </c>
      <c r="C721" s="55" t="s">
        <v>87</v>
      </c>
      <c r="D721" s="45"/>
      <c r="E721" s="45"/>
      <c r="F721" s="45"/>
      <c r="G721" s="45"/>
      <c r="H721" s="56"/>
      <c r="I721" s="50"/>
      <c r="J721" s="45"/>
      <c r="K721" s="45"/>
      <c r="L721" s="57"/>
      <c r="M721" s="42"/>
      <c r="N721" s="92"/>
      <c r="O721" s="89" t="s">
        <v>76</v>
      </c>
      <c r="P721" s="89">
        <v>28</v>
      </c>
      <c r="Q721" s="89">
        <v>1</v>
      </c>
      <c r="R721" s="89">
        <f>IF(Q721="","",R720-Q721)</f>
        <v>14</v>
      </c>
      <c r="S721" s="93"/>
      <c r="T721" s="89" t="s">
        <v>76</v>
      </c>
      <c r="U721" s="162">
        <f>IF($J$1="January","",Y720)</f>
        <v>18000</v>
      </c>
      <c r="V721" s="91"/>
      <c r="W721" s="162">
        <f>IF(U721="","",U721+V721)</f>
        <v>18000</v>
      </c>
      <c r="X721" s="91">
        <v>1000</v>
      </c>
      <c r="Y721" s="162">
        <f>IF(W721="","",W721-X721)</f>
        <v>17000</v>
      </c>
      <c r="Z721" s="94"/>
      <c r="AA721" s="42"/>
    </row>
    <row r="722" spans="1:27" s="43" customFormat="1" ht="21" customHeight="1" x14ac:dyDescent="0.25">
      <c r="A722" s="44"/>
      <c r="B722" s="59" t="s">
        <v>46</v>
      </c>
      <c r="C722" s="60"/>
      <c r="D722" s="45"/>
      <c r="E722" s="45"/>
      <c r="F722" s="366" t="s">
        <v>48</v>
      </c>
      <c r="G722" s="366"/>
      <c r="H722" s="45"/>
      <c r="I722" s="366" t="s">
        <v>49</v>
      </c>
      <c r="J722" s="366"/>
      <c r="K722" s="366"/>
      <c r="L722" s="61"/>
      <c r="M722" s="45"/>
      <c r="N722" s="88"/>
      <c r="O722" s="89" t="s">
        <v>51</v>
      </c>
      <c r="P722" s="89">
        <v>30</v>
      </c>
      <c r="Q722" s="89">
        <v>1</v>
      </c>
      <c r="R722" s="89">
        <f>IF(Q722="","",R721-Q722)</f>
        <v>13</v>
      </c>
      <c r="S722" s="93"/>
      <c r="T722" s="89" t="s">
        <v>51</v>
      </c>
      <c r="U722" s="162">
        <f>IF($J$1="February","",Y721)</f>
        <v>17000</v>
      </c>
      <c r="V722" s="91"/>
      <c r="W722" s="162">
        <f t="shared" ref="W722:W731" si="139">IF(U722="","",U722+V722)</f>
        <v>17000</v>
      </c>
      <c r="X722" s="91"/>
      <c r="Y722" s="162">
        <f t="shared" ref="Y722:Y731" si="140">IF(W722="","",W722-X722)</f>
        <v>17000</v>
      </c>
      <c r="Z722" s="94"/>
      <c r="AA722" s="45"/>
    </row>
    <row r="723" spans="1:27" s="43" customFormat="1" ht="21" customHeight="1" x14ac:dyDescent="0.25">
      <c r="A723" s="44"/>
      <c r="B723" s="45"/>
      <c r="C723" s="45"/>
      <c r="D723" s="45"/>
      <c r="E723" s="45"/>
      <c r="F723" s="45"/>
      <c r="G723" s="45"/>
      <c r="H723" s="62"/>
      <c r="L723" s="49"/>
      <c r="M723" s="45"/>
      <c r="N723" s="88"/>
      <c r="O723" s="89" t="s">
        <v>52</v>
      </c>
      <c r="P723" s="89">
        <v>25</v>
      </c>
      <c r="Q723" s="89">
        <v>5</v>
      </c>
      <c r="R723" s="89">
        <f t="shared" ref="R723:R731" si="141">IF(Q723="","",R722-Q723)</f>
        <v>8</v>
      </c>
      <c r="S723" s="93"/>
      <c r="T723" s="89" t="s">
        <v>52</v>
      </c>
      <c r="U723" s="162">
        <f>IF($J$1="March","",Y722)</f>
        <v>17000</v>
      </c>
      <c r="V723" s="91"/>
      <c r="W723" s="162">
        <f t="shared" si="139"/>
        <v>17000</v>
      </c>
      <c r="X723" s="91">
        <v>1000</v>
      </c>
      <c r="Y723" s="162">
        <f t="shared" si="140"/>
        <v>16000</v>
      </c>
      <c r="Z723" s="94"/>
      <c r="AA723" s="45"/>
    </row>
    <row r="724" spans="1:27" s="43" customFormat="1" ht="21" customHeight="1" x14ac:dyDescent="0.25">
      <c r="A724" s="44"/>
      <c r="B724" s="367" t="s">
        <v>47</v>
      </c>
      <c r="C724" s="368"/>
      <c r="D724" s="45"/>
      <c r="E724" s="45"/>
      <c r="F724" s="63" t="s">
        <v>69</v>
      </c>
      <c r="G724" s="179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>11000</v>
      </c>
      <c r="H724" s="62"/>
      <c r="I724" s="64">
        <f>IF(C728&gt;0,$K$2,C726)</f>
        <v>31</v>
      </c>
      <c r="J724" s="65" t="s">
        <v>66</v>
      </c>
      <c r="K724" s="66">
        <f>K720/$K$2*I724</f>
        <v>16000</v>
      </c>
      <c r="L724" s="67"/>
      <c r="M724" s="45"/>
      <c r="N724" s="88"/>
      <c r="O724" s="89" t="s">
        <v>53</v>
      </c>
      <c r="P724" s="89">
        <v>31</v>
      </c>
      <c r="Q724" s="89">
        <v>0</v>
      </c>
      <c r="R724" s="89">
        <f t="shared" si="141"/>
        <v>8</v>
      </c>
      <c r="S724" s="93"/>
      <c r="T724" s="89" t="s">
        <v>53</v>
      </c>
      <c r="U724" s="162">
        <f>IF($J$1="April","",Y723)</f>
        <v>16000</v>
      </c>
      <c r="V724" s="91"/>
      <c r="W724" s="162">
        <f t="shared" si="139"/>
        <v>16000</v>
      </c>
      <c r="X724" s="91">
        <v>1000</v>
      </c>
      <c r="Y724" s="162">
        <f t="shared" si="140"/>
        <v>15000</v>
      </c>
      <c r="Z724" s="94"/>
      <c r="AA724" s="45"/>
    </row>
    <row r="725" spans="1:27" s="43" customFormat="1" ht="21" customHeight="1" x14ac:dyDescent="0.25">
      <c r="A725" s="44"/>
      <c r="B725" s="54"/>
      <c r="C725" s="54"/>
      <c r="D725" s="45"/>
      <c r="E725" s="45"/>
      <c r="F725" s="63" t="s">
        <v>23</v>
      </c>
      <c r="G725" s="179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10000</v>
      </c>
      <c r="H725" s="62"/>
      <c r="I725" s="108">
        <v>28</v>
      </c>
      <c r="J725" s="65" t="s">
        <v>67</v>
      </c>
      <c r="K725" s="68">
        <f>K720/$K$2/8*I725</f>
        <v>1806.4516129032259</v>
      </c>
      <c r="L725" s="69"/>
      <c r="M725" s="45"/>
      <c r="N725" s="88"/>
      <c r="O725" s="89" t="s">
        <v>54</v>
      </c>
      <c r="P725" s="89">
        <v>29</v>
      </c>
      <c r="Q725" s="89">
        <v>1</v>
      </c>
      <c r="R725" s="89">
        <f t="shared" si="141"/>
        <v>7</v>
      </c>
      <c r="S725" s="93"/>
      <c r="T725" s="89" t="s">
        <v>54</v>
      </c>
      <c r="U725" s="162">
        <f>IF($J$1="May","",Y724)</f>
        <v>15000</v>
      </c>
      <c r="V725" s="91"/>
      <c r="W725" s="162">
        <f t="shared" si="139"/>
        <v>15000</v>
      </c>
      <c r="X725" s="91">
        <v>1000</v>
      </c>
      <c r="Y725" s="162">
        <f t="shared" si="140"/>
        <v>14000</v>
      </c>
      <c r="Z725" s="94"/>
      <c r="AA725" s="45"/>
    </row>
    <row r="726" spans="1:27" s="43" customFormat="1" ht="21" customHeight="1" x14ac:dyDescent="0.25">
      <c r="A726" s="44"/>
      <c r="B726" s="63" t="s">
        <v>7</v>
      </c>
      <c r="C726" s="54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30</v>
      </c>
      <c r="D726" s="45"/>
      <c r="E726" s="45"/>
      <c r="F726" s="63" t="s">
        <v>70</v>
      </c>
      <c r="G726" s="179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>21000</v>
      </c>
      <c r="H726" s="62"/>
      <c r="I726" s="361" t="s">
        <v>74</v>
      </c>
      <c r="J726" s="362"/>
      <c r="K726" s="68">
        <f>K724+K725</f>
        <v>17806.451612903227</v>
      </c>
      <c r="L726" s="69"/>
      <c r="M726" s="45"/>
      <c r="N726" s="88"/>
      <c r="O726" s="89" t="s">
        <v>55</v>
      </c>
      <c r="P726" s="89">
        <v>30</v>
      </c>
      <c r="Q726" s="89">
        <v>1</v>
      </c>
      <c r="R726" s="89">
        <f t="shared" si="141"/>
        <v>6</v>
      </c>
      <c r="S726" s="93"/>
      <c r="T726" s="89" t="s">
        <v>55</v>
      </c>
      <c r="U726" s="162">
        <f>IF($J$1="June","",Y725)</f>
        <v>14000</v>
      </c>
      <c r="V726" s="91"/>
      <c r="W726" s="162">
        <f t="shared" si="139"/>
        <v>14000</v>
      </c>
      <c r="X726" s="91">
        <v>1000</v>
      </c>
      <c r="Y726" s="162">
        <f t="shared" si="140"/>
        <v>13000</v>
      </c>
      <c r="Z726" s="94"/>
      <c r="AA726" s="45"/>
    </row>
    <row r="727" spans="1:27" s="43" customFormat="1" ht="21" customHeight="1" x14ac:dyDescent="0.25">
      <c r="A727" s="44"/>
      <c r="B727" s="63" t="s">
        <v>6</v>
      </c>
      <c r="C727" s="54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1</v>
      </c>
      <c r="D727" s="45"/>
      <c r="E727" s="45"/>
      <c r="F727" s="63" t="s">
        <v>24</v>
      </c>
      <c r="G727" s="179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2000</v>
      </c>
      <c r="H727" s="62"/>
      <c r="I727" s="361" t="s">
        <v>75</v>
      </c>
      <c r="J727" s="362"/>
      <c r="K727" s="58">
        <f>G727</f>
        <v>2000</v>
      </c>
      <c r="L727" s="70"/>
      <c r="M727" s="45"/>
      <c r="N727" s="88"/>
      <c r="O727" s="89" t="s">
        <v>56</v>
      </c>
      <c r="P727" s="89">
        <v>30</v>
      </c>
      <c r="Q727" s="89">
        <v>1</v>
      </c>
      <c r="R727" s="89">
        <f t="shared" si="141"/>
        <v>5</v>
      </c>
      <c r="S727" s="93"/>
      <c r="T727" s="89" t="s">
        <v>56</v>
      </c>
      <c r="U727" s="162">
        <f>IF($J$1="July","",Y726)</f>
        <v>13000</v>
      </c>
      <c r="V727" s="91"/>
      <c r="W727" s="162">
        <f t="shared" si="139"/>
        <v>13000</v>
      </c>
      <c r="X727" s="91">
        <v>1000</v>
      </c>
      <c r="Y727" s="162">
        <f t="shared" si="140"/>
        <v>12000</v>
      </c>
      <c r="Z727" s="94"/>
      <c r="AA727" s="45"/>
    </row>
    <row r="728" spans="1:27" s="43" customFormat="1" ht="21" customHeight="1" x14ac:dyDescent="0.25">
      <c r="A728" s="44"/>
      <c r="B728" s="71" t="s">
        <v>73</v>
      </c>
      <c r="C728" s="54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>3</v>
      </c>
      <c r="D728" s="45"/>
      <c r="E728" s="45"/>
      <c r="F728" s="63" t="s">
        <v>72</v>
      </c>
      <c r="G728" s="179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>19000</v>
      </c>
      <c r="H728" s="45"/>
      <c r="I728" s="363" t="s">
        <v>68</v>
      </c>
      <c r="J728" s="364"/>
      <c r="K728" s="72">
        <f>K726-K727</f>
        <v>15806.451612903227</v>
      </c>
      <c r="L728" s="73"/>
      <c r="M728" s="45"/>
      <c r="N728" s="88"/>
      <c r="O728" s="89" t="s">
        <v>61</v>
      </c>
      <c r="P728" s="89">
        <v>29</v>
      </c>
      <c r="Q728" s="89">
        <v>1</v>
      </c>
      <c r="R728" s="89">
        <f t="shared" si="141"/>
        <v>4</v>
      </c>
      <c r="S728" s="93"/>
      <c r="T728" s="89" t="s">
        <v>61</v>
      </c>
      <c r="U728" s="162">
        <f>IF($J$1="August","",Y727)</f>
        <v>12000</v>
      </c>
      <c r="V728" s="91"/>
      <c r="W728" s="162">
        <f t="shared" si="139"/>
        <v>12000</v>
      </c>
      <c r="X728" s="91">
        <v>1000</v>
      </c>
      <c r="Y728" s="162">
        <f t="shared" si="140"/>
        <v>11000</v>
      </c>
      <c r="Z728" s="94"/>
      <c r="AA728" s="45"/>
    </row>
    <row r="729" spans="1:27" s="43" customFormat="1" ht="21" customHeight="1" x14ac:dyDescent="0.25">
      <c r="A729" s="44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61"/>
      <c r="M729" s="45"/>
      <c r="N729" s="88"/>
      <c r="O729" s="89" t="s">
        <v>57</v>
      </c>
      <c r="P729" s="89">
        <v>30</v>
      </c>
      <c r="Q729" s="89">
        <v>1</v>
      </c>
      <c r="R729" s="89">
        <f t="shared" si="141"/>
        <v>3</v>
      </c>
      <c r="S729" s="93"/>
      <c r="T729" s="89" t="s">
        <v>57</v>
      </c>
      <c r="U729" s="162">
        <f>IF($J$1="September","",Y728)</f>
        <v>11000</v>
      </c>
      <c r="V729" s="91">
        <v>10000</v>
      </c>
      <c r="W729" s="162">
        <f t="shared" si="139"/>
        <v>21000</v>
      </c>
      <c r="X729" s="91">
        <v>2000</v>
      </c>
      <c r="Y729" s="162">
        <f t="shared" si="140"/>
        <v>19000</v>
      </c>
      <c r="Z729" s="94"/>
      <c r="AA729" s="45"/>
    </row>
    <row r="730" spans="1:27" s="43" customFormat="1" ht="21" customHeight="1" x14ac:dyDescent="0.25">
      <c r="A730" s="44"/>
      <c r="B730" s="365" t="s">
        <v>103</v>
      </c>
      <c r="C730" s="365"/>
      <c r="D730" s="365"/>
      <c r="E730" s="365"/>
      <c r="F730" s="365"/>
      <c r="G730" s="365"/>
      <c r="H730" s="365"/>
      <c r="I730" s="365"/>
      <c r="J730" s="365"/>
      <c r="K730" s="365"/>
      <c r="L730" s="61"/>
      <c r="M730" s="45"/>
      <c r="N730" s="88"/>
      <c r="O730" s="89" t="s">
        <v>62</v>
      </c>
      <c r="P730" s="89"/>
      <c r="Q730" s="89"/>
      <c r="R730" s="89" t="str">
        <f t="shared" si="141"/>
        <v/>
      </c>
      <c r="S730" s="93"/>
      <c r="T730" s="89" t="s">
        <v>62</v>
      </c>
      <c r="U730" s="162" t="str">
        <f>IF($J$1="October","",Y729)</f>
        <v/>
      </c>
      <c r="V730" s="91"/>
      <c r="W730" s="162" t="str">
        <f t="shared" si="139"/>
        <v/>
      </c>
      <c r="X730" s="91"/>
      <c r="Y730" s="162" t="str">
        <f t="shared" si="140"/>
        <v/>
      </c>
      <c r="Z730" s="94"/>
      <c r="AA730" s="45"/>
    </row>
    <row r="731" spans="1:27" s="43" customFormat="1" ht="21" customHeight="1" x14ac:dyDescent="0.25">
      <c r="A731" s="44"/>
      <c r="B731" s="365"/>
      <c r="C731" s="365"/>
      <c r="D731" s="365"/>
      <c r="E731" s="365"/>
      <c r="F731" s="365"/>
      <c r="G731" s="365"/>
      <c r="H731" s="365"/>
      <c r="I731" s="365"/>
      <c r="J731" s="365"/>
      <c r="K731" s="365"/>
      <c r="L731" s="61"/>
      <c r="M731" s="45"/>
      <c r="N731" s="88"/>
      <c r="O731" s="89" t="s">
        <v>63</v>
      </c>
      <c r="P731" s="89"/>
      <c r="Q731" s="89"/>
      <c r="R731" s="89" t="str">
        <f t="shared" si="141"/>
        <v/>
      </c>
      <c r="S731" s="93"/>
      <c r="T731" s="89" t="s">
        <v>63</v>
      </c>
      <c r="U731" s="162" t="str">
        <f>IF($J$1="November","",Y730)</f>
        <v/>
      </c>
      <c r="V731" s="91"/>
      <c r="W731" s="162" t="str">
        <f t="shared" si="139"/>
        <v/>
      </c>
      <c r="X731" s="91"/>
      <c r="Y731" s="162" t="str">
        <f t="shared" si="140"/>
        <v/>
      </c>
      <c r="Z731" s="94"/>
      <c r="AA731" s="45"/>
    </row>
    <row r="732" spans="1:27" s="43" customFormat="1" ht="21" customHeight="1" thickBot="1" x14ac:dyDescent="0.3">
      <c r="A732" s="74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6"/>
      <c r="N732" s="95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7"/>
    </row>
    <row r="733" spans="1:27" s="45" customFormat="1" ht="21" customHeight="1" x14ac:dyDescent="0.25"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 spans="1:27" s="45" customFormat="1" ht="21" hidden="1" customHeight="1" thickBot="1" x14ac:dyDescent="0.3"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 spans="1:27" s="43" customFormat="1" ht="21" hidden="1" customHeight="1" x14ac:dyDescent="0.25">
      <c r="A735" s="386" t="s">
        <v>45</v>
      </c>
      <c r="B735" s="387"/>
      <c r="C735" s="387"/>
      <c r="D735" s="387"/>
      <c r="E735" s="387"/>
      <c r="F735" s="387"/>
      <c r="G735" s="387"/>
      <c r="H735" s="387"/>
      <c r="I735" s="387"/>
      <c r="J735" s="387"/>
      <c r="K735" s="387"/>
      <c r="L735" s="388"/>
      <c r="M735" s="42"/>
      <c r="N735" s="81"/>
      <c r="O735" s="372" t="s">
        <v>47</v>
      </c>
      <c r="P735" s="373"/>
      <c r="Q735" s="373"/>
      <c r="R735" s="374"/>
      <c r="S735" s="82"/>
      <c r="T735" s="372" t="s">
        <v>48</v>
      </c>
      <c r="U735" s="373"/>
      <c r="V735" s="373"/>
      <c r="W735" s="373"/>
      <c r="X735" s="373"/>
      <c r="Y735" s="374"/>
      <c r="Z735" s="83"/>
      <c r="AA735" s="42"/>
    </row>
    <row r="736" spans="1:27" s="43" customFormat="1" ht="21" hidden="1" customHeight="1" x14ac:dyDescent="0.25">
      <c r="A736" s="44"/>
      <c r="B736" s="45"/>
      <c r="C736" s="375" t="s">
        <v>101</v>
      </c>
      <c r="D736" s="375"/>
      <c r="E736" s="375"/>
      <c r="F736" s="375"/>
      <c r="G736" s="46" t="str">
        <f>$J$1</f>
        <v>October</v>
      </c>
      <c r="H736" s="376">
        <f>$K$1</f>
        <v>2020</v>
      </c>
      <c r="I736" s="376"/>
      <c r="J736" s="45"/>
      <c r="K736" s="47"/>
      <c r="L736" s="48"/>
      <c r="M736" s="47"/>
      <c r="N736" s="84"/>
      <c r="O736" s="85" t="s">
        <v>58</v>
      </c>
      <c r="P736" s="85" t="s">
        <v>7</v>
      </c>
      <c r="Q736" s="85" t="s">
        <v>6</v>
      </c>
      <c r="R736" s="85" t="s">
        <v>59</v>
      </c>
      <c r="S736" s="86"/>
      <c r="T736" s="85" t="s">
        <v>58</v>
      </c>
      <c r="U736" s="85" t="s">
        <v>60</v>
      </c>
      <c r="V736" s="85" t="s">
        <v>23</v>
      </c>
      <c r="W736" s="85" t="s">
        <v>22</v>
      </c>
      <c r="X736" s="85" t="s">
        <v>24</v>
      </c>
      <c r="Y736" s="85" t="s">
        <v>64</v>
      </c>
      <c r="Z736" s="87"/>
      <c r="AA736" s="47"/>
    </row>
    <row r="737" spans="1:27" s="43" customFormat="1" ht="21" hidden="1" customHeight="1" x14ac:dyDescent="0.25">
      <c r="A737" s="44"/>
      <c r="B737" s="45"/>
      <c r="C737" s="45"/>
      <c r="D737" s="50"/>
      <c r="E737" s="50"/>
      <c r="F737" s="50"/>
      <c r="G737" s="50"/>
      <c r="H737" s="50"/>
      <c r="I737" s="45"/>
      <c r="J737" s="51" t="s">
        <v>1</v>
      </c>
      <c r="K737" s="52"/>
      <c r="L737" s="53"/>
      <c r="M737" s="45"/>
      <c r="N737" s="88"/>
      <c r="O737" s="89" t="s">
        <v>50</v>
      </c>
      <c r="P737" s="89"/>
      <c r="Q737" s="89"/>
      <c r="R737" s="89">
        <v>15</v>
      </c>
      <c r="S737" s="90"/>
      <c r="T737" s="89" t="s">
        <v>50</v>
      </c>
      <c r="U737" s="91"/>
      <c r="V737" s="91"/>
      <c r="W737" s="91">
        <f>V737+U737</f>
        <v>0</v>
      </c>
      <c r="X737" s="91"/>
      <c r="Y737" s="91">
        <f>W737-X737</f>
        <v>0</v>
      </c>
      <c r="Z737" s="87"/>
      <c r="AA737" s="45"/>
    </row>
    <row r="738" spans="1:27" s="43" customFormat="1" ht="21" hidden="1" customHeight="1" x14ac:dyDescent="0.25">
      <c r="A738" s="44"/>
      <c r="B738" s="45" t="s">
        <v>0</v>
      </c>
      <c r="C738" s="55"/>
      <c r="D738" s="45"/>
      <c r="E738" s="45"/>
      <c r="F738" s="45"/>
      <c r="G738" s="45"/>
      <c r="H738" s="56"/>
      <c r="I738" s="50"/>
      <c r="J738" s="45"/>
      <c r="K738" s="45"/>
      <c r="L738" s="57"/>
      <c r="M738" s="42"/>
      <c r="N738" s="92"/>
      <c r="O738" s="89" t="s">
        <v>76</v>
      </c>
      <c r="P738" s="89"/>
      <c r="Q738" s="89"/>
      <c r="R738" s="89" t="str">
        <f>IF(Q738="","",R737-Q738)</f>
        <v/>
      </c>
      <c r="S738" s="93"/>
      <c r="T738" s="89" t="s">
        <v>76</v>
      </c>
      <c r="U738" s="162">
        <f>Y737</f>
        <v>0</v>
      </c>
      <c r="V738" s="91"/>
      <c r="W738" s="162">
        <f>IF(U738="","",U738+V738)</f>
        <v>0</v>
      </c>
      <c r="X738" s="91"/>
      <c r="Y738" s="162">
        <f>IF(W738="","",W738-X738)</f>
        <v>0</v>
      </c>
      <c r="Z738" s="94"/>
      <c r="AA738" s="42"/>
    </row>
    <row r="739" spans="1:27" s="43" customFormat="1" ht="21" hidden="1" customHeight="1" x14ac:dyDescent="0.25">
      <c r="A739" s="44"/>
      <c r="B739" s="59" t="s">
        <v>46</v>
      </c>
      <c r="C739" s="60"/>
      <c r="D739" s="45"/>
      <c r="E739" s="45"/>
      <c r="F739" s="366" t="s">
        <v>48</v>
      </c>
      <c r="G739" s="366"/>
      <c r="H739" s="45"/>
      <c r="I739" s="366" t="s">
        <v>49</v>
      </c>
      <c r="J739" s="366"/>
      <c r="K739" s="366"/>
      <c r="L739" s="61"/>
      <c r="M739" s="45"/>
      <c r="N739" s="88"/>
      <c r="O739" s="89" t="s">
        <v>51</v>
      </c>
      <c r="P739" s="89"/>
      <c r="Q739" s="89"/>
      <c r="R739" s="89" t="str">
        <f t="shared" ref="R739:R748" si="142">IF(Q739="","",R738-Q739)</f>
        <v/>
      </c>
      <c r="S739" s="93"/>
      <c r="T739" s="89" t="s">
        <v>51</v>
      </c>
      <c r="U739" s="162">
        <f>IF($J$1="April",Y738,Y738)</f>
        <v>0</v>
      </c>
      <c r="V739" s="91"/>
      <c r="W739" s="162">
        <f t="shared" ref="W739:W748" si="143">IF(U739="","",U739+V739)</f>
        <v>0</v>
      </c>
      <c r="X739" s="91"/>
      <c r="Y739" s="162">
        <f t="shared" ref="Y739:Y748" si="144">IF(W739="","",W739-X739)</f>
        <v>0</v>
      </c>
      <c r="Z739" s="94"/>
      <c r="AA739" s="45"/>
    </row>
    <row r="740" spans="1:27" s="43" customFormat="1" ht="21" hidden="1" customHeight="1" x14ac:dyDescent="0.25">
      <c r="A740" s="44"/>
      <c r="B740" s="45"/>
      <c r="C740" s="45"/>
      <c r="D740" s="45"/>
      <c r="E740" s="45"/>
      <c r="F740" s="45"/>
      <c r="G740" s="45"/>
      <c r="H740" s="62"/>
      <c r="L740" s="49"/>
      <c r="M740" s="45"/>
      <c r="N740" s="88"/>
      <c r="O740" s="89" t="s">
        <v>52</v>
      </c>
      <c r="P740" s="89"/>
      <c r="Q740" s="89"/>
      <c r="R740" s="89" t="str">
        <f t="shared" si="142"/>
        <v/>
      </c>
      <c r="S740" s="93"/>
      <c r="T740" s="89" t="s">
        <v>52</v>
      </c>
      <c r="U740" s="162">
        <f>IF($J$1="April",Y739,Y739)</f>
        <v>0</v>
      </c>
      <c r="V740" s="91"/>
      <c r="W740" s="162">
        <f t="shared" si="143"/>
        <v>0</v>
      </c>
      <c r="X740" s="91"/>
      <c r="Y740" s="162">
        <f t="shared" si="144"/>
        <v>0</v>
      </c>
      <c r="Z740" s="94"/>
      <c r="AA740" s="45"/>
    </row>
    <row r="741" spans="1:27" s="43" customFormat="1" ht="21" hidden="1" customHeight="1" x14ac:dyDescent="0.25">
      <c r="A741" s="44"/>
      <c r="B741" s="367" t="s">
        <v>47</v>
      </c>
      <c r="C741" s="368"/>
      <c r="D741" s="45"/>
      <c r="E741" s="45"/>
      <c r="F741" s="63" t="s">
        <v>69</v>
      </c>
      <c r="G741" s="58" t="str">
        <f>IF($J$1="January",U737,IF($J$1="February",U738,IF($J$1="March",U739,IF($J$1="April",U740,IF($J$1="May",U741,IF($J$1="June",U742,IF($J$1="July",U743,IF($J$1="August",U744,IF($J$1="August",U744,IF($J$1="September",U745,IF($J$1="October",U746,IF($J$1="November",U747,IF($J$1="December",U748)))))))))))))</f>
        <v/>
      </c>
      <c r="H741" s="62"/>
      <c r="I741" s="64"/>
      <c r="J741" s="65" t="s">
        <v>66</v>
      </c>
      <c r="K741" s="66">
        <f>K737/$K$2*I741</f>
        <v>0</v>
      </c>
      <c r="L741" s="67"/>
      <c r="M741" s="45"/>
      <c r="N741" s="88"/>
      <c r="O741" s="89" t="s">
        <v>53</v>
      </c>
      <c r="P741" s="89"/>
      <c r="Q741" s="89"/>
      <c r="R741" s="89" t="str">
        <f t="shared" si="142"/>
        <v/>
      </c>
      <c r="S741" s="93"/>
      <c r="T741" s="89" t="s">
        <v>53</v>
      </c>
      <c r="U741" s="162">
        <f>IF($J$1="May",Y740,Y740)</f>
        <v>0</v>
      </c>
      <c r="V741" s="91"/>
      <c r="W741" s="162">
        <f t="shared" si="143"/>
        <v>0</v>
      </c>
      <c r="X741" s="91"/>
      <c r="Y741" s="162">
        <f t="shared" si="144"/>
        <v>0</v>
      </c>
      <c r="Z741" s="94"/>
      <c r="AA741" s="45"/>
    </row>
    <row r="742" spans="1:27" s="43" customFormat="1" ht="21" hidden="1" customHeight="1" x14ac:dyDescent="0.25">
      <c r="A742" s="44"/>
      <c r="B742" s="54"/>
      <c r="C742" s="54"/>
      <c r="D742" s="45"/>
      <c r="E742" s="45"/>
      <c r="F742" s="63" t="s">
        <v>23</v>
      </c>
      <c r="G742" s="58">
        <f>IF($J$1="January",V737,IF($J$1="February",V738,IF($J$1="March",V739,IF($J$1="April",V740,IF($J$1="May",V741,IF($J$1="June",V742,IF($J$1="July",V743,IF($J$1="August",V744,IF($J$1="August",V744,IF($J$1="September",V745,IF($J$1="October",V746,IF($J$1="November",V747,IF($J$1="December",V748)))))))))))))</f>
        <v>0</v>
      </c>
      <c r="H742" s="62"/>
      <c r="I742" s="64"/>
      <c r="J742" s="65" t="s">
        <v>67</v>
      </c>
      <c r="K742" s="68">
        <f>K737/$K$2/8*I742</f>
        <v>0</v>
      </c>
      <c r="L742" s="69"/>
      <c r="M742" s="45"/>
      <c r="N742" s="88"/>
      <c r="O742" s="89" t="s">
        <v>54</v>
      </c>
      <c r="P742" s="89"/>
      <c r="Q742" s="89"/>
      <c r="R742" s="89" t="str">
        <f t="shared" si="142"/>
        <v/>
      </c>
      <c r="S742" s="93"/>
      <c r="T742" s="89" t="s">
        <v>54</v>
      </c>
      <c r="U742" s="162">
        <f>IF($J$1="May",Y741,Y741)</f>
        <v>0</v>
      </c>
      <c r="V742" s="91"/>
      <c r="W742" s="162">
        <f t="shared" si="143"/>
        <v>0</v>
      </c>
      <c r="X742" s="91"/>
      <c r="Y742" s="162">
        <f t="shared" si="144"/>
        <v>0</v>
      </c>
      <c r="Z742" s="94"/>
      <c r="AA742" s="45"/>
    </row>
    <row r="743" spans="1:27" s="43" customFormat="1" ht="21" hidden="1" customHeight="1" x14ac:dyDescent="0.25">
      <c r="A743" s="44"/>
      <c r="B743" s="63" t="s">
        <v>7</v>
      </c>
      <c r="C743" s="54">
        <f>IF($J$1="January",P737,IF($J$1="February",P738,IF($J$1="March",P739,IF($J$1="April",P740,IF($J$1="May",P741,IF($J$1="June",P742,IF($J$1="July",P743,IF($J$1="August",P744,IF($J$1="August",P744,IF($J$1="September",P745,IF($J$1="October",P746,IF($J$1="November",P747,IF($J$1="December",P748)))))))))))))</f>
        <v>0</v>
      </c>
      <c r="D743" s="45"/>
      <c r="E743" s="45"/>
      <c r="F743" s="63" t="s">
        <v>70</v>
      </c>
      <c r="G743" s="58" t="str">
        <f>IF($J$1="January",W737,IF($J$1="February",W738,IF($J$1="March",W739,IF($J$1="April",W740,IF($J$1="May",W741,IF($J$1="June",W742,IF($J$1="July",W743,IF($J$1="August",W744,IF($J$1="August",W744,IF($J$1="September",W745,IF($J$1="October",W746,IF($J$1="November",W747,IF($J$1="December",W748)))))))))))))</f>
        <v/>
      </c>
      <c r="H743" s="62"/>
      <c r="I743" s="361" t="s">
        <v>74</v>
      </c>
      <c r="J743" s="362"/>
      <c r="K743" s="68">
        <f>K741+K742</f>
        <v>0</v>
      </c>
      <c r="L743" s="69"/>
      <c r="M743" s="45"/>
      <c r="N743" s="88"/>
      <c r="O743" s="89" t="s">
        <v>55</v>
      </c>
      <c r="P743" s="89"/>
      <c r="Q743" s="89"/>
      <c r="R743" s="89" t="str">
        <f t="shared" si="142"/>
        <v/>
      </c>
      <c r="S743" s="93"/>
      <c r="T743" s="89" t="s">
        <v>55</v>
      </c>
      <c r="U743" s="162" t="str">
        <f>IF($J$1="September",Y742,"")</f>
        <v/>
      </c>
      <c r="V743" s="91"/>
      <c r="W743" s="162" t="str">
        <f t="shared" si="143"/>
        <v/>
      </c>
      <c r="X743" s="91"/>
      <c r="Y743" s="162" t="str">
        <f t="shared" si="144"/>
        <v/>
      </c>
      <c r="Z743" s="94"/>
      <c r="AA743" s="45"/>
    </row>
    <row r="744" spans="1:27" s="43" customFormat="1" ht="21" hidden="1" customHeight="1" x14ac:dyDescent="0.25">
      <c r="A744" s="44"/>
      <c r="B744" s="63" t="s">
        <v>6</v>
      </c>
      <c r="C744" s="54">
        <f>IF($J$1="January",Q737,IF($J$1="February",Q738,IF($J$1="March",Q739,IF($J$1="April",Q740,IF($J$1="May",Q741,IF($J$1="June",Q742,IF($J$1="July",Q743,IF($J$1="August",Q744,IF($J$1="August",Q744,IF($J$1="September",Q745,IF($J$1="October",Q746,IF($J$1="November",Q747,IF($J$1="December",Q748)))))))))))))</f>
        <v>0</v>
      </c>
      <c r="D744" s="45"/>
      <c r="E744" s="45"/>
      <c r="F744" s="63" t="s">
        <v>24</v>
      </c>
      <c r="G744" s="58">
        <f>IF($J$1="January",X737,IF($J$1="February",X738,IF($J$1="March",X739,IF($J$1="April",X740,IF($J$1="May",X741,IF($J$1="June",X742,IF($J$1="July",X743,IF($J$1="August",X744,IF($J$1="August",X744,IF($J$1="September",X745,IF($J$1="October",X746,IF($J$1="November",X747,IF($J$1="December",X748)))))))))))))</f>
        <v>0</v>
      </c>
      <c r="H744" s="62"/>
      <c r="I744" s="361" t="s">
        <v>75</v>
      </c>
      <c r="J744" s="362"/>
      <c r="K744" s="58">
        <f>G744</f>
        <v>0</v>
      </c>
      <c r="L744" s="70"/>
      <c r="M744" s="45"/>
      <c r="N744" s="88"/>
      <c r="O744" s="89" t="s">
        <v>56</v>
      </c>
      <c r="P744" s="89"/>
      <c r="Q744" s="89"/>
      <c r="R744" s="89" t="str">
        <f t="shared" si="142"/>
        <v/>
      </c>
      <c r="S744" s="93"/>
      <c r="T744" s="89" t="s">
        <v>56</v>
      </c>
      <c r="U744" s="162" t="str">
        <f>IF($J$1="September",Y743,"")</f>
        <v/>
      </c>
      <c r="V744" s="91"/>
      <c r="W744" s="162" t="str">
        <f t="shared" si="143"/>
        <v/>
      </c>
      <c r="X744" s="91"/>
      <c r="Y744" s="162" t="str">
        <f t="shared" si="144"/>
        <v/>
      </c>
      <c r="Z744" s="94"/>
      <c r="AA744" s="45"/>
    </row>
    <row r="745" spans="1:27" s="43" customFormat="1" ht="21" hidden="1" customHeight="1" x14ac:dyDescent="0.25">
      <c r="A745" s="44"/>
      <c r="B745" s="71" t="s">
        <v>73</v>
      </c>
      <c r="C745" s="54" t="str">
        <f>IF($J$1="January",R737,IF($J$1="February",R738,IF($J$1="March",R739,IF($J$1="April",R740,IF($J$1="May",R741,IF($J$1="June",R742,IF($J$1="July",R743,IF($J$1="August",R744,IF($J$1="August",R744,IF($J$1="September",R745,IF($J$1="October",R746,IF($J$1="November",R747,IF($J$1="December",R748)))))))))))))</f>
        <v/>
      </c>
      <c r="D745" s="45"/>
      <c r="E745" s="45"/>
      <c r="F745" s="63" t="s">
        <v>72</v>
      </c>
      <c r="G745" s="58" t="str">
        <f>IF($J$1="January",Y737,IF($J$1="February",Y738,IF($J$1="March",Y739,IF($J$1="April",Y740,IF($J$1="May",Y741,IF($J$1="June",Y742,IF($J$1="July",Y743,IF($J$1="August",Y744,IF($J$1="August",Y744,IF($J$1="September",Y745,IF($J$1="October",Y746,IF($J$1="November",Y747,IF($J$1="December",Y748)))))))))))))</f>
        <v/>
      </c>
      <c r="H745" s="45"/>
      <c r="I745" s="363" t="s">
        <v>68</v>
      </c>
      <c r="J745" s="364"/>
      <c r="K745" s="72">
        <f>K743-K744</f>
        <v>0</v>
      </c>
      <c r="L745" s="73"/>
      <c r="M745" s="45"/>
      <c r="N745" s="88"/>
      <c r="O745" s="89" t="s">
        <v>61</v>
      </c>
      <c r="P745" s="89"/>
      <c r="Q745" s="89"/>
      <c r="R745" s="89" t="str">
        <f t="shared" si="142"/>
        <v/>
      </c>
      <c r="S745" s="93"/>
      <c r="T745" s="89" t="s">
        <v>61</v>
      </c>
      <c r="U745" s="162" t="str">
        <f>IF($J$1="Sept",Y744,"")</f>
        <v/>
      </c>
      <c r="V745" s="91"/>
      <c r="W745" s="162" t="str">
        <f t="shared" si="143"/>
        <v/>
      </c>
      <c r="X745" s="91"/>
      <c r="Y745" s="162" t="str">
        <f t="shared" si="144"/>
        <v/>
      </c>
      <c r="Z745" s="94"/>
      <c r="AA745" s="45"/>
    </row>
    <row r="746" spans="1:27" s="43" customFormat="1" ht="21" hidden="1" customHeight="1" x14ac:dyDescent="0.25">
      <c r="A746" s="44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61"/>
      <c r="M746" s="45"/>
      <c r="N746" s="88"/>
      <c r="O746" s="89" t="s">
        <v>57</v>
      </c>
      <c r="P746" s="89"/>
      <c r="Q746" s="89"/>
      <c r="R746" s="89" t="str">
        <f t="shared" si="142"/>
        <v/>
      </c>
      <c r="S746" s="93"/>
      <c r="T746" s="89" t="s">
        <v>57</v>
      </c>
      <c r="U746" s="162" t="str">
        <f>IF($J$1="October",Y745,"")</f>
        <v/>
      </c>
      <c r="V746" s="91"/>
      <c r="W746" s="162" t="str">
        <f t="shared" si="143"/>
        <v/>
      </c>
      <c r="X746" s="91"/>
      <c r="Y746" s="162" t="str">
        <f t="shared" si="144"/>
        <v/>
      </c>
      <c r="Z746" s="94"/>
      <c r="AA746" s="45"/>
    </row>
    <row r="747" spans="1:27" s="43" customFormat="1" ht="21" hidden="1" customHeight="1" x14ac:dyDescent="0.25">
      <c r="A747" s="44"/>
      <c r="B747" s="365" t="s">
        <v>103</v>
      </c>
      <c r="C747" s="365"/>
      <c r="D747" s="365"/>
      <c r="E747" s="365"/>
      <c r="F747" s="365"/>
      <c r="G747" s="365"/>
      <c r="H747" s="365"/>
      <c r="I747" s="365"/>
      <c r="J747" s="365"/>
      <c r="K747" s="365"/>
      <c r="L747" s="61"/>
      <c r="M747" s="45"/>
      <c r="N747" s="88"/>
      <c r="O747" s="89" t="s">
        <v>62</v>
      </c>
      <c r="P747" s="89"/>
      <c r="Q747" s="89"/>
      <c r="R747" s="89" t="str">
        <f t="shared" si="142"/>
        <v/>
      </c>
      <c r="S747" s="93"/>
      <c r="T747" s="89" t="s">
        <v>62</v>
      </c>
      <c r="U747" s="162" t="str">
        <f>IF($J$1="November",Y746,"")</f>
        <v/>
      </c>
      <c r="V747" s="91"/>
      <c r="W747" s="162" t="str">
        <f t="shared" si="143"/>
        <v/>
      </c>
      <c r="X747" s="91"/>
      <c r="Y747" s="162" t="str">
        <f t="shared" si="144"/>
        <v/>
      </c>
      <c r="Z747" s="94"/>
      <c r="AA747" s="45"/>
    </row>
    <row r="748" spans="1:27" s="43" customFormat="1" ht="21" hidden="1" customHeight="1" x14ac:dyDescent="0.25">
      <c r="A748" s="44"/>
      <c r="B748" s="365"/>
      <c r="C748" s="365"/>
      <c r="D748" s="365"/>
      <c r="E748" s="365"/>
      <c r="F748" s="365"/>
      <c r="G748" s="365"/>
      <c r="H748" s="365"/>
      <c r="I748" s="365"/>
      <c r="J748" s="365"/>
      <c r="K748" s="365"/>
      <c r="L748" s="61"/>
      <c r="M748" s="45"/>
      <c r="N748" s="88"/>
      <c r="O748" s="89" t="s">
        <v>63</v>
      </c>
      <c r="P748" s="89"/>
      <c r="Q748" s="89"/>
      <c r="R748" s="89" t="str">
        <f t="shared" si="142"/>
        <v/>
      </c>
      <c r="S748" s="93"/>
      <c r="T748" s="89" t="s">
        <v>63</v>
      </c>
      <c r="U748" s="162" t="str">
        <f>IF($J$1="Dec",Y747,"")</f>
        <v/>
      </c>
      <c r="V748" s="91"/>
      <c r="W748" s="162" t="str">
        <f t="shared" si="143"/>
        <v/>
      </c>
      <c r="X748" s="91"/>
      <c r="Y748" s="162" t="str">
        <f t="shared" si="144"/>
        <v/>
      </c>
      <c r="Z748" s="94"/>
      <c r="AA748" s="45"/>
    </row>
    <row r="749" spans="1:27" s="43" customFormat="1" ht="21" hidden="1" customHeight="1" thickBot="1" x14ac:dyDescent="0.3">
      <c r="A749" s="74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6"/>
      <c r="N749" s="95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7"/>
    </row>
    <row r="750" spans="1:27" s="45" customFormat="1" ht="21" hidden="1" customHeight="1" x14ac:dyDescent="0.25"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 spans="1:27" s="45" customFormat="1" ht="21" hidden="1" customHeight="1" x14ac:dyDescent="0.25"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 spans="1:27" s="45" customFormat="1" ht="21" hidden="1" customHeight="1" thickBot="1" x14ac:dyDescent="0.3"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 spans="1:27" s="43" customFormat="1" ht="21" hidden="1" customHeight="1" x14ac:dyDescent="0.25">
      <c r="A753" s="383" t="s">
        <v>45</v>
      </c>
      <c r="B753" s="384"/>
      <c r="C753" s="384"/>
      <c r="D753" s="384"/>
      <c r="E753" s="384"/>
      <c r="F753" s="384"/>
      <c r="G753" s="384"/>
      <c r="H753" s="384"/>
      <c r="I753" s="384"/>
      <c r="J753" s="384"/>
      <c r="K753" s="384"/>
      <c r="L753" s="385"/>
      <c r="M753" s="42"/>
      <c r="N753" s="81"/>
      <c r="O753" s="372" t="s">
        <v>47</v>
      </c>
      <c r="P753" s="373"/>
      <c r="Q753" s="373"/>
      <c r="R753" s="374"/>
      <c r="S753" s="82"/>
      <c r="T753" s="372" t="s">
        <v>48</v>
      </c>
      <c r="U753" s="373"/>
      <c r="V753" s="373"/>
      <c r="W753" s="373"/>
      <c r="X753" s="373"/>
      <c r="Y753" s="374"/>
      <c r="Z753" s="83"/>
      <c r="AA753" s="42"/>
    </row>
    <row r="754" spans="1:27" s="43" customFormat="1" ht="21" hidden="1" customHeight="1" x14ac:dyDescent="0.25">
      <c r="A754" s="44"/>
      <c r="B754" s="45"/>
      <c r="C754" s="375" t="s">
        <v>101</v>
      </c>
      <c r="D754" s="375"/>
      <c r="E754" s="375"/>
      <c r="F754" s="375"/>
      <c r="G754" s="46" t="str">
        <f>$J$1</f>
        <v>October</v>
      </c>
      <c r="H754" s="376">
        <f>$K$1</f>
        <v>2020</v>
      </c>
      <c r="I754" s="376"/>
      <c r="J754" s="45"/>
      <c r="K754" s="47"/>
      <c r="L754" s="48"/>
      <c r="M754" s="47"/>
      <c r="N754" s="84"/>
      <c r="O754" s="85" t="s">
        <v>58</v>
      </c>
      <c r="P754" s="85" t="s">
        <v>7</v>
      </c>
      <c r="Q754" s="85" t="s">
        <v>6</v>
      </c>
      <c r="R754" s="85" t="s">
        <v>59</v>
      </c>
      <c r="S754" s="86"/>
      <c r="T754" s="85" t="s">
        <v>58</v>
      </c>
      <c r="U754" s="85" t="s">
        <v>60</v>
      </c>
      <c r="V754" s="85" t="s">
        <v>23</v>
      </c>
      <c r="W754" s="85" t="s">
        <v>22</v>
      </c>
      <c r="X754" s="85" t="s">
        <v>24</v>
      </c>
      <c r="Y754" s="85" t="s">
        <v>64</v>
      </c>
      <c r="Z754" s="87"/>
      <c r="AA754" s="47"/>
    </row>
    <row r="755" spans="1:27" s="43" customFormat="1" ht="21" hidden="1" customHeight="1" x14ac:dyDescent="0.25">
      <c r="A755" s="44"/>
      <c r="B755" s="45"/>
      <c r="C755" s="45"/>
      <c r="D755" s="50"/>
      <c r="E755" s="50"/>
      <c r="F755" s="50"/>
      <c r="G755" s="50"/>
      <c r="H755" s="50"/>
      <c r="I755" s="45"/>
      <c r="J755" s="51" t="s">
        <v>1</v>
      </c>
      <c r="K755" s="52"/>
      <c r="L755" s="53"/>
      <c r="M755" s="45"/>
      <c r="N755" s="88"/>
      <c r="O755" s="89" t="s">
        <v>50</v>
      </c>
      <c r="P755" s="89"/>
      <c r="Q755" s="89"/>
      <c r="R755" s="89">
        <v>0</v>
      </c>
      <c r="S755" s="90"/>
      <c r="T755" s="89" t="s">
        <v>50</v>
      </c>
      <c r="U755" s="91"/>
      <c r="V755" s="91"/>
      <c r="W755" s="91">
        <f>V755+U755</f>
        <v>0</v>
      </c>
      <c r="X755" s="91"/>
      <c r="Y755" s="91">
        <f>W755-X755</f>
        <v>0</v>
      </c>
      <c r="Z755" s="87"/>
      <c r="AA755" s="45"/>
    </row>
    <row r="756" spans="1:27" s="43" customFormat="1" ht="21" hidden="1" customHeight="1" x14ac:dyDescent="0.25">
      <c r="A756" s="44"/>
      <c r="B756" s="45" t="s">
        <v>0</v>
      </c>
      <c r="C756" s="55"/>
      <c r="D756" s="45"/>
      <c r="E756" s="45"/>
      <c r="F756" s="45"/>
      <c r="G756" s="45"/>
      <c r="H756" s="56"/>
      <c r="I756" s="50"/>
      <c r="J756" s="45"/>
      <c r="K756" s="45"/>
      <c r="L756" s="57"/>
      <c r="M756" s="42"/>
      <c r="N756" s="92"/>
      <c r="O756" s="89" t="s">
        <v>76</v>
      </c>
      <c r="P756" s="89"/>
      <c r="Q756" s="89"/>
      <c r="R756" s="89">
        <v>0</v>
      </c>
      <c r="S756" s="93"/>
      <c r="T756" s="89" t="s">
        <v>76</v>
      </c>
      <c r="U756" s="162">
        <f>IF($J$1="January","",Y755)</f>
        <v>0</v>
      </c>
      <c r="V756" s="91"/>
      <c r="W756" s="162">
        <f>IF(U756="","",U756+V756)</f>
        <v>0</v>
      </c>
      <c r="X756" s="91"/>
      <c r="Y756" s="162">
        <f>IF(W756="","",W756-X756)</f>
        <v>0</v>
      </c>
      <c r="Z756" s="94"/>
      <c r="AA756" s="42"/>
    </row>
    <row r="757" spans="1:27" s="43" customFormat="1" ht="21" hidden="1" customHeight="1" x14ac:dyDescent="0.25">
      <c r="A757" s="44"/>
      <c r="B757" s="59" t="s">
        <v>46</v>
      </c>
      <c r="C757" s="60"/>
      <c r="D757" s="45"/>
      <c r="E757" s="45"/>
      <c r="F757" s="366" t="s">
        <v>48</v>
      </c>
      <c r="G757" s="366"/>
      <c r="H757" s="45"/>
      <c r="I757" s="366" t="s">
        <v>49</v>
      </c>
      <c r="J757" s="366"/>
      <c r="K757" s="366"/>
      <c r="L757" s="61"/>
      <c r="M757" s="45"/>
      <c r="N757" s="88"/>
      <c r="O757" s="89" t="s">
        <v>51</v>
      </c>
      <c r="P757" s="89"/>
      <c r="Q757" s="89"/>
      <c r="R757" s="89">
        <v>0</v>
      </c>
      <c r="S757" s="93"/>
      <c r="T757" s="89" t="s">
        <v>51</v>
      </c>
      <c r="U757" s="162">
        <f>IF($J$1="February","",Y756)</f>
        <v>0</v>
      </c>
      <c r="V757" s="91"/>
      <c r="W757" s="162">
        <f t="shared" ref="W757:W766" si="145">IF(U757="","",U757+V757)</f>
        <v>0</v>
      </c>
      <c r="X757" s="91"/>
      <c r="Y757" s="162">
        <f t="shared" ref="Y757:Y766" si="146">IF(W757="","",W757-X757)</f>
        <v>0</v>
      </c>
      <c r="Z757" s="94"/>
      <c r="AA757" s="45"/>
    </row>
    <row r="758" spans="1:27" s="43" customFormat="1" ht="21" hidden="1" customHeight="1" x14ac:dyDescent="0.25">
      <c r="A758" s="44"/>
      <c r="B758" s="45"/>
      <c r="C758" s="45"/>
      <c r="D758" s="45"/>
      <c r="E758" s="45"/>
      <c r="F758" s="45"/>
      <c r="G758" s="45"/>
      <c r="H758" s="62"/>
      <c r="L758" s="49"/>
      <c r="M758" s="45"/>
      <c r="N758" s="88"/>
      <c r="O758" s="89" t="s">
        <v>52</v>
      </c>
      <c r="P758" s="89"/>
      <c r="Q758" s="89"/>
      <c r="R758" s="89" t="str">
        <f t="shared" ref="R758:R766" si="147">IF(Q758="","",R757-Q758)</f>
        <v/>
      </c>
      <c r="S758" s="93"/>
      <c r="T758" s="89" t="s">
        <v>52</v>
      </c>
      <c r="U758" s="162">
        <f>IF($J$1="March","",Y757)</f>
        <v>0</v>
      </c>
      <c r="V758" s="91"/>
      <c r="W758" s="162">
        <f t="shared" si="145"/>
        <v>0</v>
      </c>
      <c r="X758" s="91"/>
      <c r="Y758" s="162">
        <f t="shared" si="146"/>
        <v>0</v>
      </c>
      <c r="Z758" s="94"/>
      <c r="AA758" s="45"/>
    </row>
    <row r="759" spans="1:27" s="43" customFormat="1" ht="21" hidden="1" customHeight="1" x14ac:dyDescent="0.25">
      <c r="A759" s="44"/>
      <c r="B759" s="367" t="s">
        <v>47</v>
      </c>
      <c r="C759" s="368"/>
      <c r="D759" s="45"/>
      <c r="E759" s="45"/>
      <c r="F759" s="63" t="s">
        <v>69</v>
      </c>
      <c r="G759" s="58">
        <f>IF($J$1="January",U755,IF($J$1="February",U756,IF($J$1="March",U757,IF($J$1="April",U758,IF($J$1="May",U759,IF($J$1="June",U760,IF($J$1="July",U761,IF($J$1="August",U762,IF($J$1="August",U762,IF($J$1="September",U763,IF($J$1="October",U764,IF($J$1="November",U765,IF($J$1="December",U766)))))))))))))</f>
        <v>0</v>
      </c>
      <c r="H759" s="62"/>
      <c r="I759" s="64"/>
      <c r="J759" s="65" t="s">
        <v>66</v>
      </c>
      <c r="K759" s="66">
        <f>K755/$K$2*I759</f>
        <v>0</v>
      </c>
      <c r="L759" s="67"/>
      <c r="M759" s="45"/>
      <c r="N759" s="88"/>
      <c r="O759" s="89" t="s">
        <v>53</v>
      </c>
      <c r="P759" s="89"/>
      <c r="Q759" s="89"/>
      <c r="R759" s="89">
        <v>0</v>
      </c>
      <c r="S759" s="93"/>
      <c r="T759" s="89" t="s">
        <v>53</v>
      </c>
      <c r="U759" s="162">
        <f>IF($J$1="April","",Y758)</f>
        <v>0</v>
      </c>
      <c r="V759" s="91"/>
      <c r="W759" s="162">
        <f t="shared" si="145"/>
        <v>0</v>
      </c>
      <c r="X759" s="91"/>
      <c r="Y759" s="162">
        <f t="shared" si="146"/>
        <v>0</v>
      </c>
      <c r="Z759" s="94"/>
      <c r="AA759" s="45"/>
    </row>
    <row r="760" spans="1:27" s="43" customFormat="1" ht="21" hidden="1" customHeight="1" x14ac:dyDescent="0.25">
      <c r="A760" s="44"/>
      <c r="B760" s="54"/>
      <c r="C760" s="54"/>
      <c r="D760" s="45"/>
      <c r="E760" s="45"/>
      <c r="F760" s="63" t="s">
        <v>23</v>
      </c>
      <c r="G760" s="58">
        <f>IF($J$1="January",V755,IF($J$1="February",V756,IF($J$1="March",V757,IF($J$1="April",V758,IF($J$1="May",V759,IF($J$1="June",V760,IF($J$1="July",V761,IF($J$1="August",V762,IF($J$1="August",V762,IF($J$1="September",V763,IF($J$1="October",V764,IF($J$1="November",V765,IF($J$1="December",V766)))))))))))))</f>
        <v>0</v>
      </c>
      <c r="H760" s="62"/>
      <c r="I760" s="108"/>
      <c r="J760" s="65" t="s">
        <v>67</v>
      </c>
      <c r="K760" s="68">
        <f>K755/$K$2/8*I760</f>
        <v>0</v>
      </c>
      <c r="L760" s="69"/>
      <c r="M760" s="45"/>
      <c r="N760" s="88"/>
      <c r="O760" s="89" t="s">
        <v>54</v>
      </c>
      <c r="P760" s="89"/>
      <c r="Q760" s="89"/>
      <c r="R760" s="89" t="str">
        <f t="shared" si="147"/>
        <v/>
      </c>
      <c r="S760" s="93"/>
      <c r="T760" s="89" t="s">
        <v>54</v>
      </c>
      <c r="U760" s="162">
        <f>IF($J$1="May","",Y759)</f>
        <v>0</v>
      </c>
      <c r="V760" s="91"/>
      <c r="W760" s="162">
        <f t="shared" si="145"/>
        <v>0</v>
      </c>
      <c r="X760" s="91"/>
      <c r="Y760" s="162">
        <f t="shared" si="146"/>
        <v>0</v>
      </c>
      <c r="Z760" s="94"/>
      <c r="AA760" s="45"/>
    </row>
    <row r="761" spans="1:27" s="43" customFormat="1" ht="21" hidden="1" customHeight="1" x14ac:dyDescent="0.25">
      <c r="A761" s="44"/>
      <c r="B761" s="63" t="s">
        <v>7</v>
      </c>
      <c r="C761" s="54">
        <f>IF($J$1="January",P755,IF($J$1="February",P756,IF($J$1="March",P757,IF($J$1="April",P758,IF($J$1="May",P759,IF($J$1="June",P760,IF($J$1="July",P761,IF($J$1="August",P762,IF($J$1="August",P762,IF($J$1="September",P763,IF($J$1="October",P764,IF($J$1="November",P765,IF($J$1="December",P766)))))))))))))</f>
        <v>0</v>
      </c>
      <c r="D761" s="45"/>
      <c r="E761" s="45"/>
      <c r="F761" s="63" t="s">
        <v>70</v>
      </c>
      <c r="G761" s="58">
        <f>IF($J$1="January",W755,IF($J$1="February",W756,IF($J$1="March",W757,IF($J$1="April",W758,IF($J$1="May",W759,IF($J$1="June",W760,IF($J$1="July",W761,IF($J$1="August",W762,IF($J$1="August",W762,IF($J$1="September",W763,IF($J$1="October",W764,IF($J$1="November",W765,IF($J$1="December",W766)))))))))))))</f>
        <v>0</v>
      </c>
      <c r="H761" s="62"/>
      <c r="I761" s="361" t="s">
        <v>74</v>
      </c>
      <c r="J761" s="362"/>
      <c r="K761" s="68">
        <f>K759+K760</f>
        <v>0</v>
      </c>
      <c r="L761" s="69"/>
      <c r="M761" s="45"/>
      <c r="N761" s="88"/>
      <c r="O761" s="89" t="s">
        <v>55</v>
      </c>
      <c r="P761" s="89"/>
      <c r="Q761" s="89"/>
      <c r="R761" s="89" t="str">
        <f t="shared" si="147"/>
        <v/>
      </c>
      <c r="S761" s="93"/>
      <c r="T761" s="89" t="s">
        <v>55</v>
      </c>
      <c r="U761" s="162">
        <f>IF($J$1="June","",Y760)</f>
        <v>0</v>
      </c>
      <c r="V761" s="91"/>
      <c r="W761" s="162">
        <f t="shared" si="145"/>
        <v>0</v>
      </c>
      <c r="X761" s="91"/>
      <c r="Y761" s="162">
        <f t="shared" si="146"/>
        <v>0</v>
      </c>
      <c r="Z761" s="94"/>
      <c r="AA761" s="45"/>
    </row>
    <row r="762" spans="1:27" s="43" customFormat="1" ht="21" hidden="1" customHeight="1" x14ac:dyDescent="0.25">
      <c r="A762" s="44"/>
      <c r="B762" s="63" t="s">
        <v>6</v>
      </c>
      <c r="C762" s="54">
        <f>IF($J$1="January",Q755,IF($J$1="February",Q756,IF($J$1="March",Q757,IF($J$1="April",Q758,IF($J$1="May",Q759,IF($J$1="June",Q760,IF($J$1="July",Q761,IF($J$1="August",Q762,IF($J$1="August",Q762,IF($J$1="September",Q763,IF($J$1="October",Q764,IF($J$1="November",Q765,IF($J$1="December",Q766)))))))))))))</f>
        <v>0</v>
      </c>
      <c r="D762" s="45"/>
      <c r="E762" s="45"/>
      <c r="F762" s="63" t="s">
        <v>24</v>
      </c>
      <c r="G762" s="58">
        <f>IF($J$1="January",X755,IF($J$1="February",X756,IF($J$1="March",X757,IF($J$1="April",X758,IF($J$1="May",X759,IF($J$1="June",X760,IF($J$1="July",X761,IF($J$1="August",X762,IF($J$1="August",X762,IF($J$1="September",X763,IF($J$1="October",X764,IF($J$1="November",X765,IF($J$1="December",X766)))))))))))))</f>
        <v>0</v>
      </c>
      <c r="H762" s="62"/>
      <c r="I762" s="361" t="s">
        <v>75</v>
      </c>
      <c r="J762" s="362"/>
      <c r="K762" s="58">
        <f>G762</f>
        <v>0</v>
      </c>
      <c r="L762" s="70"/>
      <c r="M762" s="45"/>
      <c r="N762" s="88"/>
      <c r="O762" s="89" t="s">
        <v>56</v>
      </c>
      <c r="P762" s="89"/>
      <c r="Q762" s="89"/>
      <c r="R762" s="89">
        <v>0</v>
      </c>
      <c r="S762" s="93"/>
      <c r="T762" s="89" t="s">
        <v>56</v>
      </c>
      <c r="U762" s="162">
        <f>IF($J$1="July","",Y761)</f>
        <v>0</v>
      </c>
      <c r="V762" s="91"/>
      <c r="W762" s="162">
        <f t="shared" si="145"/>
        <v>0</v>
      </c>
      <c r="X762" s="91"/>
      <c r="Y762" s="162">
        <f t="shared" si="146"/>
        <v>0</v>
      </c>
      <c r="Z762" s="94"/>
      <c r="AA762" s="45"/>
    </row>
    <row r="763" spans="1:27" s="43" customFormat="1" ht="21" hidden="1" customHeight="1" x14ac:dyDescent="0.25">
      <c r="A763" s="44"/>
      <c r="B763" s="71" t="s">
        <v>73</v>
      </c>
      <c r="C763" s="54" t="str">
        <f>IF($J$1="January",R755,IF($J$1="February",R756,IF($J$1="March",R757,IF($J$1="April",R758,IF($J$1="May",R759,IF($J$1="June",R760,IF($J$1="July",R761,IF($J$1="August",R762,IF($J$1="August",R762,IF($J$1="September",R763,IF($J$1="October",R764,IF($J$1="November",R765,IF($J$1="December",R766)))))))))))))</f>
        <v/>
      </c>
      <c r="D763" s="45"/>
      <c r="E763" s="45"/>
      <c r="F763" s="63" t="s">
        <v>72</v>
      </c>
      <c r="G763" s="58">
        <f>IF($J$1="January",Y755,IF($J$1="February",Y756,IF($J$1="March",Y757,IF($J$1="April",Y758,IF($J$1="May",Y759,IF($J$1="June",Y760,IF($J$1="July",Y761,IF($J$1="August",Y762,IF($J$1="August",Y762,IF($J$1="September",Y763,IF($J$1="October",Y764,IF($J$1="November",Y765,IF($J$1="December",Y766)))))))))))))</f>
        <v>0</v>
      </c>
      <c r="H763" s="45"/>
      <c r="I763" s="363" t="s">
        <v>68</v>
      </c>
      <c r="J763" s="364"/>
      <c r="K763" s="72">
        <f>K761-K762</f>
        <v>0</v>
      </c>
      <c r="L763" s="73"/>
      <c r="M763" s="45"/>
      <c r="N763" s="88"/>
      <c r="O763" s="89" t="s">
        <v>61</v>
      </c>
      <c r="P763" s="89"/>
      <c r="Q763" s="89"/>
      <c r="R763" s="89" t="str">
        <f t="shared" si="147"/>
        <v/>
      </c>
      <c r="S763" s="93"/>
      <c r="T763" s="89" t="s">
        <v>61</v>
      </c>
      <c r="U763" s="162">
        <f>IF($J$1="August","",Y762)</f>
        <v>0</v>
      </c>
      <c r="V763" s="91"/>
      <c r="W763" s="162">
        <f t="shared" si="145"/>
        <v>0</v>
      </c>
      <c r="X763" s="91"/>
      <c r="Y763" s="162">
        <f t="shared" si="146"/>
        <v>0</v>
      </c>
      <c r="Z763" s="94"/>
      <c r="AA763" s="45"/>
    </row>
    <row r="764" spans="1:27" s="43" customFormat="1" ht="21" hidden="1" customHeight="1" x14ac:dyDescent="0.25">
      <c r="A764" s="44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61"/>
      <c r="M764" s="45"/>
      <c r="N764" s="88"/>
      <c r="O764" s="89" t="s">
        <v>57</v>
      </c>
      <c r="P764" s="89"/>
      <c r="Q764" s="89"/>
      <c r="R764" s="89" t="str">
        <f t="shared" si="147"/>
        <v/>
      </c>
      <c r="S764" s="93"/>
      <c r="T764" s="89" t="s">
        <v>57</v>
      </c>
      <c r="U764" s="162">
        <f>IF($J$1="September","",Y763)</f>
        <v>0</v>
      </c>
      <c r="V764" s="91"/>
      <c r="W764" s="162">
        <f t="shared" si="145"/>
        <v>0</v>
      </c>
      <c r="X764" s="91"/>
      <c r="Y764" s="162">
        <f t="shared" si="146"/>
        <v>0</v>
      </c>
      <c r="Z764" s="94"/>
      <c r="AA764" s="45"/>
    </row>
    <row r="765" spans="1:27" s="43" customFormat="1" ht="21" hidden="1" customHeight="1" x14ac:dyDescent="0.25">
      <c r="A765" s="44"/>
      <c r="B765" s="365" t="s">
        <v>103</v>
      </c>
      <c r="C765" s="365"/>
      <c r="D765" s="365"/>
      <c r="E765" s="365"/>
      <c r="F765" s="365"/>
      <c r="G765" s="365"/>
      <c r="H765" s="365"/>
      <c r="I765" s="365"/>
      <c r="J765" s="365"/>
      <c r="K765" s="365"/>
      <c r="L765" s="61"/>
      <c r="M765" s="45"/>
      <c r="N765" s="88"/>
      <c r="O765" s="89" t="s">
        <v>62</v>
      </c>
      <c r="P765" s="89"/>
      <c r="Q765" s="89"/>
      <c r="R765" s="89">
        <v>0</v>
      </c>
      <c r="S765" s="93"/>
      <c r="T765" s="89" t="s">
        <v>62</v>
      </c>
      <c r="U765" s="162" t="str">
        <f>IF($J$1="October","",Y764)</f>
        <v/>
      </c>
      <c r="V765" s="91"/>
      <c r="W765" s="162" t="str">
        <f t="shared" si="145"/>
        <v/>
      </c>
      <c r="X765" s="91"/>
      <c r="Y765" s="162" t="str">
        <f t="shared" si="146"/>
        <v/>
      </c>
      <c r="Z765" s="94"/>
      <c r="AA765" s="45"/>
    </row>
    <row r="766" spans="1:27" s="43" customFormat="1" ht="21" hidden="1" customHeight="1" x14ac:dyDescent="0.25">
      <c r="A766" s="44"/>
      <c r="B766" s="365"/>
      <c r="C766" s="365"/>
      <c r="D766" s="365"/>
      <c r="E766" s="365"/>
      <c r="F766" s="365"/>
      <c r="G766" s="365"/>
      <c r="H766" s="365"/>
      <c r="I766" s="365"/>
      <c r="J766" s="365"/>
      <c r="K766" s="365"/>
      <c r="L766" s="61"/>
      <c r="M766" s="45"/>
      <c r="N766" s="88"/>
      <c r="O766" s="89" t="s">
        <v>63</v>
      </c>
      <c r="P766" s="89"/>
      <c r="Q766" s="89"/>
      <c r="R766" s="89" t="str">
        <f t="shared" si="147"/>
        <v/>
      </c>
      <c r="S766" s="93"/>
      <c r="T766" s="89" t="s">
        <v>63</v>
      </c>
      <c r="U766" s="162" t="str">
        <f>IF($J$1="November","",Y765)</f>
        <v/>
      </c>
      <c r="V766" s="91"/>
      <c r="W766" s="162" t="str">
        <f t="shared" si="145"/>
        <v/>
      </c>
      <c r="X766" s="91"/>
      <c r="Y766" s="162" t="str">
        <f t="shared" si="146"/>
        <v/>
      </c>
      <c r="Z766" s="94"/>
      <c r="AA766" s="45"/>
    </row>
    <row r="767" spans="1:27" s="43" customFormat="1" ht="21" hidden="1" customHeight="1" thickBot="1" x14ac:dyDescent="0.3">
      <c r="A767" s="74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6"/>
      <c r="N767" s="95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7"/>
    </row>
    <row r="768" spans="1:27" s="45" customFormat="1" ht="21" hidden="1" customHeight="1" x14ac:dyDescent="0.25"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 spans="1:27" s="43" customFormat="1" ht="21" hidden="1" customHeight="1" x14ac:dyDescent="0.25">
      <c r="A769" s="369" t="s">
        <v>45</v>
      </c>
      <c r="B769" s="370"/>
      <c r="C769" s="370"/>
      <c r="D769" s="370"/>
      <c r="E769" s="370"/>
      <c r="F769" s="370"/>
      <c r="G769" s="370"/>
      <c r="H769" s="370"/>
      <c r="I769" s="370"/>
      <c r="J769" s="370"/>
      <c r="K769" s="370"/>
      <c r="L769" s="371"/>
      <c r="M769" s="42"/>
      <c r="N769" s="81"/>
      <c r="O769" s="372" t="s">
        <v>47</v>
      </c>
      <c r="P769" s="373"/>
      <c r="Q769" s="373"/>
      <c r="R769" s="374"/>
      <c r="S769" s="82"/>
      <c r="T769" s="372" t="s">
        <v>48</v>
      </c>
      <c r="U769" s="373"/>
      <c r="V769" s="373"/>
      <c r="W769" s="373"/>
      <c r="X769" s="373"/>
      <c r="Y769" s="374"/>
      <c r="Z769" s="83"/>
      <c r="AA769" s="42"/>
    </row>
    <row r="770" spans="1:27" s="43" customFormat="1" ht="21" hidden="1" customHeight="1" x14ac:dyDescent="0.25">
      <c r="A770" s="44"/>
      <c r="B770" s="45"/>
      <c r="C770" s="375" t="s">
        <v>101</v>
      </c>
      <c r="D770" s="375"/>
      <c r="E770" s="375"/>
      <c r="F770" s="375"/>
      <c r="G770" s="46" t="str">
        <f>$J$1</f>
        <v>October</v>
      </c>
      <c r="H770" s="376">
        <f>$K$1</f>
        <v>2020</v>
      </c>
      <c r="I770" s="376"/>
      <c r="J770" s="45"/>
      <c r="K770" s="47"/>
      <c r="L770" s="48"/>
      <c r="M770" s="47"/>
      <c r="N770" s="84"/>
      <c r="O770" s="85" t="s">
        <v>58</v>
      </c>
      <c r="P770" s="85" t="s">
        <v>7</v>
      </c>
      <c r="Q770" s="85" t="s">
        <v>6</v>
      </c>
      <c r="R770" s="85" t="s">
        <v>59</v>
      </c>
      <c r="S770" s="86"/>
      <c r="T770" s="85" t="s">
        <v>58</v>
      </c>
      <c r="U770" s="85" t="s">
        <v>60</v>
      </c>
      <c r="V770" s="85" t="s">
        <v>23</v>
      </c>
      <c r="W770" s="85" t="s">
        <v>22</v>
      </c>
      <c r="X770" s="85" t="s">
        <v>24</v>
      </c>
      <c r="Y770" s="85" t="s">
        <v>64</v>
      </c>
      <c r="Z770" s="87"/>
      <c r="AA770" s="47"/>
    </row>
    <row r="771" spans="1:27" s="43" customFormat="1" ht="21" hidden="1" customHeight="1" x14ac:dyDescent="0.25">
      <c r="A771" s="44"/>
      <c r="B771" s="45"/>
      <c r="C771" s="45"/>
      <c r="D771" s="50"/>
      <c r="E771" s="50"/>
      <c r="F771" s="50"/>
      <c r="G771" s="50"/>
      <c r="H771" s="50"/>
      <c r="I771" s="45"/>
      <c r="J771" s="51" t="s">
        <v>1</v>
      </c>
      <c r="K771" s="52">
        <v>30000</v>
      </c>
      <c r="L771" s="53"/>
      <c r="M771" s="45"/>
      <c r="N771" s="88"/>
      <c r="O771" s="89" t="s">
        <v>50</v>
      </c>
      <c r="P771" s="89">
        <v>29</v>
      </c>
      <c r="Q771" s="89">
        <v>2</v>
      </c>
      <c r="R771" s="89">
        <f>15-Q771</f>
        <v>13</v>
      </c>
      <c r="S771" s="90"/>
      <c r="T771" s="89" t="s">
        <v>50</v>
      </c>
      <c r="U771" s="91">
        <v>90000</v>
      </c>
      <c r="V771" s="91">
        <v>5000</v>
      </c>
      <c r="W771" s="91">
        <f>V771+U771</f>
        <v>95000</v>
      </c>
      <c r="X771" s="91">
        <v>15000</v>
      </c>
      <c r="Y771" s="91">
        <f>W771-X771</f>
        <v>80000</v>
      </c>
      <c r="Z771" s="87"/>
      <c r="AA771" s="45"/>
    </row>
    <row r="772" spans="1:27" s="43" customFormat="1" ht="21" hidden="1" customHeight="1" x14ac:dyDescent="0.25">
      <c r="A772" s="44"/>
      <c r="B772" s="45" t="s">
        <v>0</v>
      </c>
      <c r="C772" s="55" t="s">
        <v>88</v>
      </c>
      <c r="D772" s="45"/>
      <c r="E772" s="45"/>
      <c r="F772" s="45"/>
      <c r="G772" s="45"/>
      <c r="H772" s="56"/>
      <c r="I772" s="50"/>
      <c r="J772" s="45"/>
      <c r="K772" s="45"/>
      <c r="L772" s="57"/>
      <c r="M772" s="42"/>
      <c r="N772" s="92"/>
      <c r="O772" s="89" t="s">
        <v>76</v>
      </c>
      <c r="P772" s="89">
        <v>28</v>
      </c>
      <c r="Q772" s="89">
        <v>1</v>
      </c>
      <c r="R772" s="89">
        <f>IF(Q772="","",R771-Q772)</f>
        <v>12</v>
      </c>
      <c r="S772" s="93"/>
      <c r="T772" s="89" t="s">
        <v>76</v>
      </c>
      <c r="U772" s="162">
        <f>IF($J$1="January","",Y771)</f>
        <v>80000</v>
      </c>
      <c r="V772" s="91">
        <v>10000</v>
      </c>
      <c r="W772" s="162">
        <f>IF(U772="","",U772+V772)</f>
        <v>90000</v>
      </c>
      <c r="X772" s="91">
        <v>20000</v>
      </c>
      <c r="Y772" s="162">
        <f>IF(W772="","",W772-X772)</f>
        <v>70000</v>
      </c>
      <c r="Z772" s="94"/>
      <c r="AA772" s="42"/>
    </row>
    <row r="773" spans="1:27" s="43" customFormat="1" ht="21" hidden="1" customHeight="1" x14ac:dyDescent="0.25">
      <c r="A773" s="44"/>
      <c r="B773" s="59" t="s">
        <v>46</v>
      </c>
      <c r="C773" s="60"/>
      <c r="D773" s="45"/>
      <c r="E773" s="45"/>
      <c r="F773" s="366" t="s">
        <v>48</v>
      </c>
      <c r="G773" s="366"/>
      <c r="H773" s="45"/>
      <c r="I773" s="366" t="s">
        <v>49</v>
      </c>
      <c r="J773" s="366"/>
      <c r="K773" s="366"/>
      <c r="L773" s="61"/>
      <c r="M773" s="45"/>
      <c r="N773" s="88"/>
      <c r="O773" s="89" t="s">
        <v>51</v>
      </c>
      <c r="P773" s="89">
        <v>31</v>
      </c>
      <c r="Q773" s="89">
        <v>0</v>
      </c>
      <c r="R773" s="89">
        <f t="shared" ref="R773" si="148">IF(Q773="","",R772-Q773)</f>
        <v>12</v>
      </c>
      <c r="S773" s="93"/>
      <c r="T773" s="89" t="s">
        <v>51</v>
      </c>
      <c r="U773" s="162">
        <f>IF($J$1="February","",Y772)</f>
        <v>70000</v>
      </c>
      <c r="V773" s="91"/>
      <c r="W773" s="162">
        <f t="shared" ref="W773:W782" si="149">IF(U773="","",U773+V773)</f>
        <v>70000</v>
      </c>
      <c r="X773" s="91">
        <v>10000</v>
      </c>
      <c r="Y773" s="162">
        <f t="shared" ref="Y773:Y782" si="150">IF(W773="","",W773-X773)</f>
        <v>60000</v>
      </c>
      <c r="Z773" s="94"/>
      <c r="AA773" s="45"/>
    </row>
    <row r="774" spans="1:27" s="43" customFormat="1" ht="21" hidden="1" customHeight="1" x14ac:dyDescent="0.25">
      <c r="A774" s="44"/>
      <c r="B774" s="45"/>
      <c r="C774" s="45"/>
      <c r="D774" s="45"/>
      <c r="E774" s="45"/>
      <c r="F774" s="45"/>
      <c r="G774" s="45"/>
      <c r="H774" s="62"/>
      <c r="L774" s="49"/>
      <c r="M774" s="45"/>
      <c r="N774" s="88"/>
      <c r="O774" s="89" t="s">
        <v>52</v>
      </c>
      <c r="P774" s="89">
        <v>14</v>
      </c>
      <c r="Q774" s="89">
        <v>16</v>
      </c>
      <c r="R774" s="89">
        <v>0</v>
      </c>
      <c r="S774" s="93"/>
      <c r="T774" s="89" t="s">
        <v>52</v>
      </c>
      <c r="U774" s="162">
        <f>IF($J$1="March","",Y773)</f>
        <v>60000</v>
      </c>
      <c r="V774" s="91"/>
      <c r="W774" s="162">
        <f t="shared" si="149"/>
        <v>60000</v>
      </c>
      <c r="X774" s="91"/>
      <c r="Y774" s="162">
        <f t="shared" si="150"/>
        <v>60000</v>
      </c>
      <c r="Z774" s="94"/>
      <c r="AA774" s="45"/>
    </row>
    <row r="775" spans="1:27" s="43" customFormat="1" ht="21" hidden="1" customHeight="1" x14ac:dyDescent="0.25">
      <c r="A775" s="44"/>
      <c r="B775" s="367" t="s">
        <v>47</v>
      </c>
      <c r="C775" s="368"/>
      <c r="D775" s="45"/>
      <c r="E775" s="45"/>
      <c r="F775" s="63" t="s">
        <v>69</v>
      </c>
      <c r="G775" s="180">
        <f>IF($J$1="January",U771,IF($J$1="February",U772,IF($J$1="March",U773,IF($J$1="April",U774,IF($J$1="May",U775,IF($J$1="June",U776,IF($J$1="July",U777,IF($J$1="August",U778,IF($J$1="August",U778,IF($J$1="September",U779,IF($J$1="October",U780,IF($J$1="November",U781,IF($J$1="December",U782)))))))))))))</f>
        <v>43000</v>
      </c>
      <c r="H775" s="62"/>
      <c r="I775" s="64">
        <f>IF(C779&gt;0,$K$2,C777)</f>
        <v>0</v>
      </c>
      <c r="J775" s="65" t="s">
        <v>66</v>
      </c>
      <c r="K775" s="66">
        <f>K771/$K$2*I775</f>
        <v>0</v>
      </c>
      <c r="L775" s="67"/>
      <c r="M775" s="45"/>
      <c r="N775" s="88"/>
      <c r="O775" s="89" t="s">
        <v>53</v>
      </c>
      <c r="P775" s="89">
        <v>28</v>
      </c>
      <c r="Q775" s="89">
        <v>3</v>
      </c>
      <c r="R775" s="89">
        <v>0</v>
      </c>
      <c r="S775" s="93"/>
      <c r="T775" s="89" t="s">
        <v>53</v>
      </c>
      <c r="U775" s="162">
        <f>IF($J$1="April","",Y774)</f>
        <v>60000</v>
      </c>
      <c r="V775" s="91"/>
      <c r="W775" s="162">
        <f t="shared" si="149"/>
        <v>60000</v>
      </c>
      <c r="X775" s="91">
        <v>10000</v>
      </c>
      <c r="Y775" s="162">
        <f t="shared" si="150"/>
        <v>50000</v>
      </c>
      <c r="Z775" s="94"/>
      <c r="AA775" s="45"/>
    </row>
    <row r="776" spans="1:27" s="43" customFormat="1" ht="21" hidden="1" customHeight="1" x14ac:dyDescent="0.25">
      <c r="A776" s="44"/>
      <c r="B776" s="54"/>
      <c r="C776" s="54"/>
      <c r="D776" s="45"/>
      <c r="E776" s="45"/>
      <c r="F776" s="63" t="s">
        <v>23</v>
      </c>
      <c r="G776" s="180">
        <f>IF($J$1="January",V771,IF($J$1="February",V772,IF($J$1="March",V773,IF($J$1="April",V774,IF($J$1="May",V775,IF($J$1="June",V776,IF($J$1="July",V777,IF($J$1="August",V778,IF($J$1="August",V778,IF($J$1="September",V779,IF($J$1="October",V780,IF($J$1="November",V781,IF($J$1="December",V782)))))))))))))</f>
        <v>0</v>
      </c>
      <c r="H776" s="62"/>
      <c r="I776" s="108"/>
      <c r="J776" s="65" t="s">
        <v>67</v>
      </c>
      <c r="K776" s="68">
        <f>K771/$K$2/8*I776</f>
        <v>0</v>
      </c>
      <c r="L776" s="69"/>
      <c r="M776" s="45"/>
      <c r="N776" s="88"/>
      <c r="O776" s="89" t="s">
        <v>54</v>
      </c>
      <c r="P776" s="89">
        <v>4</v>
      </c>
      <c r="Q776" s="89">
        <v>26</v>
      </c>
      <c r="R776" s="89">
        <v>0</v>
      </c>
      <c r="S776" s="93"/>
      <c r="T776" s="89" t="s">
        <v>54</v>
      </c>
      <c r="U776" s="162">
        <f>IF($J$1="May","",Y775)</f>
        <v>50000</v>
      </c>
      <c r="V776" s="91"/>
      <c r="W776" s="162">
        <f t="shared" si="149"/>
        <v>50000</v>
      </c>
      <c r="X776" s="91">
        <f>8920-1920</f>
        <v>7000</v>
      </c>
      <c r="Y776" s="162">
        <f t="shared" si="150"/>
        <v>43000</v>
      </c>
      <c r="Z776" s="94"/>
      <c r="AA776" s="45"/>
    </row>
    <row r="777" spans="1:27" s="43" customFormat="1" ht="21" hidden="1" customHeight="1" x14ac:dyDescent="0.25">
      <c r="A777" s="44"/>
      <c r="B777" s="63" t="s">
        <v>7</v>
      </c>
      <c r="C777" s="54">
        <f>IF($J$1="January",P771,IF($J$1="February",P772,IF($J$1="March",P773,IF($J$1="April",P774,IF($J$1="May",P775,IF($J$1="June",P776,IF($J$1="July",P777,IF($J$1="August",P778,IF($J$1="August",P778,IF($J$1="September",P779,IF($J$1="October",P780,IF($J$1="November",P781,IF($J$1="December",P782)))))))))))))</f>
        <v>0</v>
      </c>
      <c r="D777" s="45"/>
      <c r="E777" s="45"/>
      <c r="F777" s="63" t="s">
        <v>70</v>
      </c>
      <c r="G777" s="180">
        <f>IF($J$1="January",W771,IF($J$1="February",W772,IF($J$1="March",W773,IF($J$1="April",W774,IF($J$1="May",W775,IF($J$1="June",W776,IF($J$1="July",W777,IF($J$1="August",W778,IF($J$1="August",W778,IF($J$1="September",W779,IF($J$1="October",W780,IF($J$1="November",W781,IF($J$1="December",W782)))))))))))))</f>
        <v>43000</v>
      </c>
      <c r="H777" s="62"/>
      <c r="I777" s="361" t="s">
        <v>74</v>
      </c>
      <c r="J777" s="362"/>
      <c r="K777" s="68">
        <f>K775+K776</f>
        <v>0</v>
      </c>
      <c r="L777" s="69"/>
      <c r="M777" s="45"/>
      <c r="N777" s="88"/>
      <c r="O777" s="89" t="s">
        <v>55</v>
      </c>
      <c r="P777" s="89"/>
      <c r="Q777" s="89"/>
      <c r="R777" s="89">
        <v>0</v>
      </c>
      <c r="S777" s="93"/>
      <c r="T777" s="89" t="s">
        <v>55</v>
      </c>
      <c r="U777" s="162">
        <f>IF($J$1="June","",Y776)</f>
        <v>43000</v>
      </c>
      <c r="V777" s="91"/>
      <c r="W777" s="162">
        <f t="shared" si="149"/>
        <v>43000</v>
      </c>
      <c r="X777" s="91"/>
      <c r="Y777" s="162">
        <f t="shared" si="150"/>
        <v>43000</v>
      </c>
      <c r="Z777" s="94"/>
      <c r="AA777" s="45"/>
    </row>
    <row r="778" spans="1:27" s="43" customFormat="1" ht="21" hidden="1" customHeight="1" x14ac:dyDescent="0.25">
      <c r="A778" s="44"/>
      <c r="B778" s="63" t="s">
        <v>6</v>
      </c>
      <c r="C778" s="54">
        <f>IF($J$1="January",Q771,IF($J$1="February",Q772,IF($J$1="March",Q773,IF($J$1="April",Q774,IF($J$1="May",Q775,IF($J$1="June",Q776,IF($J$1="July",Q777,IF($J$1="August",Q778,IF($J$1="August",Q778,IF($J$1="September",Q779,IF($J$1="October",Q780,IF($J$1="November",Q781,IF($J$1="December",Q782)))))))))))))</f>
        <v>0</v>
      </c>
      <c r="D778" s="45"/>
      <c r="E778" s="45"/>
      <c r="F778" s="63" t="s">
        <v>24</v>
      </c>
      <c r="G778" s="180">
        <f>IF($J$1="January",X771,IF($J$1="February",X772,IF($J$1="March",X773,IF($J$1="April",X774,IF($J$1="May",X775,IF($J$1="June",X776,IF($J$1="July",X777,IF($J$1="August",X778,IF($J$1="August",X778,IF($J$1="September",X779,IF($J$1="October",X780,IF($J$1="November",X781,IF($J$1="December",X782)))))))))))))</f>
        <v>0</v>
      </c>
      <c r="H778" s="62"/>
      <c r="I778" s="361" t="s">
        <v>75</v>
      </c>
      <c r="J778" s="362"/>
      <c r="K778" s="58">
        <f>G778</f>
        <v>0</v>
      </c>
      <c r="L778" s="70"/>
      <c r="M778" s="45"/>
      <c r="N778" s="88"/>
      <c r="O778" s="89" t="s">
        <v>56</v>
      </c>
      <c r="P778" s="89"/>
      <c r="Q778" s="89"/>
      <c r="R778" s="89">
        <v>0</v>
      </c>
      <c r="S778" s="93"/>
      <c r="T778" s="89" t="s">
        <v>56</v>
      </c>
      <c r="U778" s="162">
        <f>IF($J$1="July","",Y777)</f>
        <v>43000</v>
      </c>
      <c r="V778" s="91"/>
      <c r="W778" s="162">
        <f t="shared" si="149"/>
        <v>43000</v>
      </c>
      <c r="X778" s="91"/>
      <c r="Y778" s="162">
        <f t="shared" si="150"/>
        <v>43000</v>
      </c>
      <c r="Z778" s="94"/>
      <c r="AA778" s="45"/>
    </row>
    <row r="779" spans="1:27" s="43" customFormat="1" ht="21" hidden="1" customHeight="1" x14ac:dyDescent="0.25">
      <c r="A779" s="44"/>
      <c r="B779" s="71" t="s">
        <v>73</v>
      </c>
      <c r="C779" s="54">
        <f>IF($J$1="January",R771,IF($J$1="February",R772,IF($J$1="March",R773,IF($J$1="April",R774,IF($J$1="May",R775,IF($J$1="June",R776,IF($J$1="July",R777,IF($J$1="August",R778,IF($J$1="August",R778,IF($J$1="September",R779,IF($J$1="October",R780,IF($J$1="November",R781,IF($J$1="December",R782)))))))))))))</f>
        <v>0</v>
      </c>
      <c r="D779" s="45"/>
      <c r="E779" s="45"/>
      <c r="F779" s="63" t="s">
        <v>72</v>
      </c>
      <c r="G779" s="180">
        <f>IF($J$1="January",Y771,IF($J$1="February",Y772,IF($J$1="March",Y773,IF($J$1="April",Y774,IF($J$1="May",Y775,IF($J$1="June",Y776,IF($J$1="July",Y777,IF($J$1="August",Y778,IF($J$1="August",Y778,IF($J$1="September",Y779,IF($J$1="October",Y780,IF($J$1="November",Y781,IF($J$1="December",Y782)))))))))))))</f>
        <v>43000</v>
      </c>
      <c r="H779" s="45"/>
      <c r="I779" s="363" t="s">
        <v>68</v>
      </c>
      <c r="J779" s="364"/>
      <c r="K779" s="72"/>
      <c r="L779" s="73"/>
      <c r="M779" s="45"/>
      <c r="N779" s="88"/>
      <c r="O779" s="89" t="s">
        <v>61</v>
      </c>
      <c r="P779" s="89"/>
      <c r="Q779" s="89"/>
      <c r="R779" s="89">
        <v>0</v>
      </c>
      <c r="S779" s="93"/>
      <c r="T779" s="89" t="s">
        <v>61</v>
      </c>
      <c r="U779" s="162">
        <f>IF($J$1="August","",Y778)</f>
        <v>43000</v>
      </c>
      <c r="V779" s="91"/>
      <c r="W779" s="162">
        <f t="shared" si="149"/>
        <v>43000</v>
      </c>
      <c r="X779" s="91"/>
      <c r="Y779" s="162">
        <f t="shared" si="150"/>
        <v>43000</v>
      </c>
      <c r="Z779" s="94"/>
      <c r="AA779" s="45"/>
    </row>
    <row r="780" spans="1:27" s="43" customFormat="1" ht="21" hidden="1" customHeight="1" x14ac:dyDescent="0.25">
      <c r="A780" s="44"/>
      <c r="B780" s="45"/>
      <c r="C780" s="45"/>
      <c r="D780" s="45"/>
      <c r="E780" s="45"/>
      <c r="F780" s="45"/>
      <c r="G780" s="45"/>
      <c r="H780" s="45"/>
      <c r="I780" s="45"/>
      <c r="J780" s="177"/>
      <c r="K780" s="177"/>
      <c r="L780" s="61"/>
      <c r="M780" s="45"/>
      <c r="N780" s="88"/>
      <c r="O780" s="89" t="s">
        <v>57</v>
      </c>
      <c r="P780" s="89"/>
      <c r="Q780" s="89"/>
      <c r="R780" s="89">
        <v>0</v>
      </c>
      <c r="S780" s="93"/>
      <c r="T780" s="89" t="s">
        <v>57</v>
      </c>
      <c r="U780" s="162">
        <f>IF($J$1="September","",Y779)</f>
        <v>43000</v>
      </c>
      <c r="V780" s="91"/>
      <c r="W780" s="162">
        <f t="shared" si="149"/>
        <v>43000</v>
      </c>
      <c r="X780" s="91"/>
      <c r="Y780" s="162">
        <f t="shared" si="150"/>
        <v>43000</v>
      </c>
      <c r="Z780" s="94"/>
      <c r="AA780" s="45"/>
    </row>
    <row r="781" spans="1:27" s="43" customFormat="1" ht="21" hidden="1" customHeight="1" x14ac:dyDescent="0.25">
      <c r="A781" s="44"/>
      <c r="B781" s="365" t="s">
        <v>103</v>
      </c>
      <c r="C781" s="365"/>
      <c r="D781" s="365"/>
      <c r="E781" s="365"/>
      <c r="F781" s="365"/>
      <c r="G781" s="365"/>
      <c r="H781" s="365"/>
      <c r="I781" s="365"/>
      <c r="J781" s="365"/>
      <c r="K781" s="365"/>
      <c r="L781" s="61"/>
      <c r="M781" s="45"/>
      <c r="N781" s="88"/>
      <c r="O781" s="89" t="s">
        <v>62</v>
      </c>
      <c r="P781" s="89"/>
      <c r="Q781" s="89"/>
      <c r="R781" s="89">
        <v>0</v>
      </c>
      <c r="S781" s="93"/>
      <c r="T781" s="89" t="s">
        <v>62</v>
      </c>
      <c r="U781" s="162" t="str">
        <f>IF($J$1="October","",Y780)</f>
        <v/>
      </c>
      <c r="V781" s="91"/>
      <c r="W781" s="162" t="str">
        <f t="shared" si="149"/>
        <v/>
      </c>
      <c r="X781" s="91"/>
      <c r="Y781" s="162" t="str">
        <f t="shared" si="150"/>
        <v/>
      </c>
      <c r="Z781" s="94"/>
      <c r="AA781" s="45"/>
    </row>
    <row r="782" spans="1:27" s="43" customFormat="1" ht="21" hidden="1" customHeight="1" x14ac:dyDescent="0.25">
      <c r="A782" s="44"/>
      <c r="B782" s="365"/>
      <c r="C782" s="365"/>
      <c r="D782" s="365"/>
      <c r="E782" s="365"/>
      <c r="F782" s="365"/>
      <c r="G782" s="365"/>
      <c r="H782" s="365"/>
      <c r="I782" s="365"/>
      <c r="J782" s="365"/>
      <c r="K782" s="365"/>
      <c r="L782" s="61"/>
      <c r="M782" s="45"/>
      <c r="N782" s="88"/>
      <c r="O782" s="89" t="s">
        <v>63</v>
      </c>
      <c r="P782" s="89"/>
      <c r="Q782" s="89"/>
      <c r="R782" s="89">
        <v>0</v>
      </c>
      <c r="S782" s="93"/>
      <c r="T782" s="89" t="s">
        <v>63</v>
      </c>
      <c r="U782" s="162" t="str">
        <f>IF($J$1="November","",Y781)</f>
        <v/>
      </c>
      <c r="V782" s="91"/>
      <c r="W782" s="162" t="str">
        <f t="shared" si="149"/>
        <v/>
      </c>
      <c r="X782" s="91"/>
      <c r="Y782" s="162" t="str">
        <f t="shared" si="150"/>
        <v/>
      </c>
      <c r="Z782" s="94"/>
      <c r="AA782" s="45"/>
    </row>
    <row r="783" spans="1:27" s="43" customFormat="1" ht="21" hidden="1" customHeight="1" thickBot="1" x14ac:dyDescent="0.3">
      <c r="A783" s="74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6"/>
      <c r="N783" s="95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7"/>
    </row>
    <row r="784" spans="1:27" s="45" customFormat="1" ht="21" hidden="1" customHeight="1" thickBot="1" x14ac:dyDescent="0.3"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 spans="1:27" s="43" customFormat="1" ht="21" hidden="1" customHeight="1" x14ac:dyDescent="0.25">
      <c r="A785" s="380" t="s">
        <v>45</v>
      </c>
      <c r="B785" s="381"/>
      <c r="C785" s="381"/>
      <c r="D785" s="381"/>
      <c r="E785" s="381"/>
      <c r="F785" s="381"/>
      <c r="G785" s="381"/>
      <c r="H785" s="381"/>
      <c r="I785" s="381"/>
      <c r="J785" s="381"/>
      <c r="K785" s="381"/>
      <c r="L785" s="382"/>
      <c r="M785" s="42"/>
      <c r="N785" s="81"/>
      <c r="O785" s="372" t="s">
        <v>47</v>
      </c>
      <c r="P785" s="373"/>
      <c r="Q785" s="373"/>
      <c r="R785" s="374"/>
      <c r="S785" s="82"/>
      <c r="T785" s="372" t="s">
        <v>48</v>
      </c>
      <c r="U785" s="373"/>
      <c r="V785" s="373"/>
      <c r="W785" s="373"/>
      <c r="X785" s="373"/>
      <c r="Y785" s="374"/>
      <c r="Z785" s="83"/>
      <c r="AA785" s="42"/>
    </row>
    <row r="786" spans="1:27" s="43" customFormat="1" ht="21" hidden="1" customHeight="1" x14ac:dyDescent="0.25">
      <c r="A786" s="44"/>
      <c r="B786" s="45"/>
      <c r="C786" s="375" t="s">
        <v>101</v>
      </c>
      <c r="D786" s="375"/>
      <c r="E786" s="375"/>
      <c r="F786" s="375"/>
      <c r="G786" s="46" t="str">
        <f>$J$1</f>
        <v>October</v>
      </c>
      <c r="H786" s="376">
        <f>$K$1</f>
        <v>2020</v>
      </c>
      <c r="I786" s="376"/>
      <c r="J786" s="45"/>
      <c r="K786" s="47"/>
      <c r="L786" s="48"/>
      <c r="M786" s="47"/>
      <c r="N786" s="84"/>
      <c r="O786" s="85" t="s">
        <v>58</v>
      </c>
      <c r="P786" s="85" t="s">
        <v>7</v>
      </c>
      <c r="Q786" s="85" t="s">
        <v>6</v>
      </c>
      <c r="R786" s="85" t="s">
        <v>59</v>
      </c>
      <c r="S786" s="86"/>
      <c r="T786" s="85" t="s">
        <v>58</v>
      </c>
      <c r="U786" s="85" t="s">
        <v>60</v>
      </c>
      <c r="V786" s="85" t="s">
        <v>23</v>
      </c>
      <c r="W786" s="85" t="s">
        <v>22</v>
      </c>
      <c r="X786" s="85" t="s">
        <v>24</v>
      </c>
      <c r="Y786" s="85" t="s">
        <v>64</v>
      </c>
      <c r="Z786" s="87"/>
      <c r="AA786" s="47"/>
    </row>
    <row r="787" spans="1:27" s="43" customFormat="1" ht="21" hidden="1" customHeight="1" x14ac:dyDescent="0.25">
      <c r="A787" s="44"/>
      <c r="B787" s="45"/>
      <c r="C787" s="45"/>
      <c r="D787" s="50"/>
      <c r="E787" s="50"/>
      <c r="F787" s="50"/>
      <c r="G787" s="50"/>
      <c r="H787" s="50"/>
      <c r="I787" s="45"/>
      <c r="J787" s="51" t="s">
        <v>1</v>
      </c>
      <c r="K787" s="52"/>
      <c r="L787" s="53"/>
      <c r="M787" s="45"/>
      <c r="N787" s="88"/>
      <c r="O787" s="89" t="s">
        <v>50</v>
      </c>
      <c r="P787" s="89"/>
      <c r="Q787" s="89"/>
      <c r="R787" s="89">
        <f>15-Q787</f>
        <v>15</v>
      </c>
      <c r="S787" s="90"/>
      <c r="T787" s="89" t="s">
        <v>50</v>
      </c>
      <c r="U787" s="91"/>
      <c r="V787" s="91"/>
      <c r="W787" s="91">
        <f>V787+U787</f>
        <v>0</v>
      </c>
      <c r="X787" s="91"/>
      <c r="Y787" s="91">
        <f>W787-X787</f>
        <v>0</v>
      </c>
      <c r="Z787" s="87"/>
      <c r="AA787" s="45"/>
    </row>
    <row r="788" spans="1:27" s="43" customFormat="1" ht="21" hidden="1" customHeight="1" x14ac:dyDescent="0.25">
      <c r="A788" s="44"/>
      <c r="B788" s="45" t="s">
        <v>0</v>
      </c>
      <c r="C788" s="55"/>
      <c r="D788" s="45"/>
      <c r="E788" s="45"/>
      <c r="F788" s="45"/>
      <c r="G788" s="45"/>
      <c r="H788" s="56"/>
      <c r="I788" s="50"/>
      <c r="J788" s="45"/>
      <c r="K788" s="45"/>
      <c r="L788" s="57"/>
      <c r="M788" s="42"/>
      <c r="N788" s="92"/>
      <c r="O788" s="89" t="s">
        <v>76</v>
      </c>
      <c r="P788" s="89"/>
      <c r="Q788" s="89"/>
      <c r="R788" s="89" t="str">
        <f>IF(Q788="","",R787-Q788)</f>
        <v/>
      </c>
      <c r="S788" s="93"/>
      <c r="T788" s="89" t="s">
        <v>76</v>
      </c>
      <c r="U788" s="162">
        <f>Y787</f>
        <v>0</v>
      </c>
      <c r="V788" s="91"/>
      <c r="W788" s="162">
        <f>IF(U788="","",U788+V788)</f>
        <v>0</v>
      </c>
      <c r="X788" s="91"/>
      <c r="Y788" s="162">
        <f>IF(W788="","",W788-X788)</f>
        <v>0</v>
      </c>
      <c r="Z788" s="94"/>
      <c r="AA788" s="42"/>
    </row>
    <row r="789" spans="1:27" s="43" customFormat="1" ht="21" hidden="1" customHeight="1" x14ac:dyDescent="0.25">
      <c r="A789" s="44"/>
      <c r="B789" s="59" t="s">
        <v>46</v>
      </c>
      <c r="C789" s="77"/>
      <c r="D789" s="45"/>
      <c r="E789" s="45"/>
      <c r="F789" s="366" t="s">
        <v>48</v>
      </c>
      <c r="G789" s="366"/>
      <c r="H789" s="45"/>
      <c r="I789" s="366" t="s">
        <v>49</v>
      </c>
      <c r="J789" s="366"/>
      <c r="K789" s="366"/>
      <c r="L789" s="61"/>
      <c r="M789" s="45"/>
      <c r="N789" s="88"/>
      <c r="O789" s="89" t="s">
        <v>51</v>
      </c>
      <c r="P789" s="89"/>
      <c r="Q789" s="89"/>
      <c r="R789" s="89" t="str">
        <f t="shared" ref="R789:R798" si="151">IF(Q789="","",R788-Q789)</f>
        <v/>
      </c>
      <c r="S789" s="93"/>
      <c r="T789" s="89" t="s">
        <v>51</v>
      </c>
      <c r="U789" s="162">
        <f>IF($J$1="April",Y788,Y788)</f>
        <v>0</v>
      </c>
      <c r="V789" s="91"/>
      <c r="W789" s="162">
        <f t="shared" ref="W789:W798" si="152">IF(U789="","",U789+V789)</f>
        <v>0</v>
      </c>
      <c r="X789" s="91"/>
      <c r="Y789" s="162">
        <f t="shared" ref="Y789:Y798" si="153">IF(W789="","",W789-X789)</f>
        <v>0</v>
      </c>
      <c r="Z789" s="94"/>
      <c r="AA789" s="45"/>
    </row>
    <row r="790" spans="1:27" s="43" customFormat="1" ht="21" hidden="1" customHeight="1" x14ac:dyDescent="0.25">
      <c r="A790" s="44"/>
      <c r="B790" s="45"/>
      <c r="C790" s="45"/>
      <c r="D790" s="45"/>
      <c r="E790" s="45"/>
      <c r="F790" s="45"/>
      <c r="G790" s="45"/>
      <c r="H790" s="62"/>
      <c r="L790" s="49"/>
      <c r="M790" s="45"/>
      <c r="N790" s="88"/>
      <c r="O790" s="89" t="s">
        <v>52</v>
      </c>
      <c r="P790" s="89"/>
      <c r="Q790" s="89"/>
      <c r="R790" s="89" t="str">
        <f t="shared" si="151"/>
        <v/>
      </c>
      <c r="S790" s="93"/>
      <c r="T790" s="89" t="s">
        <v>52</v>
      </c>
      <c r="U790" s="162">
        <f>IF($J$1="April",Y789,Y789)</f>
        <v>0</v>
      </c>
      <c r="V790" s="91"/>
      <c r="W790" s="162">
        <f t="shared" si="152"/>
        <v>0</v>
      </c>
      <c r="X790" s="91"/>
      <c r="Y790" s="162">
        <f t="shared" si="153"/>
        <v>0</v>
      </c>
      <c r="Z790" s="94"/>
      <c r="AA790" s="45"/>
    </row>
    <row r="791" spans="1:27" s="43" customFormat="1" ht="21" hidden="1" customHeight="1" x14ac:dyDescent="0.25">
      <c r="A791" s="44"/>
      <c r="B791" s="367" t="s">
        <v>47</v>
      </c>
      <c r="C791" s="368"/>
      <c r="D791" s="45"/>
      <c r="E791" s="45"/>
      <c r="F791" s="63" t="s">
        <v>69</v>
      </c>
      <c r="G791" s="58" t="str">
        <f>IF($J$1="January",U787,IF($J$1="February",U788,IF($J$1="March",U789,IF($J$1="April",U790,IF($J$1="May",U791,IF($J$1="June",U792,IF($J$1="July",U793,IF($J$1="August",U794,IF($J$1="August",U794,IF($J$1="September",U795,IF($J$1="October",U796,IF($J$1="November",U797,IF($J$1="December",U798)))))))))))))</f>
        <v/>
      </c>
      <c r="H791" s="62"/>
      <c r="I791" s="64"/>
      <c r="J791" s="65" t="s">
        <v>66</v>
      </c>
      <c r="K791" s="66">
        <f>K787/$K$2*I791</f>
        <v>0</v>
      </c>
      <c r="L791" s="67"/>
      <c r="M791" s="45"/>
      <c r="N791" s="88"/>
      <c r="O791" s="89" t="s">
        <v>53</v>
      </c>
      <c r="P791" s="89"/>
      <c r="Q791" s="89"/>
      <c r="R791" s="89" t="str">
        <f t="shared" si="151"/>
        <v/>
      </c>
      <c r="S791" s="93"/>
      <c r="T791" s="89" t="s">
        <v>53</v>
      </c>
      <c r="U791" s="162">
        <f>IF($J$1="May",Y790,Y790)</f>
        <v>0</v>
      </c>
      <c r="V791" s="91"/>
      <c r="W791" s="162">
        <f t="shared" si="152"/>
        <v>0</v>
      </c>
      <c r="X791" s="91"/>
      <c r="Y791" s="162">
        <f t="shared" si="153"/>
        <v>0</v>
      </c>
      <c r="Z791" s="94"/>
      <c r="AA791" s="45"/>
    </row>
    <row r="792" spans="1:27" s="43" customFormat="1" ht="21" hidden="1" customHeight="1" x14ac:dyDescent="0.25">
      <c r="A792" s="44"/>
      <c r="B792" s="54"/>
      <c r="C792" s="54"/>
      <c r="D792" s="45"/>
      <c r="E792" s="45"/>
      <c r="F792" s="63" t="s">
        <v>23</v>
      </c>
      <c r="G792" s="58">
        <f>IF($J$1="January",V787,IF($J$1="February",V788,IF($J$1="March",V789,IF($J$1="April",V790,IF($J$1="May",V791,IF($J$1="June",V792,IF($J$1="July",V793,IF($J$1="August",V794,IF($J$1="August",V794,IF($J$1="September",V795,IF($J$1="October",V796,IF($J$1="November",V797,IF($J$1="December",V798)))))))))))))</f>
        <v>0</v>
      </c>
      <c r="H792" s="62"/>
      <c r="I792" s="64"/>
      <c r="J792" s="65" t="s">
        <v>67</v>
      </c>
      <c r="K792" s="68"/>
      <c r="L792" s="69"/>
      <c r="M792" s="45"/>
      <c r="N792" s="88"/>
      <c r="O792" s="89" t="s">
        <v>54</v>
      </c>
      <c r="P792" s="89"/>
      <c r="Q792" s="89"/>
      <c r="R792" s="89" t="str">
        <f t="shared" si="151"/>
        <v/>
      </c>
      <c r="S792" s="93"/>
      <c r="T792" s="89" t="s">
        <v>54</v>
      </c>
      <c r="U792" s="162">
        <f>IF($J$1="May",Y791,Y791)</f>
        <v>0</v>
      </c>
      <c r="V792" s="91"/>
      <c r="W792" s="162">
        <f t="shared" si="152"/>
        <v>0</v>
      </c>
      <c r="X792" s="91"/>
      <c r="Y792" s="162">
        <f t="shared" si="153"/>
        <v>0</v>
      </c>
      <c r="Z792" s="94"/>
      <c r="AA792" s="45"/>
    </row>
    <row r="793" spans="1:27" s="43" customFormat="1" ht="21" hidden="1" customHeight="1" x14ac:dyDescent="0.25">
      <c r="A793" s="44"/>
      <c r="B793" s="63" t="s">
        <v>7</v>
      </c>
      <c r="C793" s="54">
        <f>IF($J$1="January",P787,IF($J$1="February",P788,IF($J$1="March",P789,IF($J$1="April",P790,IF($J$1="May",P791,IF($J$1="June",P792,IF($J$1="July",P793,IF($J$1="August",P794,IF($J$1="August",P794,IF($J$1="September",P795,IF($J$1="October",P796,IF($J$1="November",P797,IF($J$1="December",P798)))))))))))))</f>
        <v>0</v>
      </c>
      <c r="D793" s="45"/>
      <c r="E793" s="45"/>
      <c r="F793" s="63" t="s">
        <v>70</v>
      </c>
      <c r="G793" s="58" t="str">
        <f>IF($J$1="January",W787,IF($J$1="February",W788,IF($J$1="March",W789,IF($J$1="April",W790,IF($J$1="May",W791,IF($J$1="June",W792,IF($J$1="July",W793,IF($J$1="August",W794,IF($J$1="August",W794,IF($J$1="September",W795,IF($J$1="October",W796,IF($J$1="November",W797,IF($J$1="December",W798)))))))))))))</f>
        <v/>
      </c>
      <c r="H793" s="62"/>
      <c r="I793" s="361" t="s">
        <v>74</v>
      </c>
      <c r="J793" s="362"/>
      <c r="K793" s="68">
        <f>K791+K792</f>
        <v>0</v>
      </c>
      <c r="L793" s="69"/>
      <c r="M793" s="45"/>
      <c r="N793" s="88"/>
      <c r="O793" s="89" t="s">
        <v>55</v>
      </c>
      <c r="P793" s="89"/>
      <c r="Q793" s="89"/>
      <c r="R793" s="89" t="str">
        <f t="shared" si="151"/>
        <v/>
      </c>
      <c r="S793" s="93"/>
      <c r="T793" s="89" t="s">
        <v>55</v>
      </c>
      <c r="U793" s="162">
        <f>IF($J$1="May",Y792,Y792)</f>
        <v>0</v>
      </c>
      <c r="V793" s="91"/>
      <c r="W793" s="162">
        <f t="shared" si="152"/>
        <v>0</v>
      </c>
      <c r="X793" s="91"/>
      <c r="Y793" s="162">
        <f t="shared" si="153"/>
        <v>0</v>
      </c>
      <c r="Z793" s="94"/>
      <c r="AA793" s="45"/>
    </row>
    <row r="794" spans="1:27" s="43" customFormat="1" ht="21" hidden="1" customHeight="1" x14ac:dyDescent="0.25">
      <c r="A794" s="44"/>
      <c r="B794" s="63" t="s">
        <v>6</v>
      </c>
      <c r="C794" s="54">
        <f>IF($J$1="January",Q787,IF($J$1="February",Q788,IF($J$1="March",Q789,IF($J$1="April",Q790,IF($J$1="May",Q791,IF($J$1="June",Q792,IF($J$1="July",Q793,IF($J$1="August",Q794,IF($J$1="August",Q794,IF($J$1="September",Q795,IF($J$1="October",Q796,IF($J$1="November",Q797,IF($J$1="December",Q798)))))))))))))</f>
        <v>0</v>
      </c>
      <c r="D794" s="45"/>
      <c r="E794" s="45"/>
      <c r="F794" s="63" t="s">
        <v>24</v>
      </c>
      <c r="G794" s="58">
        <f>IF($J$1="January",X787,IF($J$1="February",X788,IF($J$1="March",X789,IF($J$1="April",X790,IF($J$1="May",X791,IF($J$1="June",X792,IF($J$1="July",X793,IF($J$1="August",X794,IF($J$1="August",X794,IF($J$1="September",X795,IF($J$1="October",X796,IF($J$1="November",X797,IF($J$1="December",X798)))))))))))))</f>
        <v>0</v>
      </c>
      <c r="H794" s="62"/>
      <c r="I794" s="361" t="s">
        <v>75</v>
      </c>
      <c r="J794" s="362"/>
      <c r="K794" s="58">
        <f>G794</f>
        <v>0</v>
      </c>
      <c r="L794" s="70"/>
      <c r="M794" s="45"/>
      <c r="N794" s="88"/>
      <c r="O794" s="89" t="s">
        <v>56</v>
      </c>
      <c r="P794" s="89"/>
      <c r="Q794" s="89"/>
      <c r="R794" s="89" t="str">
        <f t="shared" si="151"/>
        <v/>
      </c>
      <c r="S794" s="93"/>
      <c r="T794" s="89" t="s">
        <v>56</v>
      </c>
      <c r="U794" s="162" t="str">
        <f>IF($J$1="September",Y793,"")</f>
        <v/>
      </c>
      <c r="V794" s="91"/>
      <c r="W794" s="162" t="str">
        <f t="shared" si="152"/>
        <v/>
      </c>
      <c r="X794" s="91"/>
      <c r="Y794" s="162" t="str">
        <f t="shared" si="153"/>
        <v/>
      </c>
      <c r="Z794" s="94"/>
      <c r="AA794" s="45"/>
    </row>
    <row r="795" spans="1:27" s="43" customFormat="1" ht="21" hidden="1" customHeight="1" x14ac:dyDescent="0.25">
      <c r="A795" s="44"/>
      <c r="B795" s="71" t="s">
        <v>73</v>
      </c>
      <c r="C795" s="54" t="str">
        <f>IF($J$1="January",R787,IF($J$1="February",R788,IF($J$1="March",R789,IF($J$1="April",R790,IF($J$1="May",R791,IF($J$1="June",R792,IF($J$1="July",R793,IF($J$1="August",R794,IF($J$1="August",R794,IF($J$1="September",R795,IF($J$1="October",R796,IF($J$1="November",R797,IF($J$1="December",R798)))))))))))))</f>
        <v/>
      </c>
      <c r="D795" s="45"/>
      <c r="E795" s="45"/>
      <c r="F795" s="63" t="s">
        <v>72</v>
      </c>
      <c r="G795" s="58" t="str">
        <f>IF($J$1="January",Y787,IF($J$1="February",Y788,IF($J$1="March",Y789,IF($J$1="April",Y790,IF($J$1="May",Y791,IF($J$1="June",Y792,IF($J$1="July",Y793,IF($J$1="August",Y794,IF($J$1="August",Y794,IF($J$1="September",Y795,IF($J$1="October",Y796,IF($J$1="November",Y797,IF($J$1="December",Y798)))))))))))))</f>
        <v/>
      </c>
      <c r="H795" s="45"/>
      <c r="I795" s="363" t="s">
        <v>68</v>
      </c>
      <c r="J795" s="364"/>
      <c r="K795" s="72">
        <f>K793-K794</f>
        <v>0</v>
      </c>
      <c r="L795" s="73"/>
      <c r="M795" s="45"/>
      <c r="N795" s="88"/>
      <c r="O795" s="89" t="s">
        <v>61</v>
      </c>
      <c r="P795" s="89"/>
      <c r="Q795" s="89"/>
      <c r="R795" s="89" t="str">
        <f t="shared" si="151"/>
        <v/>
      </c>
      <c r="S795" s="93"/>
      <c r="T795" s="89" t="s">
        <v>61</v>
      </c>
      <c r="U795" s="162" t="str">
        <f>IF($J$1="September",Y794,"")</f>
        <v/>
      </c>
      <c r="V795" s="91"/>
      <c r="W795" s="162" t="str">
        <f t="shared" si="152"/>
        <v/>
      </c>
      <c r="X795" s="91"/>
      <c r="Y795" s="162" t="str">
        <f t="shared" si="153"/>
        <v/>
      </c>
      <c r="Z795" s="94"/>
      <c r="AA795" s="45"/>
    </row>
    <row r="796" spans="1:27" s="43" customFormat="1" ht="21" hidden="1" customHeight="1" x14ac:dyDescent="0.25">
      <c r="A796" s="44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61"/>
      <c r="M796" s="45"/>
      <c r="N796" s="88"/>
      <c r="O796" s="89" t="s">
        <v>57</v>
      </c>
      <c r="P796" s="89"/>
      <c r="Q796" s="89"/>
      <c r="R796" s="89" t="str">
        <f t="shared" si="151"/>
        <v/>
      </c>
      <c r="S796" s="93"/>
      <c r="T796" s="89" t="s">
        <v>57</v>
      </c>
      <c r="U796" s="162" t="str">
        <f>IF($J$1="October",Y795,"")</f>
        <v/>
      </c>
      <c r="V796" s="91"/>
      <c r="W796" s="162" t="str">
        <f t="shared" si="152"/>
        <v/>
      </c>
      <c r="X796" s="91"/>
      <c r="Y796" s="162" t="str">
        <f t="shared" si="153"/>
        <v/>
      </c>
      <c r="Z796" s="94"/>
      <c r="AA796" s="45"/>
    </row>
    <row r="797" spans="1:27" s="43" customFormat="1" ht="21" hidden="1" customHeight="1" x14ac:dyDescent="0.25">
      <c r="A797" s="44"/>
      <c r="B797" s="365" t="s">
        <v>103</v>
      </c>
      <c r="C797" s="365"/>
      <c r="D797" s="365"/>
      <c r="E797" s="365"/>
      <c r="F797" s="365"/>
      <c r="G797" s="365"/>
      <c r="H797" s="365"/>
      <c r="I797" s="365"/>
      <c r="J797" s="365"/>
      <c r="K797" s="365"/>
      <c r="L797" s="61"/>
      <c r="M797" s="45"/>
      <c r="N797" s="88"/>
      <c r="O797" s="89" t="s">
        <v>62</v>
      </c>
      <c r="P797" s="89"/>
      <c r="Q797" s="89"/>
      <c r="R797" s="89" t="str">
        <f t="shared" si="151"/>
        <v/>
      </c>
      <c r="S797" s="93"/>
      <c r="T797" s="89" t="s">
        <v>62</v>
      </c>
      <c r="U797" s="162" t="str">
        <f>IF($J$1="November",Y796,"")</f>
        <v/>
      </c>
      <c r="V797" s="91"/>
      <c r="W797" s="162" t="str">
        <f t="shared" si="152"/>
        <v/>
      </c>
      <c r="X797" s="91"/>
      <c r="Y797" s="162" t="str">
        <f t="shared" si="153"/>
        <v/>
      </c>
      <c r="Z797" s="94"/>
      <c r="AA797" s="45"/>
    </row>
    <row r="798" spans="1:27" s="43" customFormat="1" ht="21" hidden="1" customHeight="1" x14ac:dyDescent="0.25">
      <c r="A798" s="44"/>
      <c r="B798" s="365"/>
      <c r="C798" s="365"/>
      <c r="D798" s="365"/>
      <c r="E798" s="365"/>
      <c r="F798" s="365"/>
      <c r="G798" s="365"/>
      <c r="H798" s="365"/>
      <c r="I798" s="365"/>
      <c r="J798" s="365"/>
      <c r="K798" s="365"/>
      <c r="L798" s="61"/>
      <c r="M798" s="45"/>
      <c r="N798" s="88"/>
      <c r="O798" s="89" t="s">
        <v>63</v>
      </c>
      <c r="P798" s="89"/>
      <c r="Q798" s="89"/>
      <c r="R798" s="89" t="str">
        <f t="shared" si="151"/>
        <v/>
      </c>
      <c r="S798" s="93"/>
      <c r="T798" s="89" t="s">
        <v>63</v>
      </c>
      <c r="U798" s="162" t="str">
        <f>IF($J$1="Dec",Y797,"")</f>
        <v/>
      </c>
      <c r="V798" s="91"/>
      <c r="W798" s="162" t="str">
        <f t="shared" si="152"/>
        <v/>
      </c>
      <c r="X798" s="91"/>
      <c r="Y798" s="162" t="str">
        <f t="shared" si="153"/>
        <v/>
      </c>
      <c r="Z798" s="94"/>
      <c r="AA798" s="45"/>
    </row>
    <row r="799" spans="1:27" s="43" customFormat="1" ht="21" hidden="1" customHeight="1" thickBot="1" x14ac:dyDescent="0.3">
      <c r="A799" s="74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6"/>
      <c r="N799" s="95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7"/>
    </row>
    <row r="800" spans="1:27" s="43" customFormat="1" ht="21" hidden="1" customHeight="1" thickBot="1" x14ac:dyDescent="0.3"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spans="1:27" s="43" customFormat="1" ht="21" hidden="1" customHeight="1" x14ac:dyDescent="0.25">
      <c r="A801" s="383" t="s">
        <v>45</v>
      </c>
      <c r="B801" s="384"/>
      <c r="C801" s="384"/>
      <c r="D801" s="384"/>
      <c r="E801" s="384"/>
      <c r="F801" s="384"/>
      <c r="G801" s="384"/>
      <c r="H801" s="384"/>
      <c r="I801" s="384"/>
      <c r="J801" s="384"/>
      <c r="K801" s="384"/>
      <c r="L801" s="385"/>
      <c r="M801" s="42"/>
      <c r="N801" s="81"/>
      <c r="O801" s="372" t="s">
        <v>47</v>
      </c>
      <c r="P801" s="373"/>
      <c r="Q801" s="373"/>
      <c r="R801" s="374"/>
      <c r="S801" s="82"/>
      <c r="T801" s="372" t="s">
        <v>48</v>
      </c>
      <c r="U801" s="373"/>
      <c r="V801" s="373"/>
      <c r="W801" s="373"/>
      <c r="X801" s="373"/>
      <c r="Y801" s="374"/>
      <c r="Z801" s="83"/>
      <c r="AA801" s="42"/>
    </row>
    <row r="802" spans="1:27" s="43" customFormat="1" ht="21" hidden="1" customHeight="1" x14ac:dyDescent="0.25">
      <c r="A802" s="44"/>
      <c r="B802" s="45"/>
      <c r="C802" s="375" t="s">
        <v>101</v>
      </c>
      <c r="D802" s="375"/>
      <c r="E802" s="375"/>
      <c r="F802" s="375"/>
      <c r="G802" s="46" t="str">
        <f>$J$1</f>
        <v>October</v>
      </c>
      <c r="H802" s="376">
        <f>$K$1</f>
        <v>2020</v>
      </c>
      <c r="I802" s="376"/>
      <c r="J802" s="45"/>
      <c r="K802" s="47"/>
      <c r="L802" s="48"/>
      <c r="M802" s="47"/>
      <c r="N802" s="84"/>
      <c r="O802" s="85" t="s">
        <v>58</v>
      </c>
      <c r="P802" s="85" t="s">
        <v>7</v>
      </c>
      <c r="Q802" s="85" t="s">
        <v>6</v>
      </c>
      <c r="R802" s="85" t="s">
        <v>59</v>
      </c>
      <c r="S802" s="86"/>
      <c r="T802" s="85" t="s">
        <v>58</v>
      </c>
      <c r="U802" s="85" t="s">
        <v>60</v>
      </c>
      <c r="V802" s="85" t="s">
        <v>23</v>
      </c>
      <c r="W802" s="85" t="s">
        <v>22</v>
      </c>
      <c r="X802" s="85" t="s">
        <v>24</v>
      </c>
      <c r="Y802" s="85" t="s">
        <v>64</v>
      </c>
      <c r="Z802" s="87"/>
      <c r="AA802" s="47"/>
    </row>
    <row r="803" spans="1:27" s="43" customFormat="1" ht="21" hidden="1" customHeight="1" x14ac:dyDescent="0.25">
      <c r="A803" s="44"/>
      <c r="B803" s="45"/>
      <c r="C803" s="45"/>
      <c r="D803" s="50"/>
      <c r="E803" s="50"/>
      <c r="F803" s="50"/>
      <c r="G803" s="50"/>
      <c r="H803" s="50"/>
      <c r="I803" s="45"/>
      <c r="J803" s="51" t="s">
        <v>1</v>
      </c>
      <c r="K803" s="52"/>
      <c r="L803" s="53"/>
      <c r="M803" s="45"/>
      <c r="N803" s="88"/>
      <c r="O803" s="89" t="s">
        <v>50</v>
      </c>
      <c r="P803" s="89"/>
      <c r="Q803" s="89"/>
      <c r="R803" s="89">
        <v>0</v>
      </c>
      <c r="S803" s="90"/>
      <c r="T803" s="89" t="s">
        <v>50</v>
      </c>
      <c r="U803" s="91"/>
      <c r="V803" s="91"/>
      <c r="W803" s="91">
        <f>V803+U803</f>
        <v>0</v>
      </c>
      <c r="X803" s="91"/>
      <c r="Y803" s="91">
        <f>W803-X803</f>
        <v>0</v>
      </c>
      <c r="Z803" s="87"/>
      <c r="AA803" s="45"/>
    </row>
    <row r="804" spans="1:27" s="43" customFormat="1" ht="21" hidden="1" customHeight="1" x14ac:dyDescent="0.25">
      <c r="A804" s="44"/>
      <c r="B804" s="45" t="s">
        <v>0</v>
      </c>
      <c r="C804" s="55"/>
      <c r="D804" s="45"/>
      <c r="E804" s="45"/>
      <c r="F804" s="45"/>
      <c r="G804" s="45"/>
      <c r="H804" s="56"/>
      <c r="I804" s="50"/>
      <c r="J804" s="45"/>
      <c r="K804" s="45"/>
      <c r="L804" s="57"/>
      <c r="M804" s="42"/>
      <c r="N804" s="92"/>
      <c r="O804" s="89" t="s">
        <v>76</v>
      </c>
      <c r="P804" s="89"/>
      <c r="Q804" s="89"/>
      <c r="R804" s="89" t="str">
        <f>IF(Q804="","",R803-Q804)</f>
        <v/>
      </c>
      <c r="S804" s="93"/>
      <c r="T804" s="89" t="s">
        <v>76</v>
      </c>
      <c r="U804" s="162">
        <f>IF($J$1="January","",Y803)</f>
        <v>0</v>
      </c>
      <c r="V804" s="91"/>
      <c r="W804" s="162">
        <f>IF(U804="","",U804+V804)</f>
        <v>0</v>
      </c>
      <c r="X804" s="91"/>
      <c r="Y804" s="162">
        <f>IF(W804="","",W804-X804)</f>
        <v>0</v>
      </c>
      <c r="Z804" s="94"/>
      <c r="AA804" s="42"/>
    </row>
    <row r="805" spans="1:27" s="43" customFormat="1" ht="21" hidden="1" customHeight="1" x14ac:dyDescent="0.25">
      <c r="A805" s="44"/>
      <c r="B805" s="59" t="s">
        <v>46</v>
      </c>
      <c r="C805" s="60"/>
      <c r="D805" s="45"/>
      <c r="E805" s="45"/>
      <c r="F805" s="366" t="s">
        <v>48</v>
      </c>
      <c r="G805" s="366"/>
      <c r="H805" s="45"/>
      <c r="I805" s="366" t="s">
        <v>49</v>
      </c>
      <c r="J805" s="366"/>
      <c r="K805" s="366"/>
      <c r="L805" s="61"/>
      <c r="M805" s="45"/>
      <c r="N805" s="88"/>
      <c r="O805" s="89" t="s">
        <v>51</v>
      </c>
      <c r="P805" s="89"/>
      <c r="Q805" s="89"/>
      <c r="R805" s="89">
        <v>0</v>
      </c>
      <c r="S805" s="93"/>
      <c r="T805" s="89" t="s">
        <v>51</v>
      </c>
      <c r="U805" s="162">
        <f>IF($J$1="February","",Y804)</f>
        <v>0</v>
      </c>
      <c r="V805" s="91"/>
      <c r="W805" s="162">
        <f t="shared" ref="W805:W814" si="154">IF(U805="","",U805+V805)</f>
        <v>0</v>
      </c>
      <c r="X805" s="91"/>
      <c r="Y805" s="162">
        <f t="shared" ref="Y805:Y814" si="155">IF(W805="","",W805-X805)</f>
        <v>0</v>
      </c>
      <c r="Z805" s="94"/>
      <c r="AA805" s="45"/>
    </row>
    <row r="806" spans="1:27" s="43" customFormat="1" ht="21" hidden="1" customHeight="1" x14ac:dyDescent="0.25">
      <c r="A806" s="44"/>
      <c r="B806" s="45"/>
      <c r="C806" s="45"/>
      <c r="D806" s="45"/>
      <c r="E806" s="45"/>
      <c r="F806" s="45"/>
      <c r="G806" s="45"/>
      <c r="H806" s="62"/>
      <c r="L806" s="49"/>
      <c r="M806" s="45"/>
      <c r="N806" s="88"/>
      <c r="O806" s="89" t="s">
        <v>52</v>
      </c>
      <c r="P806" s="89"/>
      <c r="Q806" s="89"/>
      <c r="R806" s="89">
        <v>0</v>
      </c>
      <c r="S806" s="93"/>
      <c r="T806" s="89" t="s">
        <v>52</v>
      </c>
      <c r="U806" s="162">
        <f>IF($J$1="March","",Y805)</f>
        <v>0</v>
      </c>
      <c r="V806" s="91"/>
      <c r="W806" s="162">
        <f t="shared" si="154"/>
        <v>0</v>
      </c>
      <c r="X806" s="91"/>
      <c r="Y806" s="162">
        <f t="shared" si="155"/>
        <v>0</v>
      </c>
      <c r="Z806" s="94"/>
      <c r="AA806" s="45"/>
    </row>
    <row r="807" spans="1:27" s="43" customFormat="1" ht="21" hidden="1" customHeight="1" x14ac:dyDescent="0.25">
      <c r="A807" s="44"/>
      <c r="B807" s="367" t="s">
        <v>47</v>
      </c>
      <c r="C807" s="368"/>
      <c r="D807" s="45"/>
      <c r="E807" s="45"/>
      <c r="F807" s="63" t="s">
        <v>69</v>
      </c>
      <c r="G807" s="58">
        <f>IF($J$1="January",U803,IF($J$1="February",U804,IF($J$1="March",U805,IF($J$1="April",U806,IF($J$1="May",U807,IF($J$1="June",U808,IF($J$1="July",U809,IF($J$1="August",U810,IF($J$1="August",U810,IF($J$1="September",U811,IF($J$1="October",U812,IF($J$1="November",U813,IF($J$1="December",U814)))))))))))))</f>
        <v>0</v>
      </c>
      <c r="H807" s="62"/>
      <c r="I807" s="64">
        <f>IF(C811&gt;0,$K$2,C809)</f>
        <v>31</v>
      </c>
      <c r="J807" s="65" t="s">
        <v>66</v>
      </c>
      <c r="K807" s="66">
        <f>K803/$K$2*I807</f>
        <v>0</v>
      </c>
      <c r="L807" s="67"/>
      <c r="M807" s="45"/>
      <c r="N807" s="88"/>
      <c r="O807" s="89" t="s">
        <v>53</v>
      </c>
      <c r="P807" s="89"/>
      <c r="Q807" s="89"/>
      <c r="R807" s="89">
        <v>0</v>
      </c>
      <c r="S807" s="93"/>
      <c r="T807" s="89" t="s">
        <v>53</v>
      </c>
      <c r="U807" s="162">
        <f>IF($J$1="April","",Y806)</f>
        <v>0</v>
      </c>
      <c r="V807" s="91"/>
      <c r="W807" s="162">
        <f t="shared" si="154"/>
        <v>0</v>
      </c>
      <c r="X807" s="91"/>
      <c r="Y807" s="162">
        <f t="shared" si="155"/>
        <v>0</v>
      </c>
      <c r="Z807" s="94"/>
      <c r="AA807" s="45"/>
    </row>
    <row r="808" spans="1:27" s="43" customFormat="1" ht="21" hidden="1" customHeight="1" x14ac:dyDescent="0.25">
      <c r="A808" s="44"/>
      <c r="B808" s="54"/>
      <c r="C808" s="54"/>
      <c r="D808" s="45"/>
      <c r="E808" s="45"/>
      <c r="F808" s="63" t="s">
        <v>23</v>
      </c>
      <c r="G808" s="58">
        <f>IF($J$1="January",V803,IF($J$1="February",V804,IF($J$1="March",V805,IF($J$1="April",V806,IF($J$1="May",V807,IF($J$1="June",V808,IF($J$1="July",V809,IF($J$1="August",V810,IF($J$1="August",V810,IF($J$1="September",V811,IF($J$1="October",V812,IF($J$1="November",V813,IF($J$1="December",V814)))))))))))))</f>
        <v>0</v>
      </c>
      <c r="H808" s="62"/>
      <c r="I808" s="108"/>
      <c r="J808" s="65" t="s">
        <v>67</v>
      </c>
      <c r="K808" s="68">
        <f>K803/$K$2/8*I808</f>
        <v>0</v>
      </c>
      <c r="L808" s="69"/>
      <c r="M808" s="45"/>
      <c r="N808" s="88"/>
      <c r="O808" s="89" t="s">
        <v>54</v>
      </c>
      <c r="P808" s="89"/>
      <c r="Q808" s="89"/>
      <c r="R808" s="89" t="str">
        <f t="shared" ref="R808:R812" si="156">IF(Q808="","",R807-Q808)</f>
        <v/>
      </c>
      <c r="S808" s="93"/>
      <c r="T808" s="89" t="s">
        <v>54</v>
      </c>
      <c r="U808" s="162">
        <f>IF($J$1="May","",Y807)</f>
        <v>0</v>
      </c>
      <c r="V808" s="91"/>
      <c r="W808" s="162">
        <f t="shared" si="154"/>
        <v>0</v>
      </c>
      <c r="X808" s="91"/>
      <c r="Y808" s="162">
        <f t="shared" si="155"/>
        <v>0</v>
      </c>
      <c r="Z808" s="94"/>
      <c r="AA808" s="45"/>
    </row>
    <row r="809" spans="1:27" s="43" customFormat="1" ht="21" hidden="1" customHeight="1" x14ac:dyDescent="0.25">
      <c r="A809" s="44"/>
      <c r="B809" s="63" t="s">
        <v>7</v>
      </c>
      <c r="C809" s="54">
        <f>IF($J$1="January",P803,IF($J$1="February",P804,IF($J$1="March",P805,IF($J$1="April",P806,IF($J$1="May",P807,IF($J$1="June",P808,IF($J$1="July",P809,IF($J$1="August",P810,IF($J$1="August",P810,IF($J$1="September",P811,IF($J$1="October",P812,IF($J$1="November",P813,IF($J$1="December",P814)))))))))))))</f>
        <v>0</v>
      </c>
      <c r="D809" s="45"/>
      <c r="E809" s="45"/>
      <c r="F809" s="63" t="s">
        <v>70</v>
      </c>
      <c r="G809" s="58">
        <f>IF($J$1="January",W803,IF($J$1="February",W804,IF($J$1="March",W805,IF($J$1="April",W806,IF($J$1="May",W807,IF($J$1="June",W808,IF($J$1="July",W809,IF($J$1="August",W810,IF($J$1="August",W810,IF($J$1="September",W811,IF($J$1="October",W812,IF($J$1="November",W813,IF($J$1="December",W814)))))))))))))</f>
        <v>0</v>
      </c>
      <c r="H809" s="62"/>
      <c r="I809" s="361" t="s">
        <v>74</v>
      </c>
      <c r="J809" s="362"/>
      <c r="K809" s="68">
        <f>K807+K808</f>
        <v>0</v>
      </c>
      <c r="L809" s="69"/>
      <c r="M809" s="45"/>
      <c r="N809" s="88"/>
      <c r="O809" s="89" t="s">
        <v>55</v>
      </c>
      <c r="P809" s="89"/>
      <c r="Q809" s="89"/>
      <c r="R809" s="89">
        <v>0</v>
      </c>
      <c r="S809" s="93"/>
      <c r="T809" s="89" t="s">
        <v>55</v>
      </c>
      <c r="U809" s="162">
        <f>IF($J$1="June","",Y808)</f>
        <v>0</v>
      </c>
      <c r="V809" s="91"/>
      <c r="W809" s="162">
        <f t="shared" si="154"/>
        <v>0</v>
      </c>
      <c r="X809" s="91"/>
      <c r="Y809" s="162">
        <f t="shared" si="155"/>
        <v>0</v>
      </c>
      <c r="Z809" s="94"/>
      <c r="AA809" s="45"/>
    </row>
    <row r="810" spans="1:27" s="43" customFormat="1" ht="21" hidden="1" customHeight="1" x14ac:dyDescent="0.25">
      <c r="A810" s="44"/>
      <c r="B810" s="63" t="s">
        <v>6</v>
      </c>
      <c r="C810" s="54">
        <f>IF($J$1="January",Q803,IF($J$1="February",Q804,IF($J$1="March",Q805,IF($J$1="April",Q806,IF($J$1="May",Q807,IF($J$1="June",Q808,IF($J$1="July",Q809,IF($J$1="August",Q810,IF($J$1="August",Q810,IF($J$1="September",Q811,IF($J$1="October",Q812,IF($J$1="November",Q813,IF($J$1="December",Q814)))))))))))))</f>
        <v>0</v>
      </c>
      <c r="D810" s="45"/>
      <c r="E810" s="45"/>
      <c r="F810" s="63" t="s">
        <v>24</v>
      </c>
      <c r="G810" s="58">
        <f>IF($J$1="January",X803,IF($J$1="February",X804,IF($J$1="March",X805,IF($J$1="April",X806,IF($J$1="May",X807,IF($J$1="June",X808,IF($J$1="July",X809,IF($J$1="August",X810,IF($J$1="August",X810,IF($J$1="September",X811,IF($J$1="October",X812,IF($J$1="November",X813,IF($J$1="December",X814)))))))))))))</f>
        <v>0</v>
      </c>
      <c r="H810" s="62"/>
      <c r="I810" s="361" t="s">
        <v>75</v>
      </c>
      <c r="J810" s="362"/>
      <c r="K810" s="58">
        <f>G810</f>
        <v>0</v>
      </c>
      <c r="L810" s="70"/>
      <c r="M810" s="45"/>
      <c r="N810" s="88"/>
      <c r="O810" s="89" t="s">
        <v>56</v>
      </c>
      <c r="P810" s="89"/>
      <c r="Q810" s="89"/>
      <c r="R810" s="89" t="str">
        <f t="shared" si="156"/>
        <v/>
      </c>
      <c r="S810" s="93"/>
      <c r="T810" s="89" t="s">
        <v>56</v>
      </c>
      <c r="U810" s="162">
        <f>IF($J$1="July","",Y809)</f>
        <v>0</v>
      </c>
      <c r="V810" s="91"/>
      <c r="W810" s="162">
        <f t="shared" si="154"/>
        <v>0</v>
      </c>
      <c r="X810" s="91"/>
      <c r="Y810" s="162">
        <f t="shared" si="155"/>
        <v>0</v>
      </c>
      <c r="Z810" s="94"/>
      <c r="AA810" s="45"/>
    </row>
    <row r="811" spans="1:27" s="43" customFormat="1" ht="21" hidden="1" customHeight="1" x14ac:dyDescent="0.25">
      <c r="A811" s="44"/>
      <c r="B811" s="71" t="s">
        <v>73</v>
      </c>
      <c r="C811" s="54" t="str">
        <f>IF($J$1="January",R803,IF($J$1="February",R804,IF($J$1="March",R805,IF($J$1="April",R806,IF($J$1="May",R807,IF($J$1="June",R808,IF($J$1="July",R809,IF($J$1="August",R810,IF($J$1="August",R810,IF($J$1="September",R811,IF($J$1="October",R812,IF($J$1="November",R813,IF($J$1="December",R814)))))))))))))</f>
        <v/>
      </c>
      <c r="D811" s="45"/>
      <c r="E811" s="45"/>
      <c r="F811" s="63" t="s">
        <v>72</v>
      </c>
      <c r="G811" s="58">
        <f>IF($J$1="January",Y803,IF($J$1="February",Y804,IF($J$1="March",Y805,IF($J$1="April",Y806,IF($J$1="May",Y807,IF($J$1="June",Y808,IF($J$1="July",Y809,IF($J$1="August",Y810,IF($J$1="August",Y810,IF($J$1="September",Y811,IF($J$1="October",Y812,IF($J$1="November",Y813,IF($J$1="December",Y814)))))))))))))</f>
        <v>0</v>
      </c>
      <c r="H811" s="45"/>
      <c r="I811" s="363" t="s">
        <v>68</v>
      </c>
      <c r="J811" s="364"/>
      <c r="K811" s="72">
        <f>K809-K810</f>
        <v>0</v>
      </c>
      <c r="L811" s="73"/>
      <c r="M811" s="45"/>
      <c r="N811" s="88"/>
      <c r="O811" s="89" t="s">
        <v>61</v>
      </c>
      <c r="P811" s="89"/>
      <c r="Q811" s="89"/>
      <c r="R811" s="89"/>
      <c r="S811" s="93"/>
      <c r="T811" s="89" t="s">
        <v>61</v>
      </c>
      <c r="U811" s="162">
        <f>IF($J$1="August","",Y810)</f>
        <v>0</v>
      </c>
      <c r="V811" s="91"/>
      <c r="W811" s="162">
        <f t="shared" si="154"/>
        <v>0</v>
      </c>
      <c r="X811" s="91"/>
      <c r="Y811" s="162">
        <f t="shared" si="155"/>
        <v>0</v>
      </c>
      <c r="Z811" s="94"/>
      <c r="AA811" s="45"/>
    </row>
    <row r="812" spans="1:27" s="43" customFormat="1" ht="21" hidden="1" customHeight="1" x14ac:dyDescent="0.25">
      <c r="A812" s="44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61"/>
      <c r="M812" s="45"/>
      <c r="N812" s="88"/>
      <c r="O812" s="89" t="s">
        <v>57</v>
      </c>
      <c r="P812" s="89"/>
      <c r="Q812" s="89"/>
      <c r="R812" s="89" t="str">
        <f t="shared" si="156"/>
        <v/>
      </c>
      <c r="S812" s="93"/>
      <c r="T812" s="89" t="s">
        <v>57</v>
      </c>
      <c r="U812" s="162">
        <f>IF($J$1="September","",Y811)</f>
        <v>0</v>
      </c>
      <c r="V812" s="91"/>
      <c r="W812" s="162">
        <f t="shared" si="154"/>
        <v>0</v>
      </c>
      <c r="X812" s="91"/>
      <c r="Y812" s="162">
        <f t="shared" si="155"/>
        <v>0</v>
      </c>
      <c r="Z812" s="94"/>
      <c r="AA812" s="45"/>
    </row>
    <row r="813" spans="1:27" s="43" customFormat="1" ht="21" hidden="1" customHeight="1" x14ac:dyDescent="0.25">
      <c r="A813" s="44"/>
      <c r="B813" s="365" t="s">
        <v>103</v>
      </c>
      <c r="C813" s="365"/>
      <c r="D813" s="365"/>
      <c r="E813" s="365"/>
      <c r="F813" s="365"/>
      <c r="G813" s="365"/>
      <c r="H813" s="365"/>
      <c r="I813" s="365"/>
      <c r="J813" s="365"/>
      <c r="K813" s="365"/>
      <c r="L813" s="61"/>
      <c r="M813" s="45"/>
      <c r="N813" s="88"/>
      <c r="O813" s="89" t="s">
        <v>62</v>
      </c>
      <c r="P813" s="89"/>
      <c r="Q813" s="89"/>
      <c r="R813" s="89">
        <v>0</v>
      </c>
      <c r="S813" s="93"/>
      <c r="T813" s="89" t="s">
        <v>62</v>
      </c>
      <c r="U813" s="162" t="str">
        <f>IF($J$1="October","",Y812)</f>
        <v/>
      </c>
      <c r="V813" s="91"/>
      <c r="W813" s="162" t="str">
        <f t="shared" si="154"/>
        <v/>
      </c>
      <c r="X813" s="91"/>
      <c r="Y813" s="162" t="str">
        <f t="shared" si="155"/>
        <v/>
      </c>
      <c r="Z813" s="94"/>
      <c r="AA813" s="45"/>
    </row>
    <row r="814" spans="1:27" s="43" customFormat="1" ht="21" hidden="1" customHeight="1" x14ac:dyDescent="0.25">
      <c r="A814" s="44"/>
      <c r="B814" s="365"/>
      <c r="C814" s="365"/>
      <c r="D814" s="365"/>
      <c r="E814" s="365"/>
      <c r="F814" s="365"/>
      <c r="G814" s="365"/>
      <c r="H814" s="365"/>
      <c r="I814" s="365"/>
      <c r="J814" s="365"/>
      <c r="K814" s="365"/>
      <c r="L814" s="61"/>
      <c r="M814" s="45"/>
      <c r="N814" s="88"/>
      <c r="O814" s="89" t="s">
        <v>63</v>
      </c>
      <c r="P814" s="89"/>
      <c r="Q814" s="89"/>
      <c r="R814" s="89">
        <v>0</v>
      </c>
      <c r="S814" s="93"/>
      <c r="T814" s="89" t="s">
        <v>63</v>
      </c>
      <c r="U814" s="162" t="str">
        <f>IF($J$1="November","",Y813)</f>
        <v/>
      </c>
      <c r="V814" s="91"/>
      <c r="W814" s="162" t="str">
        <f t="shared" si="154"/>
        <v/>
      </c>
      <c r="X814" s="91"/>
      <c r="Y814" s="162" t="str">
        <f t="shared" si="155"/>
        <v/>
      </c>
      <c r="Z814" s="94"/>
      <c r="AA814" s="45"/>
    </row>
    <row r="815" spans="1:27" s="43" customFormat="1" ht="21" hidden="1" customHeight="1" thickBot="1" x14ac:dyDescent="0.3">
      <c r="A815" s="74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6"/>
      <c r="N815" s="95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7"/>
    </row>
    <row r="816" spans="1:27" s="43" customFormat="1" ht="21" hidden="1" customHeight="1" x14ac:dyDescent="0.25"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spans="1:27" s="43" customFormat="1" ht="21" hidden="1" customHeight="1" thickBot="1" x14ac:dyDescent="0.3"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7" s="43" customFormat="1" ht="21" hidden="1" customHeight="1" x14ac:dyDescent="0.25">
      <c r="A818" s="383" t="s">
        <v>45</v>
      </c>
      <c r="B818" s="384"/>
      <c r="C818" s="384"/>
      <c r="D818" s="384"/>
      <c r="E818" s="384"/>
      <c r="F818" s="384"/>
      <c r="G818" s="384"/>
      <c r="H818" s="384"/>
      <c r="I818" s="384"/>
      <c r="J818" s="384"/>
      <c r="K818" s="384"/>
      <c r="L818" s="385"/>
      <c r="M818" s="42"/>
      <c r="N818" s="81"/>
      <c r="O818" s="372" t="s">
        <v>47</v>
      </c>
      <c r="P818" s="373"/>
      <c r="Q818" s="373"/>
      <c r="R818" s="374"/>
      <c r="S818" s="82"/>
      <c r="T818" s="372" t="s">
        <v>48</v>
      </c>
      <c r="U818" s="373"/>
      <c r="V818" s="373"/>
      <c r="W818" s="373"/>
      <c r="X818" s="373"/>
      <c r="Y818" s="374"/>
      <c r="Z818" s="83"/>
      <c r="AA818" s="42"/>
    </row>
    <row r="819" spans="1:27" s="43" customFormat="1" ht="21" hidden="1" customHeight="1" x14ac:dyDescent="0.25">
      <c r="A819" s="44"/>
      <c r="B819" s="45"/>
      <c r="C819" s="375" t="s">
        <v>101</v>
      </c>
      <c r="D819" s="375"/>
      <c r="E819" s="375"/>
      <c r="F819" s="375"/>
      <c r="G819" s="46" t="str">
        <f>$J$1</f>
        <v>October</v>
      </c>
      <c r="H819" s="376">
        <f>$K$1</f>
        <v>2020</v>
      </c>
      <c r="I819" s="376"/>
      <c r="J819" s="45"/>
      <c r="K819" s="47"/>
      <c r="L819" s="48"/>
      <c r="M819" s="47"/>
      <c r="N819" s="84"/>
      <c r="O819" s="85" t="s">
        <v>58</v>
      </c>
      <c r="P819" s="85" t="s">
        <v>7</v>
      </c>
      <c r="Q819" s="85" t="s">
        <v>6</v>
      </c>
      <c r="R819" s="85" t="s">
        <v>59</v>
      </c>
      <c r="S819" s="86"/>
      <c r="T819" s="85" t="s">
        <v>58</v>
      </c>
      <c r="U819" s="85" t="s">
        <v>60</v>
      </c>
      <c r="V819" s="85" t="s">
        <v>23</v>
      </c>
      <c r="W819" s="85" t="s">
        <v>22</v>
      </c>
      <c r="X819" s="85" t="s">
        <v>24</v>
      </c>
      <c r="Y819" s="85" t="s">
        <v>64</v>
      </c>
      <c r="Z819" s="87"/>
      <c r="AA819" s="47"/>
    </row>
    <row r="820" spans="1:27" s="43" customFormat="1" ht="21" hidden="1" customHeight="1" x14ac:dyDescent="0.25">
      <c r="A820" s="44"/>
      <c r="B820" s="45"/>
      <c r="C820" s="45"/>
      <c r="D820" s="50"/>
      <c r="E820" s="50"/>
      <c r="F820" s="50"/>
      <c r="G820" s="50"/>
      <c r="H820" s="50"/>
      <c r="I820" s="45"/>
      <c r="J820" s="51" t="s">
        <v>1</v>
      </c>
      <c r="K820" s="52">
        <v>16000</v>
      </c>
      <c r="L820" s="53"/>
      <c r="M820" s="45"/>
      <c r="N820" s="88"/>
      <c r="O820" s="89" t="s">
        <v>50</v>
      </c>
      <c r="P820" s="89">
        <v>26</v>
      </c>
      <c r="Q820" s="89">
        <v>7</v>
      </c>
      <c r="R820" s="89">
        <v>0</v>
      </c>
      <c r="S820" s="90"/>
      <c r="T820" s="89" t="s">
        <v>50</v>
      </c>
      <c r="U820" s="91"/>
      <c r="V820" s="91">
        <v>500</v>
      </c>
      <c r="W820" s="91">
        <f>V820+U820</f>
        <v>500</v>
      </c>
      <c r="X820" s="91">
        <v>500</v>
      </c>
      <c r="Y820" s="91">
        <f>W820-X820</f>
        <v>0</v>
      </c>
      <c r="Z820" s="87"/>
      <c r="AA820" s="45"/>
    </row>
    <row r="821" spans="1:27" s="43" customFormat="1" ht="21" hidden="1" customHeight="1" x14ac:dyDescent="0.25">
      <c r="A821" s="44"/>
      <c r="B821" s="45" t="s">
        <v>0</v>
      </c>
      <c r="C821" s="55" t="s">
        <v>122</v>
      </c>
      <c r="D821" s="45"/>
      <c r="E821" s="45"/>
      <c r="F821" s="45"/>
      <c r="G821" s="45"/>
      <c r="H821" s="56"/>
      <c r="I821" s="50"/>
      <c r="J821" s="45"/>
      <c r="K821" s="45"/>
      <c r="L821" s="57"/>
      <c r="M821" s="42"/>
      <c r="N821" s="92"/>
      <c r="O821" s="89" t="s">
        <v>76</v>
      </c>
      <c r="P821" s="89">
        <v>26</v>
      </c>
      <c r="Q821" s="89">
        <v>3</v>
      </c>
      <c r="R821" s="89">
        <f>15-Q821</f>
        <v>12</v>
      </c>
      <c r="S821" s="93"/>
      <c r="T821" s="89" t="s">
        <v>76</v>
      </c>
      <c r="U821" s="162">
        <f>IF($J$1="January","",Y820)</f>
        <v>0</v>
      </c>
      <c r="V821" s="91">
        <f>35+500+1000</f>
        <v>1535</v>
      </c>
      <c r="W821" s="162">
        <f>IF(U821="","",U821+V821)</f>
        <v>1535</v>
      </c>
      <c r="X821" s="91">
        <v>1000</v>
      </c>
      <c r="Y821" s="162">
        <f>IF(W821="","",W821-X821)</f>
        <v>535</v>
      </c>
      <c r="Z821" s="94"/>
      <c r="AA821" s="42"/>
    </row>
    <row r="822" spans="1:27" s="43" customFormat="1" ht="21" hidden="1" customHeight="1" x14ac:dyDescent="0.25">
      <c r="A822" s="44"/>
      <c r="B822" s="59" t="s">
        <v>46</v>
      </c>
      <c r="C822" s="60"/>
      <c r="D822" s="45"/>
      <c r="E822" s="45"/>
      <c r="F822" s="366" t="s">
        <v>48</v>
      </c>
      <c r="G822" s="366"/>
      <c r="H822" s="45"/>
      <c r="I822" s="366" t="s">
        <v>49</v>
      </c>
      <c r="J822" s="366"/>
      <c r="K822" s="366"/>
      <c r="L822" s="61"/>
      <c r="M822" s="45"/>
      <c r="N822" s="88"/>
      <c r="O822" s="89" t="s">
        <v>51</v>
      </c>
      <c r="P822" s="89">
        <v>27</v>
      </c>
      <c r="Q822" s="89">
        <v>4</v>
      </c>
      <c r="R822" s="89">
        <f t="shared" ref="R822" si="157">IF(Q822="","",R821-Q822)</f>
        <v>8</v>
      </c>
      <c r="S822" s="93"/>
      <c r="T822" s="89" t="s">
        <v>51</v>
      </c>
      <c r="U822" s="162">
        <f>IF($J$1="February","",Y821)</f>
        <v>535</v>
      </c>
      <c r="V822" s="91"/>
      <c r="W822" s="162">
        <f t="shared" ref="W822:W831" si="158">IF(U822="","",U822+V822)</f>
        <v>535</v>
      </c>
      <c r="X822" s="91">
        <v>535</v>
      </c>
      <c r="Y822" s="162">
        <f t="shared" ref="Y822:Y831" si="159">IF(W822="","",W822-X822)</f>
        <v>0</v>
      </c>
      <c r="Z822" s="94"/>
      <c r="AA822" s="45"/>
    </row>
    <row r="823" spans="1:27" s="43" customFormat="1" ht="21" hidden="1" customHeight="1" x14ac:dyDescent="0.25">
      <c r="A823" s="44"/>
      <c r="B823" s="45"/>
      <c r="C823" s="45"/>
      <c r="D823" s="45"/>
      <c r="E823" s="45"/>
      <c r="F823" s="45"/>
      <c r="G823" s="45"/>
      <c r="H823" s="62"/>
      <c r="L823" s="49"/>
      <c r="M823" s="45"/>
      <c r="N823" s="88"/>
      <c r="O823" s="89" t="s">
        <v>52</v>
      </c>
      <c r="P823" s="89">
        <v>16</v>
      </c>
      <c r="Q823" s="89">
        <v>14</v>
      </c>
      <c r="R823" s="89">
        <v>0</v>
      </c>
      <c r="S823" s="93"/>
      <c r="T823" s="89" t="s">
        <v>52</v>
      </c>
      <c r="U823" s="162">
        <f>IF($J$1="March","",Y822)</f>
        <v>0</v>
      </c>
      <c r="V823" s="91"/>
      <c r="W823" s="162">
        <f t="shared" si="158"/>
        <v>0</v>
      </c>
      <c r="X823" s="91"/>
      <c r="Y823" s="162">
        <f t="shared" si="159"/>
        <v>0</v>
      </c>
      <c r="Z823" s="94"/>
      <c r="AA823" s="45"/>
    </row>
    <row r="824" spans="1:27" s="43" customFormat="1" ht="21" hidden="1" customHeight="1" x14ac:dyDescent="0.25">
      <c r="A824" s="44"/>
      <c r="B824" s="367" t="s">
        <v>47</v>
      </c>
      <c r="C824" s="368"/>
      <c r="D824" s="45"/>
      <c r="E824" s="45"/>
      <c r="F824" s="63" t="s">
        <v>69</v>
      </c>
      <c r="G824" s="58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62"/>
      <c r="I824" s="64">
        <f>IF(C828&gt;0,$K$2,C826)</f>
        <v>0</v>
      </c>
      <c r="J824" s="65" t="s">
        <v>66</v>
      </c>
      <c r="K824" s="66">
        <f>K820/$K$2*I824</f>
        <v>0</v>
      </c>
      <c r="L824" s="67"/>
      <c r="M824" s="45"/>
      <c r="N824" s="88"/>
      <c r="O824" s="89" t="s">
        <v>53</v>
      </c>
      <c r="P824" s="89">
        <v>27</v>
      </c>
      <c r="Q824" s="89">
        <v>4</v>
      </c>
      <c r="R824" s="89">
        <v>0</v>
      </c>
      <c r="S824" s="93"/>
      <c r="T824" s="89" t="s">
        <v>53</v>
      </c>
      <c r="U824" s="162">
        <f>IF($J$1="April","",Y823)</f>
        <v>0</v>
      </c>
      <c r="V824" s="91"/>
      <c r="W824" s="162">
        <f t="shared" si="158"/>
        <v>0</v>
      </c>
      <c r="X824" s="91"/>
      <c r="Y824" s="162">
        <f t="shared" si="159"/>
        <v>0</v>
      </c>
      <c r="Z824" s="94"/>
      <c r="AA824" s="45"/>
    </row>
    <row r="825" spans="1:27" s="43" customFormat="1" ht="21" hidden="1" customHeight="1" x14ac:dyDescent="0.25">
      <c r="A825" s="44"/>
      <c r="B825" s="54"/>
      <c r="C825" s="54"/>
      <c r="D825" s="45"/>
      <c r="E825" s="45"/>
      <c r="F825" s="63" t="s">
        <v>23</v>
      </c>
      <c r="G825" s="58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62"/>
      <c r="I825" s="108"/>
      <c r="J825" s="65" t="s">
        <v>67</v>
      </c>
      <c r="K825" s="68">
        <f>K820/$K$2/8*I825</f>
        <v>0</v>
      </c>
      <c r="L825" s="69"/>
      <c r="M825" s="45"/>
      <c r="N825" s="88"/>
      <c r="O825" s="89" t="s">
        <v>54</v>
      </c>
      <c r="P825" s="89">
        <v>24</v>
      </c>
      <c r="Q825" s="89">
        <v>6</v>
      </c>
      <c r="R825" s="89">
        <v>0</v>
      </c>
      <c r="S825" s="93"/>
      <c r="T825" s="89" t="s">
        <v>54</v>
      </c>
      <c r="U825" s="162">
        <f>IF($J$1="May","",Y824)</f>
        <v>0</v>
      </c>
      <c r="V825" s="91">
        <v>2000</v>
      </c>
      <c r="W825" s="162">
        <f t="shared" si="158"/>
        <v>2000</v>
      </c>
      <c r="X825" s="91">
        <v>2000</v>
      </c>
      <c r="Y825" s="162">
        <f t="shared" si="159"/>
        <v>0</v>
      </c>
      <c r="Z825" s="94"/>
      <c r="AA825" s="45"/>
    </row>
    <row r="826" spans="1:27" s="43" customFormat="1" ht="21" hidden="1" customHeight="1" x14ac:dyDescent="0.25">
      <c r="A826" s="44"/>
      <c r="B826" s="63" t="s">
        <v>7</v>
      </c>
      <c r="C826" s="54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0</v>
      </c>
      <c r="D826" s="45"/>
      <c r="E826" s="45"/>
      <c r="F826" s="63" t="s">
        <v>70</v>
      </c>
      <c r="G826" s="58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62"/>
      <c r="I826" s="361" t="s">
        <v>74</v>
      </c>
      <c r="J826" s="362"/>
      <c r="K826" s="68">
        <f>K824+K825</f>
        <v>0</v>
      </c>
      <c r="L826" s="69"/>
      <c r="M826" s="45"/>
      <c r="N826" s="88"/>
      <c r="O826" s="89" t="s">
        <v>55</v>
      </c>
      <c r="P826" s="89">
        <v>5</v>
      </c>
      <c r="Q826" s="89">
        <v>26</v>
      </c>
      <c r="R826" s="89">
        <v>0</v>
      </c>
      <c r="S826" s="93"/>
      <c r="T826" s="89" t="s">
        <v>55</v>
      </c>
      <c r="U826" s="162">
        <f>IF($J$1="June","",Y825)</f>
        <v>0</v>
      </c>
      <c r="V826" s="91"/>
      <c r="W826" s="162">
        <f t="shared" si="158"/>
        <v>0</v>
      </c>
      <c r="X826" s="91"/>
      <c r="Y826" s="162">
        <f t="shared" si="159"/>
        <v>0</v>
      </c>
      <c r="Z826" s="94"/>
      <c r="AA826" s="45"/>
    </row>
    <row r="827" spans="1:27" s="43" customFormat="1" ht="21" hidden="1" customHeight="1" x14ac:dyDescent="0.25">
      <c r="A827" s="44"/>
      <c r="B827" s="63" t="s">
        <v>6</v>
      </c>
      <c r="C827" s="54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45"/>
      <c r="E827" s="45"/>
      <c r="F827" s="63" t="s">
        <v>24</v>
      </c>
      <c r="G827" s="58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62"/>
      <c r="I827" s="361" t="s">
        <v>75</v>
      </c>
      <c r="J827" s="362"/>
      <c r="K827" s="58">
        <f>G827</f>
        <v>0</v>
      </c>
      <c r="L827" s="70"/>
      <c r="M827" s="45"/>
      <c r="N827" s="88"/>
      <c r="O827" s="89" t="s">
        <v>56</v>
      </c>
      <c r="P827" s="89">
        <v>21</v>
      </c>
      <c r="Q827" s="89">
        <v>10</v>
      </c>
      <c r="R827" s="89">
        <v>0</v>
      </c>
      <c r="S827" s="93"/>
      <c r="T827" s="89" t="s">
        <v>56</v>
      </c>
      <c r="U827" s="162">
        <f>IF($J$1="July","",Y826)</f>
        <v>0</v>
      </c>
      <c r="V827" s="91"/>
      <c r="W827" s="162">
        <f t="shared" si="158"/>
        <v>0</v>
      </c>
      <c r="X827" s="91"/>
      <c r="Y827" s="162">
        <f t="shared" si="159"/>
        <v>0</v>
      </c>
      <c r="Z827" s="94"/>
      <c r="AA827" s="45"/>
    </row>
    <row r="828" spans="1:27" s="43" customFormat="1" ht="21" hidden="1" customHeight="1" x14ac:dyDescent="0.25">
      <c r="A828" s="44"/>
      <c r="B828" s="71" t="s">
        <v>73</v>
      </c>
      <c r="C828" s="5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45"/>
      <c r="E828" s="45"/>
      <c r="F828" s="63" t="s">
        <v>72</v>
      </c>
      <c r="G828" s="5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45"/>
      <c r="I828" s="363" t="s">
        <v>68</v>
      </c>
      <c r="J828" s="364"/>
      <c r="K828" s="72">
        <f>K826-K827</f>
        <v>0</v>
      </c>
      <c r="L828" s="73"/>
      <c r="M828" s="45"/>
      <c r="N828" s="88"/>
      <c r="O828" s="89" t="s">
        <v>61</v>
      </c>
      <c r="P828" s="89"/>
      <c r="Q828" s="89"/>
      <c r="R828" s="89">
        <f>R827-Q828</f>
        <v>0</v>
      </c>
      <c r="S828" s="93"/>
      <c r="T828" s="89" t="s">
        <v>61</v>
      </c>
      <c r="U828" s="162">
        <f>IF($J$1="August","",Y827)</f>
        <v>0</v>
      </c>
      <c r="V828" s="91"/>
      <c r="W828" s="162">
        <f t="shared" si="158"/>
        <v>0</v>
      </c>
      <c r="X828" s="91"/>
      <c r="Y828" s="162">
        <f t="shared" si="159"/>
        <v>0</v>
      </c>
      <c r="Z828" s="94"/>
      <c r="AA828" s="45"/>
    </row>
    <row r="829" spans="1:27" s="43" customFormat="1" ht="21" hidden="1" customHeight="1" x14ac:dyDescent="0.25">
      <c r="A829" s="44"/>
      <c r="B829" s="45"/>
      <c r="C829" s="45"/>
      <c r="D829" s="45"/>
      <c r="E829" s="45"/>
      <c r="F829" s="45"/>
      <c r="G829" s="45"/>
      <c r="H829" s="45"/>
      <c r="I829" s="45"/>
      <c r="J829" s="62"/>
      <c r="K829" s="177"/>
      <c r="L829" s="61"/>
      <c r="M829" s="45"/>
      <c r="N829" s="88"/>
      <c r="O829" s="89" t="s">
        <v>57</v>
      </c>
      <c r="P829" s="89"/>
      <c r="Q829" s="89"/>
      <c r="R829" s="89">
        <f>R828-Q829</f>
        <v>0</v>
      </c>
      <c r="S829" s="93"/>
      <c r="T829" s="89" t="s">
        <v>57</v>
      </c>
      <c r="U829" s="162">
        <f>IF($J$1="September","",Y828)</f>
        <v>0</v>
      </c>
      <c r="V829" s="91"/>
      <c r="W829" s="162">
        <f t="shared" si="158"/>
        <v>0</v>
      </c>
      <c r="X829" s="91"/>
      <c r="Y829" s="162">
        <f t="shared" si="159"/>
        <v>0</v>
      </c>
      <c r="Z829" s="94"/>
      <c r="AA829" s="45"/>
    </row>
    <row r="830" spans="1:27" s="43" customFormat="1" ht="21" hidden="1" customHeight="1" x14ac:dyDescent="0.25">
      <c r="A830" s="44"/>
      <c r="B830" s="365" t="s">
        <v>103</v>
      </c>
      <c r="C830" s="365"/>
      <c r="D830" s="365"/>
      <c r="E830" s="365"/>
      <c r="F830" s="365"/>
      <c r="G830" s="365"/>
      <c r="H830" s="365"/>
      <c r="I830" s="365"/>
      <c r="J830" s="365"/>
      <c r="K830" s="365"/>
      <c r="L830" s="61"/>
      <c r="M830" s="45"/>
      <c r="N830" s="88"/>
      <c r="O830" s="89" t="s">
        <v>62</v>
      </c>
      <c r="P830" s="89"/>
      <c r="Q830" s="89"/>
      <c r="R830" s="89">
        <f>R829-Q830</f>
        <v>0</v>
      </c>
      <c r="S830" s="93"/>
      <c r="T830" s="89" t="s">
        <v>62</v>
      </c>
      <c r="U830" s="162" t="str">
        <f>IF($J$1="October","",Y829)</f>
        <v/>
      </c>
      <c r="V830" s="91"/>
      <c r="W830" s="162" t="str">
        <f t="shared" si="158"/>
        <v/>
      </c>
      <c r="X830" s="91"/>
      <c r="Y830" s="162" t="str">
        <f t="shared" si="159"/>
        <v/>
      </c>
      <c r="Z830" s="94"/>
      <c r="AA830" s="45"/>
    </row>
    <row r="831" spans="1:27" s="43" customFormat="1" ht="21" hidden="1" customHeight="1" x14ac:dyDescent="0.25">
      <c r="A831" s="44"/>
      <c r="B831" s="365"/>
      <c r="C831" s="365"/>
      <c r="D831" s="365"/>
      <c r="E831" s="365"/>
      <c r="F831" s="365"/>
      <c r="G831" s="365"/>
      <c r="H831" s="365"/>
      <c r="I831" s="365"/>
      <c r="J831" s="365"/>
      <c r="K831" s="365"/>
      <c r="L831" s="61"/>
      <c r="M831" s="45"/>
      <c r="N831" s="88"/>
      <c r="O831" s="89" t="s">
        <v>63</v>
      </c>
      <c r="P831" s="89"/>
      <c r="Q831" s="89"/>
      <c r="R831" s="89">
        <f>R830-Q831</f>
        <v>0</v>
      </c>
      <c r="S831" s="93"/>
      <c r="T831" s="89" t="s">
        <v>63</v>
      </c>
      <c r="U831" s="162" t="str">
        <f>IF($J$1="November","",Y830)</f>
        <v/>
      </c>
      <c r="V831" s="91"/>
      <c r="W831" s="162" t="str">
        <f t="shared" si="158"/>
        <v/>
      </c>
      <c r="X831" s="91"/>
      <c r="Y831" s="162" t="str">
        <f t="shared" si="159"/>
        <v/>
      </c>
      <c r="Z831" s="94"/>
      <c r="AA831" s="45"/>
    </row>
    <row r="832" spans="1:27" s="43" customFormat="1" ht="21" hidden="1" customHeight="1" thickBot="1" x14ac:dyDescent="0.3">
      <c r="A832" s="74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6"/>
      <c r="N832" s="95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7"/>
    </row>
    <row r="833" spans="1:27" s="43" customFormat="1" ht="21" customHeight="1" thickBot="1" x14ac:dyDescent="0.3"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7" s="43" customFormat="1" ht="21" customHeight="1" x14ac:dyDescent="0.25">
      <c r="A834" s="377" t="s">
        <v>45</v>
      </c>
      <c r="B834" s="378"/>
      <c r="C834" s="378"/>
      <c r="D834" s="378"/>
      <c r="E834" s="378"/>
      <c r="F834" s="378"/>
      <c r="G834" s="378"/>
      <c r="H834" s="378"/>
      <c r="I834" s="378"/>
      <c r="J834" s="378"/>
      <c r="K834" s="378"/>
      <c r="L834" s="379"/>
      <c r="M834" s="42"/>
      <c r="N834" s="81"/>
      <c r="O834" s="372" t="s">
        <v>47</v>
      </c>
      <c r="P834" s="373"/>
      <c r="Q834" s="373"/>
      <c r="R834" s="374"/>
      <c r="S834" s="82"/>
      <c r="T834" s="372" t="s">
        <v>48</v>
      </c>
      <c r="U834" s="373"/>
      <c r="V834" s="373"/>
      <c r="W834" s="373"/>
      <c r="X834" s="373"/>
      <c r="Y834" s="374"/>
      <c r="Z834" s="83"/>
      <c r="AA834" s="42"/>
    </row>
    <row r="835" spans="1:27" s="43" customFormat="1" ht="21" customHeight="1" x14ac:dyDescent="0.25">
      <c r="A835" s="44"/>
      <c r="B835" s="45"/>
      <c r="C835" s="375" t="s">
        <v>101</v>
      </c>
      <c r="D835" s="375"/>
      <c r="E835" s="375"/>
      <c r="F835" s="375"/>
      <c r="G835" s="46" t="str">
        <f>$J$1</f>
        <v>October</v>
      </c>
      <c r="H835" s="376">
        <f>$K$1</f>
        <v>2020</v>
      </c>
      <c r="I835" s="376"/>
      <c r="J835" s="45"/>
      <c r="K835" s="47"/>
      <c r="L835" s="48"/>
      <c r="M835" s="47"/>
      <c r="N835" s="84"/>
      <c r="O835" s="85" t="s">
        <v>58</v>
      </c>
      <c r="P835" s="85" t="s">
        <v>7</v>
      </c>
      <c r="Q835" s="85" t="s">
        <v>6</v>
      </c>
      <c r="R835" s="85" t="s">
        <v>59</v>
      </c>
      <c r="S835" s="86"/>
      <c r="T835" s="85" t="s">
        <v>58</v>
      </c>
      <c r="U835" s="85" t="s">
        <v>60</v>
      </c>
      <c r="V835" s="85" t="s">
        <v>23</v>
      </c>
      <c r="W835" s="85" t="s">
        <v>22</v>
      </c>
      <c r="X835" s="85" t="s">
        <v>24</v>
      </c>
      <c r="Y835" s="85" t="s">
        <v>64</v>
      </c>
      <c r="Z835" s="87"/>
      <c r="AA835" s="47"/>
    </row>
    <row r="836" spans="1:27" s="43" customFormat="1" ht="21" customHeight="1" x14ac:dyDescent="0.25">
      <c r="A836" s="44"/>
      <c r="B836" s="45"/>
      <c r="C836" s="45"/>
      <c r="D836" s="50"/>
      <c r="E836" s="50"/>
      <c r="F836" s="50"/>
      <c r="G836" s="50"/>
      <c r="H836" s="50"/>
      <c r="I836" s="45"/>
      <c r="J836" s="51" t="s">
        <v>1</v>
      </c>
      <c r="K836" s="52">
        <v>25000</v>
      </c>
      <c r="L836" s="53"/>
      <c r="M836" s="45"/>
      <c r="N836" s="88"/>
      <c r="O836" s="89" t="s">
        <v>50</v>
      </c>
      <c r="P836" s="89">
        <v>29</v>
      </c>
      <c r="Q836" s="89">
        <v>2</v>
      </c>
      <c r="R836" s="89">
        <f>15-Q836</f>
        <v>13</v>
      </c>
      <c r="S836" s="90"/>
      <c r="T836" s="89" t="s">
        <v>50</v>
      </c>
      <c r="U836" s="91">
        <v>30000</v>
      </c>
      <c r="V836" s="91"/>
      <c r="W836" s="91">
        <f>V836+U836</f>
        <v>30000</v>
      </c>
      <c r="X836" s="91"/>
      <c r="Y836" s="91">
        <f>W836-X836</f>
        <v>30000</v>
      </c>
      <c r="Z836" s="87"/>
      <c r="AA836" s="45"/>
    </row>
    <row r="837" spans="1:27" s="43" customFormat="1" ht="21" customHeight="1" x14ac:dyDescent="0.25">
      <c r="A837" s="44"/>
      <c r="B837" s="45" t="s">
        <v>0</v>
      </c>
      <c r="C837" s="55" t="s">
        <v>90</v>
      </c>
      <c r="D837" s="45"/>
      <c r="E837" s="45"/>
      <c r="F837" s="45"/>
      <c r="G837" s="45"/>
      <c r="H837" s="56"/>
      <c r="I837" s="50"/>
      <c r="J837" s="45"/>
      <c r="K837" s="45"/>
      <c r="L837" s="57"/>
      <c r="M837" s="42"/>
      <c r="N837" s="92"/>
      <c r="O837" s="89" t="s">
        <v>76</v>
      </c>
      <c r="P837" s="89">
        <v>29</v>
      </c>
      <c r="Q837" s="89">
        <v>0</v>
      </c>
      <c r="R837" s="89">
        <f>IF(Q837="","",R836-Q837)</f>
        <v>13</v>
      </c>
      <c r="S837" s="93"/>
      <c r="T837" s="89" t="s">
        <v>76</v>
      </c>
      <c r="U837" s="162">
        <f>IF($J$1="January","",Y836)</f>
        <v>30000</v>
      </c>
      <c r="V837" s="91"/>
      <c r="W837" s="162">
        <f>IF(U837="","",U837+V837)</f>
        <v>30000</v>
      </c>
      <c r="X837" s="91">
        <v>3000</v>
      </c>
      <c r="Y837" s="162">
        <f>IF(W837="","",W837-X837)</f>
        <v>27000</v>
      </c>
      <c r="Z837" s="94"/>
      <c r="AA837" s="42"/>
    </row>
    <row r="838" spans="1:27" s="43" customFormat="1" ht="21" customHeight="1" x14ac:dyDescent="0.25">
      <c r="A838" s="44"/>
      <c r="B838" s="59" t="s">
        <v>46</v>
      </c>
      <c r="C838" s="60"/>
      <c r="D838" s="45"/>
      <c r="E838" s="45"/>
      <c r="F838" s="366" t="s">
        <v>48</v>
      </c>
      <c r="G838" s="366"/>
      <c r="H838" s="45"/>
      <c r="I838" s="366" t="s">
        <v>49</v>
      </c>
      <c r="J838" s="366"/>
      <c r="K838" s="366"/>
      <c r="L838" s="61"/>
      <c r="M838" s="45"/>
      <c r="N838" s="88"/>
      <c r="O838" s="89" t="s">
        <v>51</v>
      </c>
      <c r="P838" s="89">
        <v>29</v>
      </c>
      <c r="Q838" s="89">
        <v>2</v>
      </c>
      <c r="R838" s="89">
        <f t="shared" ref="R838:R847" si="160">IF(Q838="","",R837-Q838)</f>
        <v>11</v>
      </c>
      <c r="S838" s="93"/>
      <c r="T838" s="89" t="s">
        <v>51</v>
      </c>
      <c r="U838" s="162">
        <f>IF($J$1="February","",Y837)</f>
        <v>27000</v>
      </c>
      <c r="V838" s="91"/>
      <c r="W838" s="162">
        <f t="shared" ref="W838:W847" si="161">IF(U838="","",U838+V838)</f>
        <v>27000</v>
      </c>
      <c r="X838" s="91">
        <v>2000</v>
      </c>
      <c r="Y838" s="162">
        <f t="shared" ref="Y838:Y847" si="162">IF(W838="","",W838-X838)</f>
        <v>25000</v>
      </c>
      <c r="Z838" s="94"/>
      <c r="AA838" s="45"/>
    </row>
    <row r="839" spans="1:27" s="43" customFormat="1" ht="21" customHeight="1" x14ac:dyDescent="0.25">
      <c r="A839" s="44"/>
      <c r="B839" s="45"/>
      <c r="C839" s="45"/>
      <c r="D839" s="45"/>
      <c r="E839" s="45"/>
      <c r="F839" s="45"/>
      <c r="G839" s="45"/>
      <c r="H839" s="62"/>
      <c r="L839" s="49"/>
      <c r="M839" s="45"/>
      <c r="N839" s="88"/>
      <c r="O839" s="89" t="s">
        <v>52</v>
      </c>
      <c r="P839" s="89">
        <v>30</v>
      </c>
      <c r="Q839" s="89">
        <v>0</v>
      </c>
      <c r="R839" s="89">
        <f t="shared" si="160"/>
        <v>11</v>
      </c>
      <c r="S839" s="93"/>
      <c r="T839" s="89" t="s">
        <v>52</v>
      </c>
      <c r="U839" s="162">
        <f>IF($J$1="March","",Y838)</f>
        <v>25000</v>
      </c>
      <c r="V839" s="91"/>
      <c r="W839" s="162">
        <f t="shared" si="161"/>
        <v>25000</v>
      </c>
      <c r="X839" s="91">
        <v>2000</v>
      </c>
      <c r="Y839" s="162">
        <f t="shared" si="162"/>
        <v>23000</v>
      </c>
      <c r="Z839" s="94"/>
      <c r="AA839" s="45"/>
    </row>
    <row r="840" spans="1:27" s="43" customFormat="1" ht="21" customHeight="1" x14ac:dyDescent="0.25">
      <c r="A840" s="44"/>
      <c r="B840" s="367" t="s">
        <v>47</v>
      </c>
      <c r="C840" s="368"/>
      <c r="D840" s="45"/>
      <c r="E840" s="45"/>
      <c r="F840" s="63" t="s">
        <v>69</v>
      </c>
      <c r="G840" s="58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20000</v>
      </c>
      <c r="H840" s="62"/>
      <c r="I840" s="64">
        <f>IF(C844&gt;0,$K$2,C842)</f>
        <v>31</v>
      </c>
      <c r="J840" s="65" t="s">
        <v>66</v>
      </c>
      <c r="K840" s="66">
        <f>K836/$K$2*I840</f>
        <v>25000</v>
      </c>
      <c r="L840" s="67"/>
      <c r="M840" s="45"/>
      <c r="N840" s="88"/>
      <c r="O840" s="89" t="s">
        <v>53</v>
      </c>
      <c r="P840" s="89">
        <v>30</v>
      </c>
      <c r="Q840" s="89">
        <v>1</v>
      </c>
      <c r="R840" s="89">
        <f t="shared" si="160"/>
        <v>10</v>
      </c>
      <c r="S840" s="93"/>
      <c r="T840" s="89" t="s">
        <v>53</v>
      </c>
      <c r="U840" s="162">
        <f>IF($J$1="April","",Y839)</f>
        <v>23000</v>
      </c>
      <c r="V840" s="91"/>
      <c r="W840" s="162">
        <f t="shared" si="161"/>
        <v>23000</v>
      </c>
      <c r="X840" s="91">
        <v>2000</v>
      </c>
      <c r="Y840" s="162">
        <f t="shared" si="162"/>
        <v>21000</v>
      </c>
      <c r="Z840" s="94"/>
      <c r="AA840" s="45"/>
    </row>
    <row r="841" spans="1:27" s="43" customFormat="1" ht="21" customHeight="1" x14ac:dyDescent="0.25">
      <c r="A841" s="44"/>
      <c r="B841" s="54"/>
      <c r="C841" s="54"/>
      <c r="D841" s="45"/>
      <c r="E841" s="45"/>
      <c r="F841" s="63" t="s">
        <v>23</v>
      </c>
      <c r="G841" s="58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62"/>
      <c r="I841" s="108">
        <v>20</v>
      </c>
      <c r="J841" s="65" t="s">
        <v>67</v>
      </c>
      <c r="K841" s="68">
        <f>K836/$K$2/8*I841</f>
        <v>2016.1290322580646</v>
      </c>
      <c r="L841" s="69"/>
      <c r="M841" s="45"/>
      <c r="N841" s="88"/>
      <c r="O841" s="89" t="s">
        <v>54</v>
      </c>
      <c r="P841" s="89">
        <v>24</v>
      </c>
      <c r="Q841" s="89">
        <v>6</v>
      </c>
      <c r="R841" s="89">
        <f t="shared" si="160"/>
        <v>4</v>
      </c>
      <c r="S841" s="93"/>
      <c r="T841" s="89" t="s">
        <v>54</v>
      </c>
      <c r="U841" s="162">
        <f>IF($J$1="May","",Y840)</f>
        <v>21000</v>
      </c>
      <c r="V841" s="91">
        <v>5000</v>
      </c>
      <c r="W841" s="162">
        <f t="shared" si="161"/>
        <v>26000</v>
      </c>
      <c r="X841" s="91">
        <v>2000</v>
      </c>
      <c r="Y841" s="162">
        <f t="shared" si="162"/>
        <v>24000</v>
      </c>
      <c r="Z841" s="94"/>
      <c r="AA841" s="45"/>
    </row>
    <row r="842" spans="1:27" s="43" customFormat="1" ht="21" customHeight="1" x14ac:dyDescent="0.25">
      <c r="A842" s="44"/>
      <c r="B842" s="63" t="s">
        <v>7</v>
      </c>
      <c r="C842" s="54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31</v>
      </c>
      <c r="D842" s="45"/>
      <c r="E842" s="45"/>
      <c r="F842" s="63" t="s">
        <v>70</v>
      </c>
      <c r="G842" s="58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20000</v>
      </c>
      <c r="H842" s="62"/>
      <c r="I842" s="361" t="s">
        <v>74</v>
      </c>
      <c r="J842" s="362"/>
      <c r="K842" s="68">
        <f>K840+K841</f>
        <v>27016.129032258064</v>
      </c>
      <c r="L842" s="69"/>
      <c r="M842" s="45"/>
      <c r="N842" s="88"/>
      <c r="O842" s="89" t="s">
        <v>55</v>
      </c>
      <c r="P842" s="89">
        <v>29</v>
      </c>
      <c r="Q842" s="89">
        <v>2</v>
      </c>
      <c r="R842" s="89">
        <f t="shared" si="160"/>
        <v>2</v>
      </c>
      <c r="S842" s="93"/>
      <c r="T842" s="89" t="s">
        <v>55</v>
      </c>
      <c r="U842" s="162">
        <f>IF($J$1="June","",Y841)</f>
        <v>24000</v>
      </c>
      <c r="V842" s="91"/>
      <c r="W842" s="162">
        <f t="shared" si="161"/>
        <v>24000</v>
      </c>
      <c r="X842" s="91">
        <v>5000</v>
      </c>
      <c r="Y842" s="162">
        <f t="shared" si="162"/>
        <v>19000</v>
      </c>
      <c r="Z842" s="94"/>
      <c r="AA842" s="45"/>
    </row>
    <row r="843" spans="1:27" s="43" customFormat="1" ht="21" customHeight="1" x14ac:dyDescent="0.25">
      <c r="A843" s="44"/>
      <c r="B843" s="63" t="s">
        <v>6</v>
      </c>
      <c r="C843" s="54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45"/>
      <c r="E843" s="45"/>
      <c r="F843" s="63" t="s">
        <v>24</v>
      </c>
      <c r="G843" s="58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5000</v>
      </c>
      <c r="H843" s="62"/>
      <c r="I843" s="361" t="s">
        <v>75</v>
      </c>
      <c r="J843" s="362"/>
      <c r="K843" s="58">
        <f>G843</f>
        <v>5000</v>
      </c>
      <c r="L843" s="70"/>
      <c r="M843" s="45"/>
      <c r="N843" s="88"/>
      <c r="O843" s="89" t="s">
        <v>56</v>
      </c>
      <c r="P843" s="89">
        <v>30</v>
      </c>
      <c r="Q843" s="89">
        <v>1</v>
      </c>
      <c r="R843" s="89">
        <f t="shared" si="160"/>
        <v>1</v>
      </c>
      <c r="S843" s="93"/>
      <c r="T843" s="89" t="s">
        <v>56</v>
      </c>
      <c r="U843" s="162">
        <f>IF($J$1="July","",Y842)</f>
        <v>19000</v>
      </c>
      <c r="V843" s="91"/>
      <c r="W843" s="162">
        <f t="shared" si="161"/>
        <v>19000</v>
      </c>
      <c r="X843" s="91">
        <v>5000</v>
      </c>
      <c r="Y843" s="162">
        <f t="shared" si="162"/>
        <v>14000</v>
      </c>
      <c r="Z843" s="94"/>
      <c r="AA843" s="45"/>
    </row>
    <row r="844" spans="1:27" s="43" customFormat="1" ht="21" customHeight="1" x14ac:dyDescent="0.25">
      <c r="A844" s="44"/>
      <c r="B844" s="71" t="s">
        <v>73</v>
      </c>
      <c r="C844" s="54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</v>
      </c>
      <c r="D844" s="45"/>
      <c r="E844" s="45"/>
      <c r="F844" s="63" t="s">
        <v>72</v>
      </c>
      <c r="G844" s="5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15000</v>
      </c>
      <c r="H844" s="45"/>
      <c r="I844" s="363" t="s">
        <v>68</v>
      </c>
      <c r="J844" s="364"/>
      <c r="K844" s="72">
        <f>K842-K843</f>
        <v>22016.129032258064</v>
      </c>
      <c r="L844" s="73"/>
      <c r="M844" s="45"/>
      <c r="N844" s="88"/>
      <c r="O844" s="89" t="s">
        <v>61</v>
      </c>
      <c r="P844" s="89">
        <v>30</v>
      </c>
      <c r="Q844" s="89">
        <v>0</v>
      </c>
      <c r="R844" s="89">
        <f t="shared" si="160"/>
        <v>1</v>
      </c>
      <c r="S844" s="93"/>
      <c r="T844" s="89" t="s">
        <v>61</v>
      </c>
      <c r="U844" s="162">
        <f>IF($J$1="August","",Y843)</f>
        <v>14000</v>
      </c>
      <c r="V844" s="91">
        <v>10000</v>
      </c>
      <c r="W844" s="162">
        <f t="shared" si="161"/>
        <v>24000</v>
      </c>
      <c r="X844" s="91">
        <v>4000</v>
      </c>
      <c r="Y844" s="162">
        <f t="shared" si="162"/>
        <v>20000</v>
      </c>
      <c r="Z844" s="94"/>
      <c r="AA844" s="45"/>
    </row>
    <row r="845" spans="1:27" s="43" customFormat="1" ht="21" customHeight="1" x14ac:dyDescent="0.25">
      <c r="A845" s="44"/>
      <c r="B845" s="45"/>
      <c r="C845" s="45"/>
      <c r="D845" s="45"/>
      <c r="E845" s="45"/>
      <c r="F845" s="45"/>
      <c r="G845" s="45"/>
      <c r="H845" s="45"/>
      <c r="I845" s="419"/>
      <c r="J845" s="419"/>
      <c r="K845" s="45"/>
      <c r="L845" s="61"/>
      <c r="M845" s="45"/>
      <c r="N845" s="88"/>
      <c r="O845" s="89" t="s">
        <v>57</v>
      </c>
      <c r="P845" s="89">
        <v>31</v>
      </c>
      <c r="Q845" s="89">
        <v>0</v>
      </c>
      <c r="R845" s="89">
        <f t="shared" si="160"/>
        <v>1</v>
      </c>
      <c r="S845" s="93"/>
      <c r="T845" s="89" t="s">
        <v>57</v>
      </c>
      <c r="U845" s="162">
        <f>IF($J$1="September","",Y844)</f>
        <v>20000</v>
      </c>
      <c r="V845" s="91"/>
      <c r="W845" s="162">
        <f t="shared" si="161"/>
        <v>20000</v>
      </c>
      <c r="X845" s="91">
        <v>5000</v>
      </c>
      <c r="Y845" s="162">
        <f t="shared" si="162"/>
        <v>15000</v>
      </c>
      <c r="Z845" s="94"/>
      <c r="AA845" s="45"/>
    </row>
    <row r="846" spans="1:27" s="43" customFormat="1" ht="21" customHeight="1" x14ac:dyDescent="0.25">
      <c r="A846" s="44"/>
      <c r="B846" s="365" t="s">
        <v>103</v>
      </c>
      <c r="C846" s="365"/>
      <c r="D846" s="365"/>
      <c r="E846" s="365"/>
      <c r="F846" s="365"/>
      <c r="G846" s="365"/>
      <c r="H846" s="365"/>
      <c r="I846" s="365"/>
      <c r="J846" s="365"/>
      <c r="K846" s="365"/>
      <c r="L846" s="61"/>
      <c r="M846" s="45"/>
      <c r="N846" s="88"/>
      <c r="O846" s="89" t="s">
        <v>62</v>
      </c>
      <c r="P846" s="89"/>
      <c r="Q846" s="89"/>
      <c r="R846" s="89" t="str">
        <f t="shared" si="160"/>
        <v/>
      </c>
      <c r="S846" s="93"/>
      <c r="T846" s="89" t="s">
        <v>62</v>
      </c>
      <c r="U846" s="162" t="str">
        <f>IF($J$1="October","",Y845)</f>
        <v/>
      </c>
      <c r="V846" s="91"/>
      <c r="W846" s="162" t="str">
        <f t="shared" si="161"/>
        <v/>
      </c>
      <c r="X846" s="91"/>
      <c r="Y846" s="162" t="str">
        <f t="shared" si="162"/>
        <v/>
      </c>
      <c r="Z846" s="94"/>
      <c r="AA846" s="45"/>
    </row>
    <row r="847" spans="1:27" s="43" customFormat="1" ht="21" customHeight="1" x14ac:dyDescent="0.25">
      <c r="A847" s="44"/>
      <c r="B847" s="365"/>
      <c r="C847" s="365"/>
      <c r="D847" s="365"/>
      <c r="E847" s="365"/>
      <c r="F847" s="365"/>
      <c r="G847" s="365"/>
      <c r="H847" s="365"/>
      <c r="I847" s="365"/>
      <c r="J847" s="365"/>
      <c r="K847" s="365"/>
      <c r="L847" s="61"/>
      <c r="M847" s="45"/>
      <c r="N847" s="88"/>
      <c r="O847" s="89" t="s">
        <v>63</v>
      </c>
      <c r="P847" s="89"/>
      <c r="Q847" s="89"/>
      <c r="R847" s="89" t="str">
        <f t="shared" si="160"/>
        <v/>
      </c>
      <c r="S847" s="93"/>
      <c r="T847" s="89" t="s">
        <v>63</v>
      </c>
      <c r="U847" s="162" t="str">
        <f>IF($J$1="November","",Y846)</f>
        <v/>
      </c>
      <c r="V847" s="91"/>
      <c r="W847" s="162" t="str">
        <f t="shared" si="161"/>
        <v/>
      </c>
      <c r="X847" s="91"/>
      <c r="Y847" s="162" t="str">
        <f t="shared" si="162"/>
        <v/>
      </c>
      <c r="Z847" s="94"/>
      <c r="AA847" s="45"/>
    </row>
    <row r="848" spans="1:27" s="43" customFormat="1" ht="21" customHeight="1" thickBot="1" x14ac:dyDescent="0.3">
      <c r="A848" s="74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6"/>
      <c r="N848" s="95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7"/>
    </row>
    <row r="849" spans="1:27" s="43" customFormat="1" ht="21" customHeight="1" thickBot="1" x14ac:dyDescent="0.3"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7" s="43" customFormat="1" ht="21" hidden="1" customHeight="1" x14ac:dyDescent="0.25">
      <c r="A850" s="380" t="s">
        <v>45</v>
      </c>
      <c r="B850" s="381"/>
      <c r="C850" s="381"/>
      <c r="D850" s="381"/>
      <c r="E850" s="381"/>
      <c r="F850" s="381"/>
      <c r="G850" s="381"/>
      <c r="H850" s="381"/>
      <c r="I850" s="381"/>
      <c r="J850" s="381"/>
      <c r="K850" s="381"/>
      <c r="L850" s="382"/>
      <c r="M850" s="42"/>
      <c r="N850" s="81"/>
      <c r="O850" s="372" t="s">
        <v>47</v>
      </c>
      <c r="P850" s="373"/>
      <c r="Q850" s="373"/>
      <c r="R850" s="374"/>
      <c r="S850" s="82"/>
      <c r="T850" s="372" t="s">
        <v>48</v>
      </c>
      <c r="U850" s="373"/>
      <c r="V850" s="373"/>
      <c r="W850" s="373"/>
      <c r="X850" s="373"/>
      <c r="Y850" s="374"/>
      <c r="Z850" s="83"/>
      <c r="AA850" s="42"/>
    </row>
    <row r="851" spans="1:27" s="43" customFormat="1" ht="21" hidden="1" customHeight="1" x14ac:dyDescent="0.25">
      <c r="A851" s="44"/>
      <c r="B851" s="45"/>
      <c r="C851" s="375" t="s">
        <v>101</v>
      </c>
      <c r="D851" s="375"/>
      <c r="E851" s="375"/>
      <c r="F851" s="375"/>
      <c r="G851" s="46" t="str">
        <f>$J$1</f>
        <v>October</v>
      </c>
      <c r="H851" s="376">
        <f>$K$1</f>
        <v>2020</v>
      </c>
      <c r="I851" s="376"/>
      <c r="J851" s="45"/>
      <c r="K851" s="47"/>
      <c r="L851" s="48"/>
      <c r="M851" s="47"/>
      <c r="N851" s="84"/>
      <c r="O851" s="85" t="s">
        <v>58</v>
      </c>
      <c r="P851" s="85" t="s">
        <v>7</v>
      </c>
      <c r="Q851" s="85" t="s">
        <v>6</v>
      </c>
      <c r="R851" s="85" t="s">
        <v>59</v>
      </c>
      <c r="S851" s="86"/>
      <c r="T851" s="85" t="s">
        <v>58</v>
      </c>
      <c r="U851" s="85" t="s">
        <v>60</v>
      </c>
      <c r="V851" s="85" t="s">
        <v>23</v>
      </c>
      <c r="W851" s="85" t="s">
        <v>22</v>
      </c>
      <c r="X851" s="85" t="s">
        <v>24</v>
      </c>
      <c r="Y851" s="85" t="s">
        <v>64</v>
      </c>
      <c r="Z851" s="87"/>
      <c r="AA851" s="47"/>
    </row>
    <row r="852" spans="1:27" s="43" customFormat="1" ht="21" hidden="1" customHeight="1" x14ac:dyDescent="0.25">
      <c r="A852" s="44"/>
      <c r="B852" s="45"/>
      <c r="C852" s="45"/>
      <c r="D852" s="50"/>
      <c r="E852" s="50"/>
      <c r="F852" s="50"/>
      <c r="G852" s="50"/>
      <c r="H852" s="50"/>
      <c r="I852" s="45"/>
      <c r="J852" s="51" t="s">
        <v>1</v>
      </c>
      <c r="K852" s="52"/>
      <c r="L852" s="53"/>
      <c r="M852" s="45"/>
      <c r="N852" s="88"/>
      <c r="O852" s="89" t="s">
        <v>50</v>
      </c>
      <c r="P852" s="89"/>
      <c r="Q852" s="89"/>
      <c r="R852" s="89"/>
      <c r="S852" s="90"/>
      <c r="T852" s="89" t="s">
        <v>50</v>
      </c>
      <c r="U852" s="91"/>
      <c r="V852" s="91"/>
      <c r="W852" s="91">
        <f>V852+U852</f>
        <v>0</v>
      </c>
      <c r="X852" s="91"/>
      <c r="Y852" s="91">
        <f>W852-X852</f>
        <v>0</v>
      </c>
      <c r="Z852" s="87"/>
      <c r="AA852" s="45"/>
    </row>
    <row r="853" spans="1:27" s="43" customFormat="1" ht="21" hidden="1" customHeight="1" x14ac:dyDescent="0.25">
      <c r="A853" s="44"/>
      <c r="B853" s="45" t="s">
        <v>0</v>
      </c>
      <c r="C853" s="55"/>
      <c r="D853" s="45"/>
      <c r="E853" s="45"/>
      <c r="F853" s="45"/>
      <c r="G853" s="45"/>
      <c r="H853" s="56"/>
      <c r="I853" s="50"/>
      <c r="J853" s="45"/>
      <c r="K853" s="45"/>
      <c r="L853" s="57"/>
      <c r="M853" s="42"/>
      <c r="N853" s="92"/>
      <c r="O853" s="89" t="s">
        <v>76</v>
      </c>
      <c r="P853" s="89"/>
      <c r="Q853" s="89"/>
      <c r="R853" s="89" t="str">
        <f>IF(Q853="","",R852-Q853)</f>
        <v/>
      </c>
      <c r="S853" s="93"/>
      <c r="T853" s="89" t="s">
        <v>76</v>
      </c>
      <c r="U853" s="162">
        <f>Y852</f>
        <v>0</v>
      </c>
      <c r="V853" s="91"/>
      <c r="W853" s="162">
        <f>IF(U853="","",U853+V853)</f>
        <v>0</v>
      </c>
      <c r="X853" s="91"/>
      <c r="Y853" s="162">
        <f>IF(W853="","",W853-X853)</f>
        <v>0</v>
      </c>
      <c r="Z853" s="94"/>
      <c r="AA853" s="42"/>
    </row>
    <row r="854" spans="1:27" s="43" customFormat="1" ht="21" hidden="1" customHeight="1" x14ac:dyDescent="0.25">
      <c r="A854" s="44"/>
      <c r="B854" s="59" t="s">
        <v>46</v>
      </c>
      <c r="C854" s="60"/>
      <c r="D854" s="45"/>
      <c r="E854" s="45"/>
      <c r="F854" s="366" t="s">
        <v>48</v>
      </c>
      <c r="G854" s="366"/>
      <c r="H854" s="45"/>
      <c r="I854" s="366" t="s">
        <v>49</v>
      </c>
      <c r="J854" s="366"/>
      <c r="K854" s="366"/>
      <c r="L854" s="61"/>
      <c r="M854" s="45"/>
      <c r="N854" s="88"/>
      <c r="O854" s="89" t="s">
        <v>51</v>
      </c>
      <c r="P854" s="89"/>
      <c r="Q854" s="89"/>
      <c r="R854" s="89" t="str">
        <f t="shared" ref="R854:R863" si="163">IF(Q854="","",R853-Q854)</f>
        <v/>
      </c>
      <c r="S854" s="93"/>
      <c r="T854" s="89" t="s">
        <v>51</v>
      </c>
      <c r="U854" s="162">
        <f>IF($J$1="April",Y853,Y853)</f>
        <v>0</v>
      </c>
      <c r="V854" s="91"/>
      <c r="W854" s="162">
        <f t="shared" ref="W854:W863" si="164">IF(U854="","",U854+V854)</f>
        <v>0</v>
      </c>
      <c r="X854" s="91"/>
      <c r="Y854" s="162">
        <f t="shared" ref="Y854:Y863" si="165">IF(W854="","",W854-X854)</f>
        <v>0</v>
      </c>
      <c r="Z854" s="94"/>
      <c r="AA854" s="45"/>
    </row>
    <row r="855" spans="1:27" s="43" customFormat="1" ht="21" hidden="1" customHeight="1" x14ac:dyDescent="0.25">
      <c r="A855" s="44"/>
      <c r="B855" s="45"/>
      <c r="C855" s="45"/>
      <c r="D855" s="45"/>
      <c r="E855" s="45"/>
      <c r="F855" s="45"/>
      <c r="G855" s="45"/>
      <c r="H855" s="62"/>
      <c r="L855" s="49"/>
      <c r="M855" s="45"/>
      <c r="N855" s="88"/>
      <c r="O855" s="89" t="s">
        <v>52</v>
      </c>
      <c r="P855" s="89"/>
      <c r="Q855" s="89"/>
      <c r="R855" s="89" t="str">
        <f t="shared" si="163"/>
        <v/>
      </c>
      <c r="S855" s="93"/>
      <c r="T855" s="89" t="s">
        <v>52</v>
      </c>
      <c r="U855" s="162">
        <f>IF($J$1="April",Y854,Y854)</f>
        <v>0</v>
      </c>
      <c r="V855" s="91"/>
      <c r="W855" s="162">
        <f t="shared" si="164"/>
        <v>0</v>
      </c>
      <c r="X855" s="91"/>
      <c r="Y855" s="162">
        <f t="shared" si="165"/>
        <v>0</v>
      </c>
      <c r="Z855" s="94"/>
      <c r="AA855" s="45"/>
    </row>
    <row r="856" spans="1:27" s="43" customFormat="1" ht="21" hidden="1" customHeight="1" x14ac:dyDescent="0.25">
      <c r="A856" s="44"/>
      <c r="B856" s="367" t="s">
        <v>47</v>
      </c>
      <c r="C856" s="368"/>
      <c r="D856" s="45"/>
      <c r="E856" s="45"/>
      <c r="F856" s="63" t="s">
        <v>69</v>
      </c>
      <c r="G856" s="179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62"/>
      <c r="I856" s="64"/>
      <c r="J856" s="65" t="s">
        <v>66</v>
      </c>
      <c r="K856" s="66">
        <f>K852/$K$2*I856</f>
        <v>0</v>
      </c>
      <c r="L856" s="67"/>
      <c r="M856" s="45"/>
      <c r="N856" s="88"/>
      <c r="O856" s="89" t="s">
        <v>53</v>
      </c>
      <c r="P856" s="89"/>
      <c r="Q856" s="89"/>
      <c r="R856" s="89" t="str">
        <f t="shared" si="163"/>
        <v/>
      </c>
      <c r="S856" s="93"/>
      <c r="T856" s="89" t="s">
        <v>53</v>
      </c>
      <c r="U856" s="162">
        <f>IF($J$1="May",Y855,Y855)</f>
        <v>0</v>
      </c>
      <c r="V856" s="91"/>
      <c r="W856" s="162">
        <f t="shared" si="164"/>
        <v>0</v>
      </c>
      <c r="X856" s="91"/>
      <c r="Y856" s="162">
        <f t="shared" si="165"/>
        <v>0</v>
      </c>
      <c r="Z856" s="94"/>
      <c r="AA856" s="45"/>
    </row>
    <row r="857" spans="1:27" s="43" customFormat="1" ht="21" hidden="1" customHeight="1" x14ac:dyDescent="0.25">
      <c r="A857" s="44"/>
      <c r="B857" s="54"/>
      <c r="C857" s="54"/>
      <c r="D857" s="45"/>
      <c r="E857" s="45"/>
      <c r="F857" s="63" t="s">
        <v>23</v>
      </c>
      <c r="G857" s="179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62"/>
      <c r="I857" s="108"/>
      <c r="J857" s="65" t="s">
        <v>67</v>
      </c>
      <c r="K857" s="68">
        <f>K852/$K$2/8*I857</f>
        <v>0</v>
      </c>
      <c r="L857" s="69"/>
      <c r="M857" s="45"/>
      <c r="N857" s="88"/>
      <c r="O857" s="89" t="s">
        <v>54</v>
      </c>
      <c r="P857" s="89"/>
      <c r="Q857" s="89"/>
      <c r="R857" s="89" t="str">
        <f t="shared" si="163"/>
        <v/>
      </c>
      <c r="S857" s="93"/>
      <c r="T857" s="89" t="s">
        <v>54</v>
      </c>
      <c r="U857" s="162">
        <f>IF($J$1="May",Y856,Y856)</f>
        <v>0</v>
      </c>
      <c r="V857" s="91"/>
      <c r="W857" s="162">
        <f t="shared" si="164"/>
        <v>0</v>
      </c>
      <c r="X857" s="91"/>
      <c r="Y857" s="162">
        <f t="shared" si="165"/>
        <v>0</v>
      </c>
      <c r="Z857" s="94"/>
      <c r="AA857" s="45"/>
    </row>
    <row r="858" spans="1:27" s="43" customFormat="1" ht="21" hidden="1" customHeight="1" x14ac:dyDescent="0.25">
      <c r="A858" s="44"/>
      <c r="B858" s="63" t="s">
        <v>7</v>
      </c>
      <c r="C858" s="54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45"/>
      <c r="E858" s="45"/>
      <c r="F858" s="63" t="s">
        <v>70</v>
      </c>
      <c r="G858" s="179" t="str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/>
      </c>
      <c r="H858" s="62"/>
      <c r="I858" s="361" t="s">
        <v>74</v>
      </c>
      <c r="J858" s="362"/>
      <c r="K858" s="68">
        <f>K856+K857</f>
        <v>0</v>
      </c>
      <c r="L858" s="69"/>
      <c r="M858" s="45"/>
      <c r="N858" s="88"/>
      <c r="O858" s="89" t="s">
        <v>55</v>
      </c>
      <c r="P858" s="89"/>
      <c r="Q858" s="89"/>
      <c r="R858" s="89" t="str">
        <f t="shared" si="163"/>
        <v/>
      </c>
      <c r="S858" s="93"/>
      <c r="T858" s="89" t="s">
        <v>55</v>
      </c>
      <c r="U858" s="162">
        <f>Y857</f>
        <v>0</v>
      </c>
      <c r="V858" s="91"/>
      <c r="W858" s="162">
        <f t="shared" si="164"/>
        <v>0</v>
      </c>
      <c r="X858" s="91"/>
      <c r="Y858" s="162">
        <f t="shared" si="165"/>
        <v>0</v>
      </c>
      <c r="Z858" s="94"/>
      <c r="AA858" s="45"/>
    </row>
    <row r="859" spans="1:27" s="43" customFormat="1" ht="21" hidden="1" customHeight="1" x14ac:dyDescent="0.25">
      <c r="A859" s="44"/>
      <c r="B859" s="63" t="s">
        <v>6</v>
      </c>
      <c r="C859" s="54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45"/>
      <c r="E859" s="45"/>
      <c r="F859" s="63" t="s">
        <v>24</v>
      </c>
      <c r="G859" s="179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62"/>
      <c r="I859" s="361" t="s">
        <v>75</v>
      </c>
      <c r="J859" s="362"/>
      <c r="K859" s="58">
        <f>G859</f>
        <v>0</v>
      </c>
      <c r="L859" s="70"/>
      <c r="M859" s="45"/>
      <c r="N859" s="88"/>
      <c r="O859" s="89" t="s">
        <v>56</v>
      </c>
      <c r="P859" s="89"/>
      <c r="Q859" s="89"/>
      <c r="R859" s="89" t="str">
        <f t="shared" si="163"/>
        <v/>
      </c>
      <c r="S859" s="93"/>
      <c r="T859" s="89" t="s">
        <v>56</v>
      </c>
      <c r="U859" s="162">
        <f>Y858</f>
        <v>0</v>
      </c>
      <c r="V859" s="91"/>
      <c r="W859" s="162">
        <f t="shared" si="164"/>
        <v>0</v>
      </c>
      <c r="X859" s="91"/>
      <c r="Y859" s="162">
        <f t="shared" si="165"/>
        <v>0</v>
      </c>
      <c r="Z859" s="94"/>
      <c r="AA859" s="45"/>
    </row>
    <row r="860" spans="1:27" s="43" customFormat="1" ht="21" hidden="1" customHeight="1" x14ac:dyDescent="0.25">
      <c r="A860" s="44"/>
      <c r="B860" s="71" t="s">
        <v>73</v>
      </c>
      <c r="C860" s="54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45"/>
      <c r="E860" s="45"/>
      <c r="F860" s="63" t="s">
        <v>72</v>
      </c>
      <c r="G860" s="179" t="str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/>
      </c>
      <c r="H860" s="45"/>
      <c r="I860" s="363" t="s">
        <v>68</v>
      </c>
      <c r="J860" s="364"/>
      <c r="K860" s="72">
        <f>K858-K859</f>
        <v>0</v>
      </c>
      <c r="L860" s="73"/>
      <c r="M860" s="45"/>
      <c r="N860" s="88"/>
      <c r="O860" s="89" t="s">
        <v>61</v>
      </c>
      <c r="P860" s="89"/>
      <c r="Q860" s="89"/>
      <c r="R860" s="89" t="str">
        <f t="shared" si="163"/>
        <v/>
      </c>
      <c r="S860" s="93"/>
      <c r="T860" s="89" t="s">
        <v>61</v>
      </c>
      <c r="U860" s="162">
        <f>Y859</f>
        <v>0</v>
      </c>
      <c r="V860" s="91"/>
      <c r="W860" s="162">
        <f t="shared" si="164"/>
        <v>0</v>
      </c>
      <c r="X860" s="91"/>
      <c r="Y860" s="162">
        <f t="shared" si="165"/>
        <v>0</v>
      </c>
      <c r="Z860" s="94"/>
      <c r="AA860" s="45"/>
    </row>
    <row r="861" spans="1:27" s="43" customFormat="1" ht="21" hidden="1" customHeight="1" x14ac:dyDescent="0.25">
      <c r="A861" s="44"/>
      <c r="B861" s="45"/>
      <c r="C861" s="45"/>
      <c r="D861" s="45"/>
      <c r="E861" s="45"/>
      <c r="F861" s="45"/>
      <c r="G861" s="45"/>
      <c r="H861" s="45"/>
      <c r="I861" s="181"/>
      <c r="J861" s="45"/>
      <c r="K861" s="177"/>
      <c r="L861" s="61"/>
      <c r="M861" s="45"/>
      <c r="N861" s="88"/>
      <c r="O861" s="89" t="s">
        <v>57</v>
      </c>
      <c r="P861" s="89"/>
      <c r="Q861" s="89"/>
      <c r="R861" s="89" t="str">
        <f t="shared" si="163"/>
        <v/>
      </c>
      <c r="S861" s="93"/>
      <c r="T861" s="89" t="s">
        <v>57</v>
      </c>
      <c r="U861" s="162"/>
      <c r="V861" s="91"/>
      <c r="W861" s="162" t="str">
        <f t="shared" si="164"/>
        <v/>
      </c>
      <c r="X861" s="91"/>
      <c r="Y861" s="162" t="str">
        <f t="shared" si="165"/>
        <v/>
      </c>
      <c r="Z861" s="94"/>
      <c r="AA861" s="45"/>
    </row>
    <row r="862" spans="1:27" s="43" customFormat="1" ht="21" hidden="1" customHeight="1" x14ac:dyDescent="0.25">
      <c r="A862" s="44"/>
      <c r="B862" s="365"/>
      <c r="C862" s="365"/>
      <c r="D862" s="365"/>
      <c r="E862" s="365"/>
      <c r="F862" s="365"/>
      <c r="G862" s="365"/>
      <c r="H862" s="365"/>
      <c r="I862" s="365"/>
      <c r="J862" s="365"/>
      <c r="K862" s="365"/>
      <c r="L862" s="61"/>
      <c r="M862" s="45"/>
      <c r="N862" s="88"/>
      <c r="O862" s="89" t="s">
        <v>62</v>
      </c>
      <c r="P862" s="89"/>
      <c r="Q862" s="89"/>
      <c r="R862" s="89" t="str">
        <f t="shared" si="163"/>
        <v/>
      </c>
      <c r="S862" s="93"/>
      <c r="T862" s="89" t="s">
        <v>62</v>
      </c>
      <c r="U862" s="162"/>
      <c r="V862" s="91"/>
      <c r="W862" s="162" t="str">
        <f t="shared" si="164"/>
        <v/>
      </c>
      <c r="X862" s="91"/>
      <c r="Y862" s="162" t="str">
        <f t="shared" si="165"/>
        <v/>
      </c>
      <c r="Z862" s="94"/>
      <c r="AA862" s="45"/>
    </row>
    <row r="863" spans="1:27" s="43" customFormat="1" ht="21" hidden="1" customHeight="1" x14ac:dyDescent="0.25">
      <c r="A863" s="44"/>
      <c r="B863" s="365"/>
      <c r="C863" s="365"/>
      <c r="D863" s="365"/>
      <c r="E863" s="365"/>
      <c r="F863" s="365"/>
      <c r="G863" s="365"/>
      <c r="H863" s="365"/>
      <c r="I863" s="365"/>
      <c r="J863" s="365"/>
      <c r="K863" s="365"/>
      <c r="L863" s="61"/>
      <c r="M863" s="45"/>
      <c r="N863" s="88"/>
      <c r="O863" s="89" t="s">
        <v>63</v>
      </c>
      <c r="P863" s="89"/>
      <c r="Q863" s="89"/>
      <c r="R863" s="89" t="str">
        <f t="shared" si="163"/>
        <v/>
      </c>
      <c r="S863" s="93"/>
      <c r="T863" s="89" t="s">
        <v>63</v>
      </c>
      <c r="U863" s="162"/>
      <c r="V863" s="91"/>
      <c r="W863" s="162" t="str">
        <f t="shared" si="164"/>
        <v/>
      </c>
      <c r="X863" s="91"/>
      <c r="Y863" s="162" t="str">
        <f t="shared" si="165"/>
        <v/>
      </c>
      <c r="Z863" s="94"/>
      <c r="AA863" s="45"/>
    </row>
    <row r="864" spans="1:27" s="43" customFormat="1" ht="21" hidden="1" customHeight="1" thickBot="1" x14ac:dyDescent="0.3">
      <c r="A864" s="74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6"/>
      <c r="N864" s="95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7"/>
    </row>
    <row r="865" spans="1:27" s="43" customFormat="1" ht="21" hidden="1" customHeight="1" thickBot="1" x14ac:dyDescent="0.3"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7" s="43" customFormat="1" ht="21" customHeight="1" x14ac:dyDescent="0.25">
      <c r="A866" s="377" t="s">
        <v>45</v>
      </c>
      <c r="B866" s="378"/>
      <c r="C866" s="378"/>
      <c r="D866" s="378"/>
      <c r="E866" s="378"/>
      <c r="F866" s="378"/>
      <c r="G866" s="378"/>
      <c r="H866" s="378"/>
      <c r="I866" s="378"/>
      <c r="J866" s="378"/>
      <c r="K866" s="378"/>
      <c r="L866" s="379"/>
      <c r="M866" s="42"/>
      <c r="N866" s="81"/>
      <c r="O866" s="372" t="s">
        <v>47</v>
      </c>
      <c r="P866" s="373"/>
      <c r="Q866" s="373"/>
      <c r="R866" s="374"/>
      <c r="S866" s="82"/>
      <c r="T866" s="372" t="s">
        <v>48</v>
      </c>
      <c r="U866" s="373"/>
      <c r="V866" s="373"/>
      <c r="W866" s="373"/>
      <c r="X866" s="373"/>
      <c r="Y866" s="374"/>
      <c r="Z866" s="83"/>
      <c r="AA866" s="42"/>
    </row>
    <row r="867" spans="1:27" s="43" customFormat="1" ht="21" customHeight="1" x14ac:dyDescent="0.25">
      <c r="A867" s="44"/>
      <c r="B867" s="45"/>
      <c r="C867" s="375" t="s">
        <v>101</v>
      </c>
      <c r="D867" s="375"/>
      <c r="E867" s="375"/>
      <c r="F867" s="375"/>
      <c r="G867" s="46" t="str">
        <f>$J$1</f>
        <v>October</v>
      </c>
      <c r="H867" s="376">
        <f>$K$1</f>
        <v>2020</v>
      </c>
      <c r="I867" s="376"/>
      <c r="J867" s="45"/>
      <c r="K867" s="47"/>
      <c r="L867" s="48"/>
      <c r="M867" s="47"/>
      <c r="N867" s="84"/>
      <c r="O867" s="85" t="s">
        <v>58</v>
      </c>
      <c r="P867" s="85" t="s">
        <v>7</v>
      </c>
      <c r="Q867" s="85" t="s">
        <v>6</v>
      </c>
      <c r="R867" s="85" t="s">
        <v>59</v>
      </c>
      <c r="S867" s="86"/>
      <c r="T867" s="85" t="s">
        <v>58</v>
      </c>
      <c r="U867" s="85" t="s">
        <v>60</v>
      </c>
      <c r="V867" s="85" t="s">
        <v>23</v>
      </c>
      <c r="W867" s="85" t="s">
        <v>22</v>
      </c>
      <c r="X867" s="85" t="s">
        <v>24</v>
      </c>
      <c r="Y867" s="85" t="s">
        <v>64</v>
      </c>
      <c r="Z867" s="87"/>
      <c r="AA867" s="47"/>
    </row>
    <row r="868" spans="1:27" s="43" customFormat="1" ht="21" customHeight="1" x14ac:dyDescent="0.25">
      <c r="A868" s="44"/>
      <c r="B868" s="45"/>
      <c r="C868" s="45"/>
      <c r="D868" s="50"/>
      <c r="E868" s="50"/>
      <c r="F868" s="50"/>
      <c r="G868" s="50"/>
      <c r="H868" s="50"/>
      <c r="I868" s="45"/>
      <c r="J868" s="51" t="s">
        <v>1</v>
      </c>
      <c r="K868" s="52">
        <v>17000</v>
      </c>
      <c r="L868" s="53"/>
      <c r="M868" s="45"/>
      <c r="N868" s="88"/>
      <c r="O868" s="89" t="s">
        <v>50</v>
      </c>
      <c r="P868" s="89">
        <v>30</v>
      </c>
      <c r="Q868" s="89">
        <v>1</v>
      </c>
      <c r="R868" s="89">
        <f>11-Q868</f>
        <v>10</v>
      </c>
      <c r="S868" s="90"/>
      <c r="T868" s="89" t="s">
        <v>50</v>
      </c>
      <c r="U868" s="91">
        <v>4000</v>
      </c>
      <c r="V868" s="91">
        <v>15000</v>
      </c>
      <c r="W868" s="91">
        <f>V868+U868</f>
        <v>19000</v>
      </c>
      <c r="X868" s="91">
        <v>3000</v>
      </c>
      <c r="Y868" s="91">
        <f>W868-X868</f>
        <v>16000</v>
      </c>
      <c r="Z868" s="87"/>
      <c r="AA868" s="45"/>
    </row>
    <row r="869" spans="1:27" s="43" customFormat="1" ht="21" customHeight="1" x14ac:dyDescent="0.25">
      <c r="A869" s="44"/>
      <c r="B869" s="45" t="s">
        <v>0</v>
      </c>
      <c r="C869" s="55" t="s">
        <v>119</v>
      </c>
      <c r="D869" s="45"/>
      <c r="E869" s="45"/>
      <c r="F869" s="45"/>
      <c r="G869" s="45"/>
      <c r="H869" s="56"/>
      <c r="I869" s="50"/>
      <c r="J869" s="45"/>
      <c r="K869" s="45"/>
      <c r="L869" s="57"/>
      <c r="M869" s="42"/>
      <c r="N869" s="92"/>
      <c r="O869" s="89" t="s">
        <v>76</v>
      </c>
      <c r="P869" s="89">
        <v>29</v>
      </c>
      <c r="Q869" s="89">
        <v>0</v>
      </c>
      <c r="R869" s="89">
        <f t="shared" ref="R869:R875" si="166">R868-Q869</f>
        <v>10</v>
      </c>
      <c r="S869" s="93"/>
      <c r="T869" s="89" t="s">
        <v>76</v>
      </c>
      <c r="U869" s="162">
        <f>IF($J$1="January","",Y868)</f>
        <v>16000</v>
      </c>
      <c r="V869" s="91"/>
      <c r="W869" s="162">
        <f>IF(U869="","",U869+V869)</f>
        <v>16000</v>
      </c>
      <c r="X869" s="91">
        <v>3000</v>
      </c>
      <c r="Y869" s="162">
        <f>IF(W869="","",W869-X869)</f>
        <v>13000</v>
      </c>
      <c r="Z869" s="94"/>
      <c r="AA869" s="42"/>
    </row>
    <row r="870" spans="1:27" s="43" customFormat="1" ht="21" customHeight="1" x14ac:dyDescent="0.25">
      <c r="A870" s="44"/>
      <c r="B870" s="59" t="s">
        <v>46</v>
      </c>
      <c r="C870" s="60"/>
      <c r="D870" s="45"/>
      <c r="E870" s="45"/>
      <c r="F870" s="366" t="s">
        <v>48</v>
      </c>
      <c r="G870" s="366"/>
      <c r="H870" s="45"/>
      <c r="I870" s="366" t="s">
        <v>49</v>
      </c>
      <c r="J870" s="366"/>
      <c r="K870" s="366"/>
      <c r="L870" s="61"/>
      <c r="M870" s="45"/>
      <c r="N870" s="88"/>
      <c r="O870" s="89" t="s">
        <v>51</v>
      </c>
      <c r="P870" s="89">
        <v>27</v>
      </c>
      <c r="Q870" s="89">
        <v>4</v>
      </c>
      <c r="R870" s="89">
        <f t="shared" si="166"/>
        <v>6</v>
      </c>
      <c r="S870" s="93"/>
      <c r="T870" s="89" t="s">
        <v>51</v>
      </c>
      <c r="U870" s="162">
        <f>IF($J$1="February","",Y869)</f>
        <v>13000</v>
      </c>
      <c r="V870" s="91"/>
      <c r="W870" s="162">
        <f t="shared" ref="W870:W879" si="167">IF(U870="","",U870+V870)</f>
        <v>13000</v>
      </c>
      <c r="X870" s="91">
        <v>3000</v>
      </c>
      <c r="Y870" s="162">
        <f t="shared" ref="Y870:Y879" si="168">IF(W870="","",W870-X870)</f>
        <v>10000</v>
      </c>
      <c r="Z870" s="94"/>
      <c r="AA870" s="45"/>
    </row>
    <row r="871" spans="1:27" s="43" customFormat="1" ht="21" customHeight="1" x14ac:dyDescent="0.25">
      <c r="A871" s="44"/>
      <c r="B871" s="45"/>
      <c r="C871" s="45"/>
      <c r="D871" s="45"/>
      <c r="E871" s="45"/>
      <c r="F871" s="45"/>
      <c r="G871" s="45"/>
      <c r="H871" s="62"/>
      <c r="L871" s="49"/>
      <c r="M871" s="45"/>
      <c r="N871" s="88"/>
      <c r="O871" s="89" t="s">
        <v>52</v>
      </c>
      <c r="P871" s="89">
        <v>29</v>
      </c>
      <c r="Q871" s="89">
        <v>1</v>
      </c>
      <c r="R871" s="89">
        <f t="shared" si="166"/>
        <v>5</v>
      </c>
      <c r="S871" s="93"/>
      <c r="T871" s="89" t="s">
        <v>52</v>
      </c>
      <c r="U871" s="162">
        <f>IF($J$1="March","",Y870)</f>
        <v>10000</v>
      </c>
      <c r="V871" s="91"/>
      <c r="W871" s="162">
        <f t="shared" si="167"/>
        <v>10000</v>
      </c>
      <c r="X871" s="91">
        <v>3000</v>
      </c>
      <c r="Y871" s="162">
        <f t="shared" si="168"/>
        <v>7000</v>
      </c>
      <c r="Z871" s="94"/>
      <c r="AA871" s="45"/>
    </row>
    <row r="872" spans="1:27" s="43" customFormat="1" ht="21" customHeight="1" x14ac:dyDescent="0.25">
      <c r="A872" s="44"/>
      <c r="B872" s="367" t="s">
        <v>47</v>
      </c>
      <c r="C872" s="368"/>
      <c r="D872" s="45"/>
      <c r="E872" s="45"/>
      <c r="F872" s="63" t="s">
        <v>69</v>
      </c>
      <c r="G872" s="58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62"/>
      <c r="I872" s="64">
        <f>IF(C876&gt;0,$K$2,C874)</f>
        <v>31</v>
      </c>
      <c r="J872" s="65" t="s">
        <v>66</v>
      </c>
      <c r="K872" s="66">
        <f>K868/$K$2*I872</f>
        <v>17000</v>
      </c>
      <c r="L872" s="67"/>
      <c r="M872" s="45"/>
      <c r="N872" s="88"/>
      <c r="O872" s="89" t="s">
        <v>53</v>
      </c>
      <c r="P872" s="89">
        <v>31</v>
      </c>
      <c r="Q872" s="89">
        <v>0</v>
      </c>
      <c r="R872" s="89">
        <f t="shared" si="166"/>
        <v>5</v>
      </c>
      <c r="S872" s="93"/>
      <c r="T872" s="89" t="s">
        <v>53</v>
      </c>
      <c r="U872" s="162">
        <f>IF($J$1="April","",Y871)</f>
        <v>7000</v>
      </c>
      <c r="V872" s="91"/>
      <c r="W872" s="162">
        <f t="shared" si="167"/>
        <v>7000</v>
      </c>
      <c r="X872" s="91">
        <v>3000</v>
      </c>
      <c r="Y872" s="162">
        <f t="shared" si="168"/>
        <v>4000</v>
      </c>
      <c r="Z872" s="94"/>
      <c r="AA872" s="45"/>
    </row>
    <row r="873" spans="1:27" s="43" customFormat="1" ht="21" customHeight="1" x14ac:dyDescent="0.25">
      <c r="A873" s="44"/>
      <c r="B873" s="54"/>
      <c r="C873" s="54"/>
      <c r="D873" s="45"/>
      <c r="E873" s="45"/>
      <c r="F873" s="63" t="s">
        <v>23</v>
      </c>
      <c r="G873" s="125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62"/>
      <c r="I873" s="108">
        <v>86</v>
      </c>
      <c r="J873" s="65" t="s">
        <v>67</v>
      </c>
      <c r="K873" s="68">
        <f>K868/$K$2/8*I873</f>
        <v>5895.1612903225805</v>
      </c>
      <c r="L873" s="69"/>
      <c r="M873" s="45"/>
      <c r="N873" s="88"/>
      <c r="O873" s="89" t="s">
        <v>54</v>
      </c>
      <c r="P873" s="89">
        <v>29</v>
      </c>
      <c r="Q873" s="89">
        <v>1</v>
      </c>
      <c r="R873" s="89">
        <f t="shared" si="166"/>
        <v>4</v>
      </c>
      <c r="S873" s="93"/>
      <c r="T873" s="89" t="s">
        <v>54</v>
      </c>
      <c r="U873" s="162">
        <f>IF($J$1="May","",Y872)</f>
        <v>4000</v>
      </c>
      <c r="V873" s="91"/>
      <c r="W873" s="162">
        <f t="shared" si="167"/>
        <v>4000</v>
      </c>
      <c r="X873" s="91">
        <v>1000</v>
      </c>
      <c r="Y873" s="162">
        <f t="shared" si="168"/>
        <v>3000</v>
      </c>
      <c r="Z873" s="94"/>
      <c r="AA873" s="45"/>
    </row>
    <row r="874" spans="1:27" s="43" customFormat="1" ht="21" customHeight="1" x14ac:dyDescent="0.25">
      <c r="A874" s="44"/>
      <c r="B874" s="63" t="s">
        <v>7</v>
      </c>
      <c r="C874" s="54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30</v>
      </c>
      <c r="D874" s="45"/>
      <c r="E874" s="45"/>
      <c r="F874" s="63" t="s">
        <v>70</v>
      </c>
      <c r="G874" s="125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62"/>
      <c r="I874" s="361" t="s">
        <v>74</v>
      </c>
      <c r="J874" s="362"/>
      <c r="K874" s="68">
        <f>K872+K873</f>
        <v>22895.16129032258</v>
      </c>
      <c r="L874" s="69"/>
      <c r="M874" s="45"/>
      <c r="N874" s="88"/>
      <c r="O874" s="89" t="s">
        <v>55</v>
      </c>
      <c r="P874" s="89">
        <v>30</v>
      </c>
      <c r="Q874" s="89">
        <v>1</v>
      </c>
      <c r="R874" s="89">
        <f t="shared" si="166"/>
        <v>3</v>
      </c>
      <c r="S874" s="93"/>
      <c r="T874" s="89" t="s">
        <v>55</v>
      </c>
      <c r="U874" s="162">
        <f>IF($J$1="June","",Y873)</f>
        <v>3000</v>
      </c>
      <c r="V874" s="91">
        <v>3000</v>
      </c>
      <c r="W874" s="162">
        <f t="shared" si="167"/>
        <v>6000</v>
      </c>
      <c r="X874" s="91">
        <v>3000</v>
      </c>
      <c r="Y874" s="162">
        <f t="shared" si="168"/>
        <v>3000</v>
      </c>
      <c r="Z874" s="94"/>
      <c r="AA874" s="45"/>
    </row>
    <row r="875" spans="1:27" s="43" customFormat="1" ht="21" customHeight="1" x14ac:dyDescent="0.25">
      <c r="A875" s="44"/>
      <c r="B875" s="63" t="s">
        <v>6</v>
      </c>
      <c r="C875" s="54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1</v>
      </c>
      <c r="D875" s="45"/>
      <c r="E875" s="45"/>
      <c r="F875" s="63" t="s">
        <v>24</v>
      </c>
      <c r="G875" s="125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62"/>
      <c r="I875" s="361" t="s">
        <v>75</v>
      </c>
      <c r="J875" s="362"/>
      <c r="K875" s="58">
        <f>G875</f>
        <v>0</v>
      </c>
      <c r="L875" s="70"/>
      <c r="M875" s="45"/>
      <c r="N875" s="88"/>
      <c r="O875" s="89" t="s">
        <v>56</v>
      </c>
      <c r="P875" s="89">
        <v>31</v>
      </c>
      <c r="Q875" s="89">
        <v>0</v>
      </c>
      <c r="R875" s="89">
        <f t="shared" si="166"/>
        <v>3</v>
      </c>
      <c r="S875" s="93"/>
      <c r="T875" s="89" t="s">
        <v>56</v>
      </c>
      <c r="U875" s="162">
        <f>IF($J$1="July","",Y874)</f>
        <v>3000</v>
      </c>
      <c r="V875" s="91"/>
      <c r="W875" s="162">
        <f t="shared" si="167"/>
        <v>3000</v>
      </c>
      <c r="X875" s="91">
        <v>3000</v>
      </c>
      <c r="Y875" s="162">
        <f t="shared" si="168"/>
        <v>0</v>
      </c>
      <c r="Z875" s="94"/>
      <c r="AA875" s="45"/>
    </row>
    <row r="876" spans="1:27" s="43" customFormat="1" ht="21" customHeight="1" x14ac:dyDescent="0.25">
      <c r="A876" s="44"/>
      <c r="B876" s="71" t="s">
        <v>73</v>
      </c>
      <c r="C876" s="54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1</v>
      </c>
      <c r="D876" s="45"/>
      <c r="E876" s="45"/>
      <c r="F876" s="63" t="s">
        <v>72</v>
      </c>
      <c r="G876" s="58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45"/>
      <c r="I876" s="363" t="s">
        <v>68</v>
      </c>
      <c r="J876" s="364"/>
      <c r="K876" s="72">
        <f>K874-K875</f>
        <v>22895.16129032258</v>
      </c>
      <c r="L876" s="73"/>
      <c r="M876" s="45"/>
      <c r="N876" s="88"/>
      <c r="O876" s="89" t="s">
        <v>61</v>
      </c>
      <c r="P876" s="89">
        <v>29</v>
      </c>
      <c r="Q876" s="89">
        <v>1</v>
      </c>
      <c r="R876" s="89">
        <f t="shared" ref="R876:R879" si="169">IF(Q876="","",R875-Q876)</f>
        <v>2</v>
      </c>
      <c r="S876" s="93"/>
      <c r="T876" s="89" t="s">
        <v>61</v>
      </c>
      <c r="U876" s="162">
        <f>IF($J$1="August","",Y875)</f>
        <v>0</v>
      </c>
      <c r="V876" s="91">
        <v>3000</v>
      </c>
      <c r="W876" s="162">
        <f t="shared" si="167"/>
        <v>3000</v>
      </c>
      <c r="X876" s="91">
        <v>3000</v>
      </c>
      <c r="Y876" s="162">
        <f t="shared" si="168"/>
        <v>0</v>
      </c>
      <c r="Z876" s="94"/>
      <c r="AA876" s="45"/>
    </row>
    <row r="877" spans="1:27" s="43" customFormat="1" ht="21" customHeight="1" x14ac:dyDescent="0.25">
      <c r="A877" s="44"/>
      <c r="B877" s="45"/>
      <c r="C877" s="45"/>
      <c r="D877" s="45"/>
      <c r="E877" s="45"/>
      <c r="F877" s="45"/>
      <c r="G877" s="45"/>
      <c r="H877" s="45"/>
      <c r="I877" s="45"/>
      <c r="J877" s="45"/>
      <c r="K877" s="177"/>
      <c r="L877" s="61"/>
      <c r="M877" s="45"/>
      <c r="N877" s="88"/>
      <c r="O877" s="89" t="s">
        <v>57</v>
      </c>
      <c r="P877" s="89">
        <v>30</v>
      </c>
      <c r="Q877" s="89">
        <v>1</v>
      </c>
      <c r="R877" s="89">
        <f t="shared" si="169"/>
        <v>1</v>
      </c>
      <c r="S877" s="93"/>
      <c r="T877" s="89" t="s">
        <v>57</v>
      </c>
      <c r="U877" s="162">
        <f>IF($J$1="September","",Y876)</f>
        <v>0</v>
      </c>
      <c r="V877" s="91"/>
      <c r="W877" s="162">
        <f t="shared" si="167"/>
        <v>0</v>
      </c>
      <c r="X877" s="91"/>
      <c r="Y877" s="162">
        <f t="shared" si="168"/>
        <v>0</v>
      </c>
      <c r="Z877" s="94"/>
      <c r="AA877" s="45"/>
    </row>
    <row r="878" spans="1:27" s="43" customFormat="1" ht="21" customHeight="1" x14ac:dyDescent="0.25">
      <c r="A878" s="44"/>
      <c r="B878" s="365" t="s">
        <v>103</v>
      </c>
      <c r="C878" s="365"/>
      <c r="D878" s="365"/>
      <c r="E878" s="365"/>
      <c r="F878" s="365"/>
      <c r="G878" s="365"/>
      <c r="H878" s="365"/>
      <c r="I878" s="365"/>
      <c r="J878" s="365"/>
      <c r="K878" s="365"/>
      <c r="L878" s="61"/>
      <c r="M878" s="45"/>
      <c r="N878" s="88"/>
      <c r="O878" s="89" t="s">
        <v>62</v>
      </c>
      <c r="P878" s="89"/>
      <c r="Q878" s="89"/>
      <c r="R878" s="89" t="str">
        <f t="shared" si="169"/>
        <v/>
      </c>
      <c r="S878" s="93"/>
      <c r="T878" s="89" t="s">
        <v>62</v>
      </c>
      <c r="U878" s="162" t="str">
        <f>IF($J$1="October","",Y877)</f>
        <v/>
      </c>
      <c r="V878" s="91">
        <v>110</v>
      </c>
      <c r="W878" s="162" t="str">
        <f t="shared" si="167"/>
        <v/>
      </c>
      <c r="X878" s="91"/>
      <c r="Y878" s="162" t="str">
        <f t="shared" si="168"/>
        <v/>
      </c>
      <c r="Z878" s="94"/>
      <c r="AA878" s="45"/>
    </row>
    <row r="879" spans="1:27" s="43" customFormat="1" ht="21" customHeight="1" x14ac:dyDescent="0.25">
      <c r="A879" s="44"/>
      <c r="B879" s="365"/>
      <c r="C879" s="365"/>
      <c r="D879" s="365"/>
      <c r="E879" s="365"/>
      <c r="F879" s="365"/>
      <c r="G879" s="365"/>
      <c r="H879" s="365"/>
      <c r="I879" s="365"/>
      <c r="J879" s="365"/>
      <c r="K879" s="365"/>
      <c r="L879" s="61"/>
      <c r="M879" s="45"/>
      <c r="N879" s="88"/>
      <c r="O879" s="89" t="s">
        <v>63</v>
      </c>
      <c r="P879" s="89"/>
      <c r="Q879" s="89"/>
      <c r="R879" s="89" t="str">
        <f t="shared" si="169"/>
        <v/>
      </c>
      <c r="S879" s="93"/>
      <c r="T879" s="89" t="s">
        <v>63</v>
      </c>
      <c r="U879" s="162" t="str">
        <f>IF($J$1="November","",Y878)</f>
        <v/>
      </c>
      <c r="V879" s="91"/>
      <c r="W879" s="162" t="str">
        <f t="shared" si="167"/>
        <v/>
      </c>
      <c r="X879" s="91"/>
      <c r="Y879" s="162" t="str">
        <f t="shared" si="168"/>
        <v/>
      </c>
      <c r="Z879" s="94"/>
      <c r="AA879" s="45"/>
    </row>
    <row r="880" spans="1:27" s="43" customFormat="1" ht="21" customHeight="1" thickBot="1" x14ac:dyDescent="0.3">
      <c r="A880" s="74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6"/>
      <c r="N880" s="95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7"/>
    </row>
    <row r="881" spans="1:26" s="43" customFormat="1" ht="21" customHeight="1" thickBot="1" x14ac:dyDescent="0.3">
      <c r="A881" s="44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61"/>
      <c r="N881" s="88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109"/>
    </row>
    <row r="882" spans="1:26" s="43" customFormat="1" ht="21" customHeight="1" x14ac:dyDescent="0.25">
      <c r="A882" s="369" t="s">
        <v>45</v>
      </c>
      <c r="B882" s="370"/>
      <c r="C882" s="370"/>
      <c r="D882" s="370"/>
      <c r="E882" s="370"/>
      <c r="F882" s="370"/>
      <c r="G882" s="370"/>
      <c r="H882" s="370"/>
      <c r="I882" s="370"/>
      <c r="J882" s="370"/>
      <c r="K882" s="370"/>
      <c r="L882" s="371"/>
      <c r="M882" s="42"/>
      <c r="N882" s="81"/>
      <c r="O882" s="372" t="s">
        <v>47</v>
      </c>
      <c r="P882" s="373"/>
      <c r="Q882" s="373"/>
      <c r="R882" s="374"/>
      <c r="S882" s="82"/>
      <c r="T882" s="372" t="s">
        <v>48</v>
      </c>
      <c r="U882" s="373"/>
      <c r="V882" s="373"/>
      <c r="W882" s="373"/>
      <c r="X882" s="373"/>
      <c r="Y882" s="374"/>
      <c r="Z882" s="83"/>
    </row>
    <row r="883" spans="1:26" s="43" customFormat="1" ht="21" customHeight="1" x14ac:dyDescent="0.25">
      <c r="A883" s="44"/>
      <c r="B883" s="45"/>
      <c r="C883" s="375" t="s">
        <v>101</v>
      </c>
      <c r="D883" s="375"/>
      <c r="E883" s="375"/>
      <c r="F883" s="375"/>
      <c r="G883" s="46" t="str">
        <f>$J$1</f>
        <v>October</v>
      </c>
      <c r="H883" s="376">
        <f>$K$1</f>
        <v>2020</v>
      </c>
      <c r="I883" s="376"/>
      <c r="J883" s="45"/>
      <c r="K883" s="47"/>
      <c r="L883" s="48"/>
      <c r="M883" s="47"/>
      <c r="N883" s="84"/>
      <c r="O883" s="85" t="s">
        <v>58</v>
      </c>
      <c r="P883" s="85" t="s">
        <v>7</v>
      </c>
      <c r="Q883" s="85" t="s">
        <v>6</v>
      </c>
      <c r="R883" s="85" t="s">
        <v>59</v>
      </c>
      <c r="S883" s="86"/>
      <c r="T883" s="85" t="s">
        <v>58</v>
      </c>
      <c r="U883" s="85" t="s">
        <v>60</v>
      </c>
      <c r="V883" s="85" t="s">
        <v>23</v>
      </c>
      <c r="W883" s="85" t="s">
        <v>22</v>
      </c>
      <c r="X883" s="85" t="s">
        <v>24</v>
      </c>
      <c r="Y883" s="85" t="s">
        <v>64</v>
      </c>
      <c r="Z883" s="87"/>
    </row>
    <row r="884" spans="1:26" s="43" customFormat="1" ht="21" customHeight="1" x14ac:dyDescent="0.25">
      <c r="A884" s="44"/>
      <c r="B884" s="45"/>
      <c r="C884" s="45"/>
      <c r="D884" s="50"/>
      <c r="E884" s="50"/>
      <c r="F884" s="50"/>
      <c r="G884" s="50"/>
      <c r="H884" s="50"/>
      <c r="I884" s="45"/>
      <c r="J884" s="51" t="s">
        <v>1</v>
      </c>
      <c r="K884" s="52">
        <v>14000</v>
      </c>
      <c r="L884" s="53"/>
      <c r="M884" s="45"/>
      <c r="N884" s="88"/>
      <c r="O884" s="89" t="s">
        <v>50</v>
      </c>
      <c r="P884" s="89">
        <v>29</v>
      </c>
      <c r="Q884" s="89">
        <v>2</v>
      </c>
      <c r="R884" s="89">
        <v>0</v>
      </c>
      <c r="S884" s="90"/>
      <c r="T884" s="89" t="s">
        <v>50</v>
      </c>
      <c r="U884" s="91"/>
      <c r="V884" s="91"/>
      <c r="W884" s="91">
        <f>V884+U884</f>
        <v>0</v>
      </c>
      <c r="X884" s="91"/>
      <c r="Y884" s="91">
        <f>W884-X884</f>
        <v>0</v>
      </c>
      <c r="Z884" s="87"/>
    </row>
    <row r="885" spans="1:26" s="43" customFormat="1" ht="21" customHeight="1" x14ac:dyDescent="0.25">
      <c r="A885" s="44"/>
      <c r="B885" s="45" t="s">
        <v>0</v>
      </c>
      <c r="C885" s="55" t="s">
        <v>140</v>
      </c>
      <c r="D885" s="45"/>
      <c r="E885" s="45"/>
      <c r="F885" s="45"/>
      <c r="G885" s="45"/>
      <c r="H885" s="56"/>
      <c r="I885" s="50"/>
      <c r="J885" s="45"/>
      <c r="K885" s="45"/>
      <c r="L885" s="57"/>
      <c r="M885" s="42"/>
      <c r="N885" s="92"/>
      <c r="O885" s="89" t="s">
        <v>76</v>
      </c>
      <c r="P885" s="89">
        <v>26</v>
      </c>
      <c r="Q885" s="89">
        <v>3</v>
      </c>
      <c r="R885" s="89">
        <v>0</v>
      </c>
      <c r="S885" s="93"/>
      <c r="T885" s="89" t="s">
        <v>76</v>
      </c>
      <c r="U885" s="162">
        <f>IF($J$1="January","",Y884)</f>
        <v>0</v>
      </c>
      <c r="V885" s="91"/>
      <c r="W885" s="162">
        <f>IF(U885="","",U885+V885)</f>
        <v>0</v>
      </c>
      <c r="X885" s="91"/>
      <c r="Y885" s="162">
        <f>IF(W885="","",W885-X885)</f>
        <v>0</v>
      </c>
      <c r="Z885" s="94"/>
    </row>
    <row r="886" spans="1:26" s="43" customFormat="1" ht="21" customHeight="1" x14ac:dyDescent="0.25">
      <c r="A886" s="44"/>
      <c r="B886" s="59" t="s">
        <v>46</v>
      </c>
      <c r="C886" s="55"/>
      <c r="D886" s="45"/>
      <c r="E886" s="45"/>
      <c r="F886" s="366" t="s">
        <v>48</v>
      </c>
      <c r="G886" s="366"/>
      <c r="H886" s="45"/>
      <c r="I886" s="366" t="s">
        <v>49</v>
      </c>
      <c r="J886" s="366"/>
      <c r="K886" s="366"/>
      <c r="L886" s="61"/>
      <c r="M886" s="45"/>
      <c r="N886" s="88"/>
      <c r="O886" s="89" t="s">
        <v>51</v>
      </c>
      <c r="P886" s="89">
        <v>28</v>
      </c>
      <c r="Q886" s="89">
        <v>3</v>
      </c>
      <c r="R886" s="89">
        <v>0</v>
      </c>
      <c r="S886" s="93"/>
      <c r="T886" s="89" t="s">
        <v>51</v>
      </c>
      <c r="U886" s="162">
        <f>IF($J$1="February","",Y885)</f>
        <v>0</v>
      </c>
      <c r="V886" s="91"/>
      <c r="W886" s="162">
        <f t="shared" ref="W886:W895" si="170">IF(U886="","",U886+V886)</f>
        <v>0</v>
      </c>
      <c r="X886" s="91"/>
      <c r="Y886" s="162">
        <f t="shared" ref="Y886:Y895" si="171">IF(W886="","",W886-X886)</f>
        <v>0</v>
      </c>
      <c r="Z886" s="94"/>
    </row>
    <row r="887" spans="1:26" s="43" customFormat="1" ht="21" customHeight="1" x14ac:dyDescent="0.25">
      <c r="A887" s="44"/>
      <c r="B887" s="45"/>
      <c r="C887" s="45"/>
      <c r="D887" s="45"/>
      <c r="E887" s="45"/>
      <c r="F887" s="45"/>
      <c r="G887" s="45"/>
      <c r="H887" s="62"/>
      <c r="L887" s="49"/>
      <c r="M887" s="45"/>
      <c r="N887" s="88"/>
      <c r="O887" s="89" t="s">
        <v>52</v>
      </c>
      <c r="P887" s="89">
        <v>29</v>
      </c>
      <c r="Q887" s="89">
        <v>1</v>
      </c>
      <c r="R887" s="89">
        <v>0</v>
      </c>
      <c r="S887" s="93"/>
      <c r="T887" s="89" t="s">
        <v>52</v>
      </c>
      <c r="U887" s="162">
        <f>IF($J$1="March","",Y886)</f>
        <v>0</v>
      </c>
      <c r="V887" s="91"/>
      <c r="W887" s="162">
        <f t="shared" si="170"/>
        <v>0</v>
      </c>
      <c r="X887" s="91"/>
      <c r="Y887" s="162">
        <f t="shared" si="171"/>
        <v>0</v>
      </c>
      <c r="Z887" s="94"/>
    </row>
    <row r="888" spans="1:26" s="43" customFormat="1" ht="21" customHeight="1" x14ac:dyDescent="0.25">
      <c r="A888" s="44"/>
      <c r="B888" s="367" t="s">
        <v>47</v>
      </c>
      <c r="C888" s="368"/>
      <c r="D888" s="45"/>
      <c r="E888" s="45"/>
      <c r="F888" s="63" t="s">
        <v>69</v>
      </c>
      <c r="G888" s="58">
        <f>IF($J$1="January",U884,IF($J$1="February",U885,IF($J$1="March",U886,IF($J$1="April",U887,IF($J$1="May",U888,IF($J$1="June",U889,IF($J$1="July",U890,IF($J$1="August",U891,IF($J$1="August",U891,IF($J$1="September",U892,IF($J$1="October",U893,IF($J$1="November",U894,IF($J$1="December",U895)))))))))))))</f>
        <v>0</v>
      </c>
      <c r="H888" s="62"/>
      <c r="I888" s="64">
        <f>IF(C892&gt;0,$K$2,C890)</f>
        <v>31</v>
      </c>
      <c r="J888" s="65" t="s">
        <v>66</v>
      </c>
      <c r="K888" s="66">
        <f>K884/$K$2*I888</f>
        <v>14000</v>
      </c>
      <c r="L888" s="67"/>
      <c r="M888" s="45"/>
      <c r="N888" s="88"/>
      <c r="O888" s="89" t="s">
        <v>53</v>
      </c>
      <c r="P888" s="89">
        <v>29</v>
      </c>
      <c r="Q888" s="89">
        <v>2</v>
      </c>
      <c r="R888" s="89">
        <v>0</v>
      </c>
      <c r="S888" s="93"/>
      <c r="T888" s="89" t="s">
        <v>53</v>
      </c>
      <c r="U888" s="162">
        <f>IF($J$1="April","",Y887)</f>
        <v>0</v>
      </c>
      <c r="V888" s="91"/>
      <c r="W888" s="162">
        <f t="shared" si="170"/>
        <v>0</v>
      </c>
      <c r="X888" s="91"/>
      <c r="Y888" s="162">
        <f t="shared" si="171"/>
        <v>0</v>
      </c>
      <c r="Z888" s="94"/>
    </row>
    <row r="889" spans="1:26" s="43" customFormat="1" ht="21" customHeight="1" x14ac:dyDescent="0.25">
      <c r="A889" s="44"/>
      <c r="B889" s="54"/>
      <c r="C889" s="54"/>
      <c r="D889" s="45"/>
      <c r="E889" s="45"/>
      <c r="F889" s="63" t="s">
        <v>23</v>
      </c>
      <c r="G889" s="58">
        <f>IF($J$1="January",V884,IF($J$1="February",V885,IF($J$1="March",V886,IF($J$1="April",V887,IF($J$1="May",V888,IF($J$1="June",V889,IF($J$1="July",V890,IF($J$1="August",V891,IF($J$1="August",V891,IF($J$1="September",V892,IF($J$1="October",V893,IF($J$1="November",V894,IF($J$1="December",V895)))))))))))))</f>
        <v>0</v>
      </c>
      <c r="H889" s="62"/>
      <c r="I889" s="64">
        <v>8</v>
      </c>
      <c r="J889" s="65" t="s">
        <v>67</v>
      </c>
      <c r="K889" s="68">
        <f>K884/$K$2/8*I889</f>
        <v>451.61290322580646</v>
      </c>
      <c r="L889" s="69"/>
      <c r="M889" s="45"/>
      <c r="N889" s="88"/>
      <c r="O889" s="89" t="s">
        <v>54</v>
      </c>
      <c r="P889" s="89">
        <v>27</v>
      </c>
      <c r="Q889" s="89">
        <v>3</v>
      </c>
      <c r="R889" s="89">
        <v>0</v>
      </c>
      <c r="S889" s="93"/>
      <c r="T889" s="89" t="s">
        <v>54</v>
      </c>
      <c r="U889" s="162">
        <f>IF($J$1="May","",Y888)</f>
        <v>0</v>
      </c>
      <c r="V889" s="91"/>
      <c r="W889" s="162">
        <f t="shared" si="170"/>
        <v>0</v>
      </c>
      <c r="X889" s="91"/>
      <c r="Y889" s="162">
        <f t="shared" si="171"/>
        <v>0</v>
      </c>
      <c r="Z889" s="94"/>
    </row>
    <row r="890" spans="1:26" s="43" customFormat="1" ht="21" customHeight="1" x14ac:dyDescent="0.25">
      <c r="A890" s="44"/>
      <c r="B890" s="63" t="s">
        <v>7</v>
      </c>
      <c r="C890" s="54">
        <f>IF($J$1="January",P884,IF($J$1="February",P885,IF($J$1="March",P886,IF($J$1="April",P887,IF($J$1="May",P888,IF($J$1="June",P889,IF($J$1="July",P890,IF($J$1="August",P891,IF($J$1="August",P891,IF($J$1="September",P892,IF($J$1="October",P893,IF($J$1="November",P894,IF($J$1="December",P895)))))))))))))</f>
        <v>27</v>
      </c>
      <c r="D890" s="45"/>
      <c r="E890" s="45"/>
      <c r="F890" s="63" t="s">
        <v>70</v>
      </c>
      <c r="G890" s="58">
        <f>IF($J$1="January",W884,IF($J$1="February",W885,IF($J$1="March",W886,IF($J$1="April",W887,IF($J$1="May",W888,IF($J$1="June",W889,IF($J$1="July",W890,IF($J$1="August",W891,IF($J$1="August",W891,IF($J$1="September",W892,IF($J$1="October",W893,IF($J$1="November",W894,IF($J$1="December",W895)))))))))))))</f>
        <v>0</v>
      </c>
      <c r="H890" s="62"/>
      <c r="I890" s="361" t="s">
        <v>74</v>
      </c>
      <c r="J890" s="362"/>
      <c r="K890" s="68">
        <f>K888+K889</f>
        <v>14451.612903225807</v>
      </c>
      <c r="L890" s="69"/>
      <c r="M890" s="45"/>
      <c r="N890" s="88"/>
      <c r="O890" s="89" t="s">
        <v>55</v>
      </c>
      <c r="P890" s="89">
        <v>27</v>
      </c>
      <c r="Q890" s="89">
        <v>4</v>
      </c>
      <c r="R890" s="89">
        <v>0</v>
      </c>
      <c r="S890" s="93"/>
      <c r="T890" s="89" t="s">
        <v>55</v>
      </c>
      <c r="U890" s="162">
        <f>IF($J$1="June","",Y889)</f>
        <v>0</v>
      </c>
      <c r="V890" s="91">
        <v>5000</v>
      </c>
      <c r="W890" s="162">
        <f t="shared" si="170"/>
        <v>5000</v>
      </c>
      <c r="X890" s="91">
        <v>5000</v>
      </c>
      <c r="Y890" s="162">
        <f t="shared" si="171"/>
        <v>0</v>
      </c>
      <c r="Z890" s="94"/>
    </row>
    <row r="891" spans="1:26" s="43" customFormat="1" ht="21" customHeight="1" x14ac:dyDescent="0.25">
      <c r="A891" s="44"/>
      <c r="B891" s="63" t="s">
        <v>6</v>
      </c>
      <c r="C891" s="54">
        <f>IF($J$1="January",Q884,IF($J$1="February",Q885,IF($J$1="March",Q886,IF($J$1="April",Q887,IF($J$1="May",Q888,IF($J$1="June",Q889,IF($J$1="July",Q890,IF($J$1="August",Q891,IF($J$1="August",Q891,IF($J$1="September",Q892,IF($J$1="October",Q893,IF($J$1="November",Q894,IF($J$1="December",Q895)))))))))))))</f>
        <v>4</v>
      </c>
      <c r="D891" s="45"/>
      <c r="E891" s="45"/>
      <c r="F891" s="63" t="s">
        <v>24</v>
      </c>
      <c r="G891" s="58">
        <f>IF($J$1="January",X884,IF($J$1="February",X885,IF($J$1="March",X886,IF($J$1="April",X887,IF($J$1="May",X888,IF($J$1="June",X889,IF($J$1="July",X890,IF($J$1="August",X891,IF($J$1="August",X891,IF($J$1="September",X892,IF($J$1="October",X893,IF($J$1="November",X894,IF($J$1="December",X895)))))))))))))</f>
        <v>0</v>
      </c>
      <c r="H891" s="62"/>
      <c r="I891" s="361" t="s">
        <v>75</v>
      </c>
      <c r="J891" s="362"/>
      <c r="K891" s="58">
        <f>G891</f>
        <v>0</v>
      </c>
      <c r="L891" s="70"/>
      <c r="M891" s="45"/>
      <c r="N891" s="88"/>
      <c r="O891" s="89" t="s">
        <v>56</v>
      </c>
      <c r="P891" s="89">
        <v>26</v>
      </c>
      <c r="Q891" s="89">
        <v>5</v>
      </c>
      <c r="R891" s="89">
        <f>15-Q891</f>
        <v>10</v>
      </c>
      <c r="S891" s="93"/>
      <c r="T891" s="89" t="s">
        <v>56</v>
      </c>
      <c r="U891" s="162">
        <f>IF($J$1="July","",Y890)</f>
        <v>0</v>
      </c>
      <c r="V891" s="91"/>
      <c r="W891" s="162">
        <f t="shared" si="170"/>
        <v>0</v>
      </c>
      <c r="X891" s="91"/>
      <c r="Y891" s="162">
        <f t="shared" si="171"/>
        <v>0</v>
      </c>
      <c r="Z891" s="94"/>
    </row>
    <row r="892" spans="1:26" s="43" customFormat="1" ht="21" customHeight="1" x14ac:dyDescent="0.25">
      <c r="A892" s="44"/>
      <c r="B892" s="71" t="s">
        <v>73</v>
      </c>
      <c r="C892" s="54">
        <f>IF($J$1="January",R884,IF($J$1="February",R885,IF($J$1="March",R886,IF($J$1="April",R887,IF($J$1="May",R888,IF($J$1="June",R889,IF($J$1="July",R890,IF($J$1="August",R891,IF($J$1="August",R891,IF($J$1="September",R892,IF($J$1="October",R893,IF($J$1="November",R894,IF($J$1="December",R895)))))))))))))</f>
        <v>4</v>
      </c>
      <c r="D892" s="45"/>
      <c r="E892" s="45"/>
      <c r="F892" s="63" t="s">
        <v>72</v>
      </c>
      <c r="G892" s="58">
        <f>IF($J$1="January",Y884,IF($J$1="February",Y885,IF($J$1="March",Y886,IF($J$1="April",Y887,IF($J$1="May",Y888,IF($J$1="June",Y889,IF($J$1="July",Y890,IF($J$1="August",Y891,IF($J$1="August",Y891,IF($J$1="September",Y892,IF($J$1="October",Y893,IF($J$1="November",Y894,IF($J$1="December",Y895)))))))))))))</f>
        <v>0</v>
      </c>
      <c r="H892" s="45"/>
      <c r="I892" s="363" t="s">
        <v>68</v>
      </c>
      <c r="J892" s="364"/>
      <c r="K892" s="72">
        <f>K890-K891</f>
        <v>14451.612903225807</v>
      </c>
      <c r="L892" s="73"/>
      <c r="M892" s="45"/>
      <c r="N892" s="88"/>
      <c r="O892" s="89" t="s">
        <v>61</v>
      </c>
      <c r="P892" s="89">
        <v>28</v>
      </c>
      <c r="Q892" s="89">
        <v>2</v>
      </c>
      <c r="R892" s="89">
        <f>R891-Q892</f>
        <v>8</v>
      </c>
      <c r="S892" s="93"/>
      <c r="T892" s="89" t="s">
        <v>61</v>
      </c>
      <c r="U892" s="162">
        <f>IF($J$1="August","",Y891)</f>
        <v>0</v>
      </c>
      <c r="V892" s="91"/>
      <c r="W892" s="162">
        <f t="shared" si="170"/>
        <v>0</v>
      </c>
      <c r="X892" s="91"/>
      <c r="Y892" s="162">
        <f t="shared" si="171"/>
        <v>0</v>
      </c>
      <c r="Z892" s="94"/>
    </row>
    <row r="893" spans="1:26" s="43" customFormat="1" ht="21" customHeight="1" x14ac:dyDescent="0.25">
      <c r="A893" s="44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61"/>
      <c r="M893" s="45"/>
      <c r="N893" s="88"/>
      <c r="O893" s="89" t="s">
        <v>57</v>
      </c>
      <c r="P893" s="89">
        <v>27</v>
      </c>
      <c r="Q893" s="89">
        <v>4</v>
      </c>
      <c r="R893" s="89">
        <f>R892-Q893</f>
        <v>4</v>
      </c>
      <c r="S893" s="93"/>
      <c r="T893" s="89" t="s">
        <v>57</v>
      </c>
      <c r="U893" s="162">
        <f>IF($J$1="September","",Y892)</f>
        <v>0</v>
      </c>
      <c r="V893" s="91"/>
      <c r="W893" s="162">
        <f t="shared" si="170"/>
        <v>0</v>
      </c>
      <c r="X893" s="91"/>
      <c r="Y893" s="162">
        <f t="shared" si="171"/>
        <v>0</v>
      </c>
      <c r="Z893" s="94"/>
    </row>
    <row r="894" spans="1:26" s="43" customFormat="1" ht="21" customHeight="1" x14ac:dyDescent="0.25">
      <c r="A894" s="44"/>
      <c r="B894" s="365" t="s">
        <v>103</v>
      </c>
      <c r="C894" s="365"/>
      <c r="D894" s="365"/>
      <c r="E894" s="365"/>
      <c r="F894" s="365"/>
      <c r="G894" s="365"/>
      <c r="H894" s="365"/>
      <c r="I894" s="365"/>
      <c r="J894" s="365"/>
      <c r="K894" s="365"/>
      <c r="L894" s="61"/>
      <c r="M894" s="45"/>
      <c r="N894" s="88"/>
      <c r="O894" s="89" t="s">
        <v>62</v>
      </c>
      <c r="P894" s="89"/>
      <c r="Q894" s="89"/>
      <c r="R894" s="89">
        <v>0</v>
      </c>
      <c r="S894" s="93"/>
      <c r="T894" s="89" t="s">
        <v>62</v>
      </c>
      <c r="U894" s="162" t="str">
        <f>IF($J$1="October","",Y893)</f>
        <v/>
      </c>
      <c r="V894" s="91">
        <v>50</v>
      </c>
      <c r="W894" s="162" t="str">
        <f t="shared" si="170"/>
        <v/>
      </c>
      <c r="X894" s="91"/>
      <c r="Y894" s="162" t="str">
        <f t="shared" si="171"/>
        <v/>
      </c>
      <c r="Z894" s="94"/>
    </row>
    <row r="895" spans="1:26" s="43" customFormat="1" ht="21" customHeight="1" x14ac:dyDescent="0.25">
      <c r="A895" s="44"/>
      <c r="B895" s="365"/>
      <c r="C895" s="365"/>
      <c r="D895" s="365"/>
      <c r="E895" s="365"/>
      <c r="F895" s="365"/>
      <c r="G895" s="365"/>
      <c r="H895" s="365"/>
      <c r="I895" s="365"/>
      <c r="J895" s="365"/>
      <c r="K895" s="365"/>
      <c r="L895" s="61"/>
      <c r="M895" s="45"/>
      <c r="N895" s="88"/>
      <c r="O895" s="89" t="s">
        <v>63</v>
      </c>
      <c r="P895" s="89"/>
      <c r="Q895" s="89"/>
      <c r="R895" s="89">
        <v>0</v>
      </c>
      <c r="S895" s="93"/>
      <c r="T895" s="89" t="s">
        <v>63</v>
      </c>
      <c r="U895" s="162" t="str">
        <f>IF($J$1="November","",Y894)</f>
        <v/>
      </c>
      <c r="V895" s="91"/>
      <c r="W895" s="162" t="str">
        <f t="shared" si="170"/>
        <v/>
      </c>
      <c r="X895" s="91"/>
      <c r="Y895" s="162" t="str">
        <f t="shared" si="171"/>
        <v/>
      </c>
      <c r="Z895" s="94"/>
    </row>
    <row r="896" spans="1:26" s="43" customFormat="1" ht="21" customHeight="1" thickBot="1" x14ac:dyDescent="0.3">
      <c r="A896" s="74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6"/>
      <c r="N896" s="95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7"/>
    </row>
    <row r="897" spans="1:27" s="43" customFormat="1" ht="12.6" customHeight="1" x14ac:dyDescent="0.25">
      <c r="A897" s="44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61"/>
      <c r="N897" s="88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109"/>
    </row>
    <row r="898" spans="1:27" s="43" customFormat="1" ht="21" customHeight="1" thickBot="1" x14ac:dyDescent="0.3">
      <c r="A898" s="44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61"/>
      <c r="N898" s="88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109"/>
    </row>
    <row r="899" spans="1:27" s="43" customFormat="1" ht="21" customHeight="1" x14ac:dyDescent="0.25">
      <c r="A899" s="377" t="s">
        <v>45</v>
      </c>
      <c r="B899" s="378"/>
      <c r="C899" s="378"/>
      <c r="D899" s="378"/>
      <c r="E899" s="378"/>
      <c r="F899" s="378"/>
      <c r="G899" s="378"/>
      <c r="H899" s="378"/>
      <c r="I899" s="378"/>
      <c r="J899" s="378"/>
      <c r="K899" s="378"/>
      <c r="L899" s="379"/>
      <c r="M899" s="42"/>
      <c r="N899" s="81"/>
      <c r="O899" s="372" t="s">
        <v>47</v>
      </c>
      <c r="P899" s="373"/>
      <c r="Q899" s="373"/>
      <c r="R899" s="374"/>
      <c r="S899" s="82"/>
      <c r="T899" s="372" t="s">
        <v>48</v>
      </c>
      <c r="U899" s="373"/>
      <c r="V899" s="373"/>
      <c r="W899" s="373"/>
      <c r="X899" s="373"/>
      <c r="Y899" s="374"/>
      <c r="Z899" s="83"/>
      <c r="AA899" s="42"/>
    </row>
    <row r="900" spans="1:27" s="43" customFormat="1" ht="21" customHeight="1" x14ac:dyDescent="0.25">
      <c r="A900" s="44"/>
      <c r="B900" s="45"/>
      <c r="C900" s="375" t="s">
        <v>101</v>
      </c>
      <c r="D900" s="375"/>
      <c r="E900" s="375"/>
      <c r="F900" s="375"/>
      <c r="G900" s="46" t="str">
        <f>$J$1</f>
        <v>October</v>
      </c>
      <c r="H900" s="376">
        <f>$K$1</f>
        <v>2020</v>
      </c>
      <c r="I900" s="376"/>
      <c r="J900" s="45"/>
      <c r="K900" s="47"/>
      <c r="L900" s="48"/>
      <c r="M900" s="47"/>
      <c r="N900" s="84"/>
      <c r="O900" s="85" t="s">
        <v>58</v>
      </c>
      <c r="P900" s="85" t="s">
        <v>7</v>
      </c>
      <c r="Q900" s="85" t="s">
        <v>6</v>
      </c>
      <c r="R900" s="85" t="s">
        <v>59</v>
      </c>
      <c r="S900" s="86"/>
      <c r="T900" s="85" t="s">
        <v>58</v>
      </c>
      <c r="U900" s="85" t="s">
        <v>60</v>
      </c>
      <c r="V900" s="85" t="s">
        <v>23</v>
      </c>
      <c r="W900" s="85" t="s">
        <v>22</v>
      </c>
      <c r="X900" s="85" t="s">
        <v>24</v>
      </c>
      <c r="Y900" s="85" t="s">
        <v>64</v>
      </c>
      <c r="Z900" s="87"/>
      <c r="AA900" s="47"/>
    </row>
    <row r="901" spans="1:27" s="43" customFormat="1" ht="21" customHeight="1" x14ac:dyDescent="0.25">
      <c r="A901" s="44"/>
      <c r="B901" s="45"/>
      <c r="C901" s="45"/>
      <c r="D901" s="50"/>
      <c r="E901" s="50"/>
      <c r="F901" s="50"/>
      <c r="G901" s="50"/>
      <c r="H901" s="50"/>
      <c r="I901" s="45"/>
      <c r="J901" s="51" t="s">
        <v>1</v>
      </c>
      <c r="K901" s="52">
        <v>19000</v>
      </c>
      <c r="L901" s="53"/>
      <c r="M901" s="45"/>
      <c r="N901" s="88"/>
      <c r="O901" s="89" t="s">
        <v>50</v>
      </c>
      <c r="P901" s="89">
        <v>31</v>
      </c>
      <c r="Q901" s="89">
        <v>0</v>
      </c>
      <c r="R901" s="89">
        <f>15-Q901</f>
        <v>15</v>
      </c>
      <c r="S901" s="90"/>
      <c r="T901" s="89" t="s">
        <v>50</v>
      </c>
      <c r="U901" s="91">
        <v>2000</v>
      </c>
      <c r="V901" s="91"/>
      <c r="W901" s="91">
        <f>V901+U901</f>
        <v>2000</v>
      </c>
      <c r="X901" s="91">
        <v>2000</v>
      </c>
      <c r="Y901" s="91">
        <f>W901-X901</f>
        <v>0</v>
      </c>
      <c r="Z901" s="87"/>
      <c r="AA901" s="45"/>
    </row>
    <row r="902" spans="1:27" s="43" customFormat="1" ht="21" customHeight="1" x14ac:dyDescent="0.25">
      <c r="A902" s="44"/>
      <c r="B902" s="45" t="s">
        <v>0</v>
      </c>
      <c r="C902" s="55" t="s">
        <v>89</v>
      </c>
      <c r="D902" s="45"/>
      <c r="E902" s="45"/>
      <c r="F902" s="45"/>
      <c r="G902" s="45"/>
      <c r="H902" s="56"/>
      <c r="I902" s="50"/>
      <c r="J902" s="45"/>
      <c r="K902" s="45"/>
      <c r="L902" s="57"/>
      <c r="M902" s="42"/>
      <c r="N902" s="92"/>
      <c r="O902" s="89" t="s">
        <v>76</v>
      </c>
      <c r="P902" s="89">
        <v>28</v>
      </c>
      <c r="Q902" s="89">
        <v>1</v>
      </c>
      <c r="R902" s="89">
        <f>IF(Q902="","",R901-Q902)</f>
        <v>14</v>
      </c>
      <c r="S902" s="93"/>
      <c r="T902" s="89" t="s">
        <v>76</v>
      </c>
      <c r="U902" s="162">
        <f>IF($J$1="January","",Y901)</f>
        <v>0</v>
      </c>
      <c r="V902" s="91"/>
      <c r="W902" s="162">
        <f>IF(U902="","",U902+V902)</f>
        <v>0</v>
      </c>
      <c r="X902" s="91"/>
      <c r="Y902" s="162">
        <f>IF(W902="","",W902-X902)</f>
        <v>0</v>
      </c>
      <c r="Z902" s="94"/>
      <c r="AA902" s="42"/>
    </row>
    <row r="903" spans="1:27" s="43" customFormat="1" ht="21" customHeight="1" x14ac:dyDescent="0.25">
      <c r="A903" s="44"/>
      <c r="B903" s="59" t="s">
        <v>46</v>
      </c>
      <c r="C903" s="60"/>
      <c r="D903" s="45"/>
      <c r="E903" s="45"/>
      <c r="F903" s="366" t="s">
        <v>48</v>
      </c>
      <c r="G903" s="366"/>
      <c r="H903" s="45"/>
      <c r="I903" s="366" t="s">
        <v>49</v>
      </c>
      <c r="J903" s="366"/>
      <c r="K903" s="366"/>
      <c r="L903" s="61"/>
      <c r="M903" s="45"/>
      <c r="N903" s="88"/>
      <c r="O903" s="89" t="s">
        <v>51</v>
      </c>
      <c r="P903" s="89">
        <v>31</v>
      </c>
      <c r="Q903" s="89">
        <v>0</v>
      </c>
      <c r="R903" s="89">
        <f t="shared" ref="R903:R912" si="172">IF(Q903="","",R902-Q903)</f>
        <v>14</v>
      </c>
      <c r="S903" s="93"/>
      <c r="T903" s="89" t="s">
        <v>51</v>
      </c>
      <c r="U903" s="162">
        <f>IF($J$1="February","",Y902)</f>
        <v>0</v>
      </c>
      <c r="V903" s="91"/>
      <c r="W903" s="162">
        <f t="shared" ref="W903:W912" si="173">IF(U903="","",U903+V903)</f>
        <v>0</v>
      </c>
      <c r="X903" s="91"/>
      <c r="Y903" s="162">
        <f t="shared" ref="Y903:Y912" si="174">IF(W903="","",W903-X903)</f>
        <v>0</v>
      </c>
      <c r="Z903" s="94"/>
      <c r="AA903" s="45"/>
    </row>
    <row r="904" spans="1:27" s="43" customFormat="1" ht="21" customHeight="1" x14ac:dyDescent="0.25">
      <c r="A904" s="44"/>
      <c r="B904" s="45"/>
      <c r="C904" s="45"/>
      <c r="D904" s="45"/>
      <c r="E904" s="45"/>
      <c r="F904" s="45"/>
      <c r="G904" s="45"/>
      <c r="H904" s="62"/>
      <c r="L904" s="49"/>
      <c r="M904" s="45"/>
      <c r="N904" s="88"/>
      <c r="O904" s="89" t="s">
        <v>52</v>
      </c>
      <c r="P904" s="89">
        <v>30</v>
      </c>
      <c r="Q904" s="89">
        <v>0</v>
      </c>
      <c r="R904" s="89">
        <f t="shared" si="172"/>
        <v>14</v>
      </c>
      <c r="S904" s="93"/>
      <c r="T904" s="89" t="s">
        <v>52</v>
      </c>
      <c r="U904" s="162">
        <f>IF($J$1="March","",Y903)</f>
        <v>0</v>
      </c>
      <c r="V904" s="91"/>
      <c r="W904" s="162">
        <f t="shared" si="173"/>
        <v>0</v>
      </c>
      <c r="X904" s="91"/>
      <c r="Y904" s="162">
        <f t="shared" si="174"/>
        <v>0</v>
      </c>
      <c r="Z904" s="94"/>
      <c r="AA904" s="45"/>
    </row>
    <row r="905" spans="1:27" s="43" customFormat="1" ht="21" customHeight="1" x14ac:dyDescent="0.25">
      <c r="A905" s="44"/>
      <c r="B905" s="367" t="s">
        <v>47</v>
      </c>
      <c r="C905" s="368"/>
      <c r="D905" s="45"/>
      <c r="E905" s="45"/>
      <c r="F905" s="63" t="s">
        <v>69</v>
      </c>
      <c r="G905" s="125">
        <f>IF($J$1="January",U901,IF($J$1="February",U902,IF($J$1="March",U903,IF($J$1="April",U904,IF($J$1="May",U905,IF($J$1="June",U906,IF($J$1="July",U907,IF($J$1="August",U908,IF($J$1="August",U908,IF($J$1="September",U909,IF($J$1="October",U910,IF($J$1="November",U911,IF($J$1="December",U912)))))))))))))</f>
        <v>30000</v>
      </c>
      <c r="H905" s="62"/>
      <c r="I905" s="64">
        <f>IF(C909&gt;0,$K$2,C907)</f>
        <v>31</v>
      </c>
      <c r="J905" s="65" t="s">
        <v>66</v>
      </c>
      <c r="K905" s="66">
        <f>K901/$K$2*I905</f>
        <v>19000</v>
      </c>
      <c r="L905" s="67"/>
      <c r="M905" s="45"/>
      <c r="N905" s="88"/>
      <c r="O905" s="89" t="s">
        <v>53</v>
      </c>
      <c r="P905" s="89">
        <v>30</v>
      </c>
      <c r="Q905" s="89">
        <v>1</v>
      </c>
      <c r="R905" s="89">
        <f t="shared" si="172"/>
        <v>13</v>
      </c>
      <c r="S905" s="93"/>
      <c r="T905" s="89" t="s">
        <v>53</v>
      </c>
      <c r="U905" s="162">
        <f>IF($J$1="April","",Y904)</f>
        <v>0</v>
      </c>
      <c r="V905" s="91"/>
      <c r="W905" s="162">
        <f t="shared" si="173"/>
        <v>0</v>
      </c>
      <c r="X905" s="91"/>
      <c r="Y905" s="162">
        <f t="shared" si="174"/>
        <v>0</v>
      </c>
      <c r="Z905" s="94"/>
      <c r="AA905" s="45"/>
    </row>
    <row r="906" spans="1:27" s="43" customFormat="1" ht="21" customHeight="1" x14ac:dyDescent="0.25">
      <c r="A906" s="44"/>
      <c r="B906" s="54"/>
      <c r="C906" s="54"/>
      <c r="D906" s="45"/>
      <c r="E906" s="45"/>
      <c r="F906" s="63" t="s">
        <v>23</v>
      </c>
      <c r="G906" s="125">
        <f>IF($J$1="January",V901,IF($J$1="February",V902,IF($J$1="March",V903,IF($J$1="April",V904,IF($J$1="May",V905,IF($J$1="June",V906,IF($J$1="July",V907,IF($J$1="August",V908,IF($J$1="August",V908,IF($J$1="September",V909,IF($J$1="October",V910,IF($J$1="November",V911,IF($J$1="December",V912)))))))))))))</f>
        <v>0</v>
      </c>
      <c r="H906" s="62"/>
      <c r="I906" s="108">
        <v>90</v>
      </c>
      <c r="J906" s="65" t="s">
        <v>67</v>
      </c>
      <c r="K906" s="68">
        <f>K901/$K$2/8*I906</f>
        <v>6895.1612903225805</v>
      </c>
      <c r="L906" s="69"/>
      <c r="M906" s="45"/>
      <c r="N906" s="88"/>
      <c r="O906" s="89" t="s">
        <v>54</v>
      </c>
      <c r="P906" s="89">
        <v>28</v>
      </c>
      <c r="Q906" s="89">
        <v>2</v>
      </c>
      <c r="R906" s="89">
        <f t="shared" si="172"/>
        <v>11</v>
      </c>
      <c r="S906" s="93"/>
      <c r="T906" s="89" t="s">
        <v>54</v>
      </c>
      <c r="U906" s="162">
        <f>IF($J$1="May","",Y905)</f>
        <v>0</v>
      </c>
      <c r="V906" s="91">
        <f>43000+7000</f>
        <v>50000</v>
      </c>
      <c r="W906" s="162">
        <f t="shared" si="173"/>
        <v>50000</v>
      </c>
      <c r="X906" s="91"/>
      <c r="Y906" s="162">
        <f t="shared" si="174"/>
        <v>50000</v>
      </c>
      <c r="Z906" s="94"/>
      <c r="AA906" s="45"/>
    </row>
    <row r="907" spans="1:27" s="43" customFormat="1" ht="21" customHeight="1" x14ac:dyDescent="0.25">
      <c r="A907" s="44"/>
      <c r="B907" s="63" t="s">
        <v>7</v>
      </c>
      <c r="C907" s="54">
        <f>IF($J$1="January",P901,IF($J$1="February",P902,IF($J$1="March",P903,IF($J$1="April",P904,IF($J$1="May",P905,IF($J$1="June",P906,IF($J$1="July",P907,IF($J$1="August",P908,IF($J$1="August",P908,IF($J$1="September",P909,IF($J$1="October",P910,IF($J$1="November",P911,IF($J$1="December",P912)))))))))))))</f>
        <v>31</v>
      </c>
      <c r="D907" s="45"/>
      <c r="E907" s="45"/>
      <c r="F907" s="63" t="s">
        <v>70</v>
      </c>
      <c r="G907" s="125">
        <f>IF($J$1="January",W901,IF($J$1="February",W902,IF($J$1="March",W903,IF($J$1="April",W904,IF($J$1="May",W905,IF($J$1="June",W906,IF($J$1="July",W907,IF($J$1="August",W908,IF($J$1="August",W908,IF($J$1="September",W909,IF($J$1="October",W910,IF($J$1="November",W911,IF($J$1="December",W912)))))))))))))</f>
        <v>30000</v>
      </c>
      <c r="H907" s="62"/>
      <c r="I907" s="361" t="s">
        <v>74</v>
      </c>
      <c r="J907" s="362"/>
      <c r="K907" s="68">
        <f>K905+K906</f>
        <v>25895.16129032258</v>
      </c>
      <c r="L907" s="69"/>
      <c r="M907" s="45"/>
      <c r="N907" s="88"/>
      <c r="O907" s="89" t="s">
        <v>55</v>
      </c>
      <c r="P907" s="89">
        <v>31</v>
      </c>
      <c r="Q907" s="89">
        <v>0</v>
      </c>
      <c r="R907" s="89">
        <f t="shared" si="172"/>
        <v>11</v>
      </c>
      <c r="S907" s="93"/>
      <c r="T907" s="89" t="s">
        <v>55</v>
      </c>
      <c r="U907" s="162">
        <f>IF($J$1="June","",Y906)</f>
        <v>50000</v>
      </c>
      <c r="V907" s="91">
        <v>5000</v>
      </c>
      <c r="W907" s="162">
        <f t="shared" si="173"/>
        <v>55000</v>
      </c>
      <c r="X907" s="91">
        <v>10000</v>
      </c>
      <c r="Y907" s="162">
        <f t="shared" si="174"/>
        <v>45000</v>
      </c>
      <c r="Z907" s="94"/>
      <c r="AA907" s="45"/>
    </row>
    <row r="908" spans="1:27" s="43" customFormat="1" ht="21" customHeight="1" x14ac:dyDescent="0.25">
      <c r="A908" s="44"/>
      <c r="B908" s="63" t="s">
        <v>6</v>
      </c>
      <c r="C908" s="54">
        <f>IF($J$1="January",Q901,IF($J$1="February",Q902,IF($J$1="March",Q903,IF($J$1="April",Q904,IF($J$1="May",Q905,IF($J$1="June",Q906,IF($J$1="July",Q907,IF($J$1="August",Q908,IF($J$1="August",Q908,IF($J$1="September",Q909,IF($J$1="October",Q910,IF($J$1="November",Q911,IF($J$1="December",Q912)))))))))))))</f>
        <v>0</v>
      </c>
      <c r="D908" s="45"/>
      <c r="E908" s="45"/>
      <c r="F908" s="63" t="s">
        <v>24</v>
      </c>
      <c r="G908" s="125">
        <f>IF($J$1="January",X901,IF($J$1="February",X902,IF($J$1="March",X903,IF($J$1="April",X904,IF($J$1="May",X905,IF($J$1="June",X906,IF($J$1="July",X907,IF($J$1="August",X908,IF($J$1="August",X908,IF($J$1="September",X909,IF($J$1="October",X910,IF($J$1="November",X911,IF($J$1="December",X912)))))))))))))</f>
        <v>10000</v>
      </c>
      <c r="H908" s="62"/>
      <c r="I908" s="361" t="s">
        <v>75</v>
      </c>
      <c r="J908" s="362"/>
      <c r="K908" s="58">
        <f>G908</f>
        <v>10000</v>
      </c>
      <c r="L908" s="70"/>
      <c r="M908" s="45"/>
      <c r="N908" s="88"/>
      <c r="O908" s="89" t="s">
        <v>56</v>
      </c>
      <c r="P908" s="89">
        <v>30</v>
      </c>
      <c r="Q908" s="89">
        <v>1</v>
      </c>
      <c r="R908" s="89">
        <f t="shared" si="172"/>
        <v>10</v>
      </c>
      <c r="S908" s="93"/>
      <c r="T908" s="89" t="s">
        <v>56</v>
      </c>
      <c r="U908" s="162">
        <f>IF($J$1="July","",Y907)</f>
        <v>45000</v>
      </c>
      <c r="V908" s="91"/>
      <c r="W908" s="162">
        <f t="shared" si="173"/>
        <v>45000</v>
      </c>
      <c r="X908" s="91">
        <v>10000</v>
      </c>
      <c r="Y908" s="162">
        <f t="shared" si="174"/>
        <v>35000</v>
      </c>
      <c r="Z908" s="94"/>
      <c r="AA908" s="45"/>
    </row>
    <row r="909" spans="1:27" s="43" customFormat="1" ht="21" customHeight="1" x14ac:dyDescent="0.25">
      <c r="A909" s="44"/>
      <c r="B909" s="71" t="s">
        <v>73</v>
      </c>
      <c r="C909" s="54">
        <f>IF($J$1="January",R901,IF($J$1="February",R902,IF($J$1="March",R903,IF($J$1="April",R904,IF($J$1="May",R905,IF($J$1="June",R906,IF($J$1="July",R907,IF($J$1="August",R908,IF($J$1="August",R908,IF($J$1="September",R909,IF($J$1="October",R910,IF($J$1="November",R911,IF($J$1="December",R912)))))))))))))</f>
        <v>10</v>
      </c>
      <c r="D909" s="45"/>
      <c r="E909" s="45"/>
      <c r="F909" s="63" t="s">
        <v>72</v>
      </c>
      <c r="G909" s="125">
        <f>IF($J$1="January",Y901,IF($J$1="February",Y902,IF($J$1="March",Y903,IF($J$1="April",Y904,IF($J$1="May",Y905,IF($J$1="June",Y906,IF($J$1="July",Y907,IF($J$1="August",Y908,IF($J$1="August",Y908,IF($J$1="September",Y909,IF($J$1="October",Y910,IF($J$1="November",Y911,IF($J$1="December",Y912)))))))))))))</f>
        <v>20000</v>
      </c>
      <c r="H909" s="45"/>
      <c r="I909" s="363" t="s">
        <v>68</v>
      </c>
      <c r="J909" s="364"/>
      <c r="K909" s="72">
        <f>K907-K908</f>
        <v>15895.16129032258</v>
      </c>
      <c r="L909" s="73"/>
      <c r="M909" s="45"/>
      <c r="N909" s="88"/>
      <c r="O909" s="89" t="s">
        <v>61</v>
      </c>
      <c r="P909" s="89">
        <v>30</v>
      </c>
      <c r="Q909" s="89">
        <v>0</v>
      </c>
      <c r="R909" s="89">
        <f t="shared" si="172"/>
        <v>10</v>
      </c>
      <c r="S909" s="93"/>
      <c r="T909" s="89" t="s">
        <v>61</v>
      </c>
      <c r="U909" s="162">
        <f>IF($J$1="August","",Y908)</f>
        <v>35000</v>
      </c>
      <c r="V909" s="91"/>
      <c r="W909" s="162">
        <f t="shared" si="173"/>
        <v>35000</v>
      </c>
      <c r="X909" s="91">
        <v>5000</v>
      </c>
      <c r="Y909" s="162">
        <f t="shared" si="174"/>
        <v>30000</v>
      </c>
      <c r="Z909" s="94"/>
      <c r="AA909" s="45"/>
    </row>
    <row r="910" spans="1:27" s="43" customFormat="1" ht="21" customHeight="1" x14ac:dyDescent="0.25">
      <c r="A910" s="44"/>
      <c r="B910" s="45"/>
      <c r="C910" s="45"/>
      <c r="D910" s="45"/>
      <c r="E910" s="45"/>
      <c r="F910" s="45"/>
      <c r="G910" s="45"/>
      <c r="H910" s="45"/>
      <c r="I910" s="45"/>
      <c r="J910" s="45"/>
      <c r="K910" s="177"/>
      <c r="L910" s="61"/>
      <c r="M910" s="45"/>
      <c r="N910" s="88"/>
      <c r="O910" s="89" t="s">
        <v>57</v>
      </c>
      <c r="P910" s="89">
        <v>31</v>
      </c>
      <c r="Q910" s="89">
        <v>0</v>
      </c>
      <c r="R910" s="89">
        <f t="shared" si="172"/>
        <v>10</v>
      </c>
      <c r="S910" s="93"/>
      <c r="T910" s="89" t="s">
        <v>57</v>
      </c>
      <c r="U910" s="162">
        <f>IF($J$1="September","",Y909)</f>
        <v>30000</v>
      </c>
      <c r="V910" s="91"/>
      <c r="W910" s="162">
        <f t="shared" si="173"/>
        <v>30000</v>
      </c>
      <c r="X910" s="91">
        <v>10000</v>
      </c>
      <c r="Y910" s="162">
        <f t="shared" si="174"/>
        <v>20000</v>
      </c>
      <c r="Z910" s="94"/>
      <c r="AA910" s="45"/>
    </row>
    <row r="911" spans="1:27" s="43" customFormat="1" ht="21" customHeight="1" x14ac:dyDescent="0.25">
      <c r="A911" s="44"/>
      <c r="B911" s="365"/>
      <c r="C911" s="365"/>
      <c r="D911" s="365"/>
      <c r="E911" s="365"/>
      <c r="F911" s="365"/>
      <c r="G911" s="365"/>
      <c r="H911" s="365"/>
      <c r="I911" s="365"/>
      <c r="J911" s="365"/>
      <c r="K911" s="365"/>
      <c r="L911" s="61"/>
      <c r="M911" s="45"/>
      <c r="N911" s="88"/>
      <c r="O911" s="89" t="s">
        <v>62</v>
      </c>
      <c r="P911" s="89"/>
      <c r="Q911" s="89"/>
      <c r="R911" s="89" t="str">
        <f t="shared" si="172"/>
        <v/>
      </c>
      <c r="S911" s="93"/>
      <c r="T911" s="89" t="s">
        <v>62</v>
      </c>
      <c r="U911" s="162" t="str">
        <f>IF($J$1="October","",Y910)</f>
        <v/>
      </c>
      <c r="V911" s="91">
        <v>110</v>
      </c>
      <c r="W911" s="162" t="str">
        <f t="shared" si="173"/>
        <v/>
      </c>
      <c r="X911" s="91"/>
      <c r="Y911" s="162" t="str">
        <f t="shared" si="174"/>
        <v/>
      </c>
      <c r="Z911" s="94"/>
      <c r="AA911" s="45"/>
    </row>
    <row r="912" spans="1:27" s="43" customFormat="1" ht="21" customHeight="1" x14ac:dyDescent="0.25">
      <c r="A912" s="44"/>
      <c r="B912" s="365"/>
      <c r="C912" s="365"/>
      <c r="D912" s="365"/>
      <c r="E912" s="365"/>
      <c r="F912" s="365"/>
      <c r="G912" s="365"/>
      <c r="H912" s="365"/>
      <c r="I912" s="365"/>
      <c r="J912" s="365"/>
      <c r="K912" s="365"/>
      <c r="L912" s="61"/>
      <c r="M912" s="45"/>
      <c r="N912" s="88"/>
      <c r="O912" s="89" t="s">
        <v>63</v>
      </c>
      <c r="P912" s="89"/>
      <c r="Q912" s="89"/>
      <c r="R912" s="89" t="str">
        <f t="shared" si="172"/>
        <v/>
      </c>
      <c r="S912" s="93"/>
      <c r="T912" s="89" t="s">
        <v>63</v>
      </c>
      <c r="U912" s="162" t="str">
        <f>IF($J$1="November","",Y911)</f>
        <v/>
      </c>
      <c r="V912" s="91"/>
      <c r="W912" s="162" t="str">
        <f t="shared" si="173"/>
        <v/>
      </c>
      <c r="X912" s="91"/>
      <c r="Y912" s="162" t="str">
        <f t="shared" si="174"/>
        <v/>
      </c>
      <c r="Z912" s="94"/>
      <c r="AA912" s="45"/>
    </row>
    <row r="913" spans="1:27" s="43" customFormat="1" ht="21" customHeight="1" thickBot="1" x14ac:dyDescent="0.3">
      <c r="A913" s="74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6"/>
      <c r="N913" s="95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7"/>
    </row>
    <row r="914" spans="1:27" s="43" customFormat="1" ht="21" customHeight="1" x14ac:dyDescent="0.25">
      <c r="A914" s="377" t="s">
        <v>45</v>
      </c>
      <c r="B914" s="378"/>
      <c r="C914" s="378"/>
      <c r="D914" s="378"/>
      <c r="E914" s="378"/>
      <c r="F914" s="378"/>
      <c r="G914" s="378"/>
      <c r="H914" s="378"/>
      <c r="I914" s="378"/>
      <c r="J914" s="378"/>
      <c r="K914" s="378"/>
      <c r="L914" s="379"/>
      <c r="M914" s="42"/>
      <c r="N914" s="81"/>
      <c r="O914" s="372" t="s">
        <v>47</v>
      </c>
      <c r="P914" s="373"/>
      <c r="Q914" s="373"/>
      <c r="R914" s="374"/>
      <c r="S914" s="82"/>
      <c r="T914" s="372" t="s">
        <v>48</v>
      </c>
      <c r="U914" s="373"/>
      <c r="V914" s="373"/>
      <c r="W914" s="373"/>
      <c r="X914" s="373"/>
      <c r="Y914" s="374"/>
      <c r="Z914" s="83"/>
      <c r="AA914" s="42"/>
    </row>
    <row r="915" spans="1:27" s="43" customFormat="1" ht="21" customHeight="1" x14ac:dyDescent="0.25">
      <c r="A915" s="44"/>
      <c r="B915" s="45"/>
      <c r="C915" s="375" t="s">
        <v>101</v>
      </c>
      <c r="D915" s="375"/>
      <c r="E915" s="375"/>
      <c r="F915" s="375"/>
      <c r="G915" s="46" t="str">
        <f>$J$1</f>
        <v>October</v>
      </c>
      <c r="H915" s="376">
        <f>$K$1</f>
        <v>2020</v>
      </c>
      <c r="I915" s="376"/>
      <c r="J915" s="45"/>
      <c r="K915" s="47"/>
      <c r="L915" s="48"/>
      <c r="M915" s="47"/>
      <c r="N915" s="84"/>
      <c r="O915" s="85" t="s">
        <v>58</v>
      </c>
      <c r="P915" s="85" t="s">
        <v>7</v>
      </c>
      <c r="Q915" s="85" t="s">
        <v>6</v>
      </c>
      <c r="R915" s="85" t="s">
        <v>59</v>
      </c>
      <c r="S915" s="86"/>
      <c r="T915" s="85" t="s">
        <v>58</v>
      </c>
      <c r="U915" s="85" t="s">
        <v>60</v>
      </c>
      <c r="V915" s="85" t="s">
        <v>23</v>
      </c>
      <c r="W915" s="85" t="s">
        <v>22</v>
      </c>
      <c r="X915" s="85" t="s">
        <v>24</v>
      </c>
      <c r="Y915" s="85" t="s">
        <v>64</v>
      </c>
      <c r="Z915" s="87"/>
      <c r="AA915" s="47"/>
    </row>
    <row r="916" spans="1:27" s="43" customFormat="1" ht="21" customHeight="1" x14ac:dyDescent="0.25">
      <c r="A916" s="44"/>
      <c r="B916" s="45"/>
      <c r="C916" s="45"/>
      <c r="D916" s="50"/>
      <c r="E916" s="50"/>
      <c r="F916" s="50"/>
      <c r="G916" s="50"/>
      <c r="H916" s="50"/>
      <c r="I916" s="45"/>
      <c r="J916" s="51" t="s">
        <v>1</v>
      </c>
      <c r="K916" s="52">
        <v>20000</v>
      </c>
      <c r="L916" s="53"/>
      <c r="M916" s="45"/>
      <c r="N916" s="88"/>
      <c r="O916" s="89" t="s">
        <v>50</v>
      </c>
      <c r="P916" s="89">
        <v>30</v>
      </c>
      <c r="Q916" s="89">
        <v>1</v>
      </c>
      <c r="R916" s="89"/>
      <c r="S916" s="90"/>
      <c r="T916" s="89" t="s">
        <v>50</v>
      </c>
      <c r="U916" s="91"/>
      <c r="V916" s="91"/>
      <c r="W916" s="91">
        <f>V916+U916</f>
        <v>0</v>
      </c>
      <c r="X916" s="91"/>
      <c r="Y916" s="91">
        <f>W916-X916</f>
        <v>0</v>
      </c>
      <c r="Z916" s="87"/>
      <c r="AA916" s="45"/>
    </row>
    <row r="917" spans="1:27" s="43" customFormat="1" ht="21" customHeight="1" x14ac:dyDescent="0.25">
      <c r="A917" s="44"/>
      <c r="B917" s="45" t="s">
        <v>0</v>
      </c>
      <c r="C917" s="55" t="s">
        <v>150</v>
      </c>
      <c r="D917" s="45"/>
      <c r="E917" s="45"/>
      <c r="F917" s="45"/>
      <c r="G917" s="45"/>
      <c r="H917" s="56"/>
      <c r="I917" s="50"/>
      <c r="J917" s="45"/>
      <c r="K917" s="45"/>
      <c r="L917" s="57"/>
      <c r="M917" s="42"/>
      <c r="N917" s="92"/>
      <c r="O917" s="89" t="s">
        <v>76</v>
      </c>
      <c r="P917" s="89">
        <v>27</v>
      </c>
      <c r="Q917" s="89">
        <v>2</v>
      </c>
      <c r="R917" s="89">
        <v>0</v>
      </c>
      <c r="S917" s="93"/>
      <c r="T917" s="89" t="s">
        <v>76</v>
      </c>
      <c r="U917" s="162">
        <f>IF($J$1="January","",Y916)</f>
        <v>0</v>
      </c>
      <c r="V917" s="91"/>
      <c r="W917" s="162">
        <f>IF(U917="","",U917+V917)</f>
        <v>0</v>
      </c>
      <c r="X917" s="91"/>
      <c r="Y917" s="162">
        <f>IF(W917="","",W917-X917)</f>
        <v>0</v>
      </c>
      <c r="Z917" s="94"/>
      <c r="AA917" s="42"/>
    </row>
    <row r="918" spans="1:27" s="43" customFormat="1" ht="21" customHeight="1" x14ac:dyDescent="0.25">
      <c r="A918" s="44"/>
      <c r="B918" s="59" t="s">
        <v>46</v>
      </c>
      <c r="C918" s="60"/>
      <c r="D918" s="45"/>
      <c r="E918" s="45"/>
      <c r="F918" s="366" t="s">
        <v>48</v>
      </c>
      <c r="G918" s="366"/>
      <c r="H918" s="45"/>
      <c r="I918" s="366" t="s">
        <v>49</v>
      </c>
      <c r="J918" s="366"/>
      <c r="K918" s="366"/>
      <c r="L918" s="61"/>
      <c r="M918" s="45"/>
      <c r="N918" s="88"/>
      <c r="O918" s="89" t="s">
        <v>51</v>
      </c>
      <c r="P918" s="89">
        <v>30</v>
      </c>
      <c r="Q918" s="89">
        <v>1</v>
      </c>
      <c r="R918" s="89">
        <v>0</v>
      </c>
      <c r="S918" s="93"/>
      <c r="T918" s="89" t="s">
        <v>51</v>
      </c>
      <c r="U918" s="162">
        <f>IF($J$1="February","",Y917)</f>
        <v>0</v>
      </c>
      <c r="V918" s="91"/>
      <c r="W918" s="162">
        <f t="shared" ref="W918:W927" si="175">IF(U918="","",U918+V918)</f>
        <v>0</v>
      </c>
      <c r="X918" s="91"/>
      <c r="Y918" s="162">
        <f t="shared" ref="Y918:Y927" si="176">IF(W918="","",W918-X918)</f>
        <v>0</v>
      </c>
      <c r="Z918" s="94"/>
      <c r="AA918" s="45"/>
    </row>
    <row r="919" spans="1:27" s="43" customFormat="1" ht="21" customHeight="1" x14ac:dyDescent="0.25">
      <c r="A919" s="44"/>
      <c r="B919" s="45"/>
      <c r="C919" s="45"/>
      <c r="D919" s="45"/>
      <c r="E919" s="45"/>
      <c r="F919" s="45"/>
      <c r="G919" s="45"/>
      <c r="H919" s="62"/>
      <c r="L919" s="49"/>
      <c r="M919" s="45"/>
      <c r="N919" s="88"/>
      <c r="O919" s="89" t="s">
        <v>52</v>
      </c>
      <c r="P919" s="89">
        <v>29</v>
      </c>
      <c r="Q919" s="89">
        <v>1</v>
      </c>
      <c r="R919" s="89">
        <v>0</v>
      </c>
      <c r="S919" s="93"/>
      <c r="T919" s="89" t="s">
        <v>52</v>
      </c>
      <c r="U919" s="162">
        <f>IF($J$1="March","",Y918)</f>
        <v>0</v>
      </c>
      <c r="V919" s="91"/>
      <c r="W919" s="162">
        <f t="shared" si="175"/>
        <v>0</v>
      </c>
      <c r="X919" s="91"/>
      <c r="Y919" s="162">
        <f t="shared" si="176"/>
        <v>0</v>
      </c>
      <c r="Z919" s="94"/>
      <c r="AA919" s="45"/>
    </row>
    <row r="920" spans="1:27" s="43" customFormat="1" ht="21" customHeight="1" x14ac:dyDescent="0.25">
      <c r="A920" s="44"/>
      <c r="B920" s="367" t="s">
        <v>47</v>
      </c>
      <c r="C920" s="368"/>
      <c r="D920" s="45"/>
      <c r="E920" s="45"/>
      <c r="F920" s="63" t="s">
        <v>69</v>
      </c>
      <c r="G920" s="58">
        <f>IF($J$1="January",U916,IF($J$1="February",U917,IF($J$1="March",U918,IF($J$1="April",U919,IF($J$1="May",U920,IF($J$1="June",U921,IF($J$1="July",U922,IF($J$1="August",U923,IF($J$1="August",U923,IF($J$1="September",U924,IF($J$1="October",U925,IF($J$1="November",U926,IF($J$1="December",U927)))))))))))))</f>
        <v>0</v>
      </c>
      <c r="H920" s="62"/>
      <c r="I920" s="64">
        <f>IF(C924&gt;0,$K$2,C922)</f>
        <v>31</v>
      </c>
      <c r="J920" s="65" t="s">
        <v>66</v>
      </c>
      <c r="K920" s="66">
        <f>K916/$K$2*I920</f>
        <v>20000</v>
      </c>
      <c r="L920" s="67"/>
      <c r="M920" s="45"/>
      <c r="N920" s="88"/>
      <c r="O920" s="89" t="s">
        <v>53</v>
      </c>
      <c r="P920" s="89">
        <v>30</v>
      </c>
      <c r="Q920" s="89">
        <v>1</v>
      </c>
      <c r="R920" s="89">
        <v>0</v>
      </c>
      <c r="S920" s="93"/>
      <c r="T920" s="89" t="s">
        <v>53</v>
      </c>
      <c r="U920" s="162">
        <f>IF($J$1="April","",Y919)</f>
        <v>0</v>
      </c>
      <c r="V920" s="91"/>
      <c r="W920" s="162">
        <f t="shared" si="175"/>
        <v>0</v>
      </c>
      <c r="X920" s="91"/>
      <c r="Y920" s="162">
        <f t="shared" si="176"/>
        <v>0</v>
      </c>
      <c r="Z920" s="94"/>
      <c r="AA920" s="45"/>
    </row>
    <row r="921" spans="1:27" s="43" customFormat="1" ht="21" customHeight="1" x14ac:dyDescent="0.25">
      <c r="A921" s="44"/>
      <c r="B921" s="54"/>
      <c r="C921" s="54"/>
      <c r="D921" s="45"/>
      <c r="E921" s="45"/>
      <c r="F921" s="63" t="s">
        <v>23</v>
      </c>
      <c r="G921" s="179">
        <f>IF($J$1="January",V916,IF($J$1="February",V917,IF($J$1="March",V918,IF($J$1="April",V919,IF($J$1="May",V920,IF($J$1="June",V921,IF($J$1="July",V922,IF($J$1="August",V923,IF($J$1="August",V923,IF($J$1="September",V924,IF($J$1="October",V925,IF($J$1="November",V926,IF($J$1="December",V927)))))))))))))</f>
        <v>0</v>
      </c>
      <c r="H921" s="62"/>
      <c r="I921" s="108">
        <v>60</v>
      </c>
      <c r="J921" s="65" t="s">
        <v>67</v>
      </c>
      <c r="K921" s="68">
        <f>K916/$K$2/8*I921</f>
        <v>4838.7096774193542</v>
      </c>
      <c r="L921" s="69"/>
      <c r="M921" s="45"/>
      <c r="N921" s="88"/>
      <c r="O921" s="89" t="s">
        <v>54</v>
      </c>
      <c r="P921" s="89">
        <v>29</v>
      </c>
      <c r="Q921" s="89">
        <v>1</v>
      </c>
      <c r="R921" s="89">
        <v>0</v>
      </c>
      <c r="S921" s="93"/>
      <c r="T921" s="89" t="s">
        <v>54</v>
      </c>
      <c r="U921" s="162">
        <f>IF($J$1="May","",Y920)</f>
        <v>0</v>
      </c>
      <c r="V921" s="91"/>
      <c r="W921" s="162">
        <f t="shared" si="175"/>
        <v>0</v>
      </c>
      <c r="X921" s="91"/>
      <c r="Y921" s="162">
        <f t="shared" si="176"/>
        <v>0</v>
      </c>
      <c r="Z921" s="94"/>
      <c r="AA921" s="45"/>
    </row>
    <row r="922" spans="1:27" s="43" customFormat="1" ht="21" customHeight="1" x14ac:dyDescent="0.25">
      <c r="A922" s="44"/>
      <c r="B922" s="63" t="s">
        <v>7</v>
      </c>
      <c r="C922" s="54">
        <f>IF($J$1="January",P916,IF($J$1="February",P917,IF($J$1="March",P918,IF($J$1="April",P919,IF($J$1="May",P920,IF($J$1="June",P921,IF($J$1="July",P922,IF($J$1="August",P923,IF($J$1="August",P923,IF($J$1="September",P924,IF($J$1="October",P925,IF($J$1="November",P926,IF($J$1="December",P927)))))))))))))</f>
        <v>28</v>
      </c>
      <c r="D922" s="45"/>
      <c r="E922" s="45"/>
      <c r="F922" s="63" t="s">
        <v>70</v>
      </c>
      <c r="G922" s="179">
        <f>IF($J$1="January",W916,IF($J$1="February",W917,IF($J$1="March",W918,IF($J$1="April",W919,IF($J$1="May",W920,IF($J$1="June",W921,IF($J$1="July",W922,IF($J$1="August",W923,IF($J$1="August",W923,IF($J$1="September",W924,IF($J$1="October",W925,IF($J$1="November",W926,IF($J$1="December",W927)))))))))))))</f>
        <v>0</v>
      </c>
      <c r="H922" s="62"/>
      <c r="I922" s="361" t="s">
        <v>74</v>
      </c>
      <c r="J922" s="362"/>
      <c r="K922" s="68">
        <f>K920+K921</f>
        <v>24838.709677419356</v>
      </c>
      <c r="L922" s="69"/>
      <c r="M922" s="45"/>
      <c r="N922" s="88"/>
      <c r="O922" s="89" t="s">
        <v>55</v>
      </c>
      <c r="P922" s="89">
        <v>30</v>
      </c>
      <c r="Q922" s="89">
        <v>1</v>
      </c>
      <c r="R922" s="89">
        <v>0</v>
      </c>
      <c r="S922" s="93"/>
      <c r="T922" s="89" t="s">
        <v>55</v>
      </c>
      <c r="U922" s="162">
        <f>IF($J$1="June","",Y921)</f>
        <v>0</v>
      </c>
      <c r="V922" s="91"/>
      <c r="W922" s="162">
        <f t="shared" si="175"/>
        <v>0</v>
      </c>
      <c r="X922" s="91"/>
      <c r="Y922" s="162">
        <f t="shared" si="176"/>
        <v>0</v>
      </c>
      <c r="Z922" s="94"/>
      <c r="AA922" s="45"/>
    </row>
    <row r="923" spans="1:27" s="43" customFormat="1" ht="21" customHeight="1" x14ac:dyDescent="0.25">
      <c r="A923" s="44"/>
      <c r="B923" s="63" t="s">
        <v>6</v>
      </c>
      <c r="C923" s="54">
        <f>IF($J$1="January",Q916,IF($J$1="February",Q917,IF($J$1="March",Q918,IF($J$1="April",Q919,IF($J$1="May",Q920,IF($J$1="June",Q921,IF($J$1="July",Q922,IF($J$1="August",Q923,IF($J$1="August",Q923,IF($J$1="September",Q924,IF($J$1="October",Q925,IF($J$1="November",Q926,IF($J$1="December",Q927)))))))))))))</f>
        <v>3</v>
      </c>
      <c r="D923" s="45"/>
      <c r="E923" s="45"/>
      <c r="F923" s="63" t="s">
        <v>24</v>
      </c>
      <c r="G923" s="179">
        <f>IF($J$1="January",X916,IF($J$1="February",X917,IF($J$1="March",X918,IF($J$1="April",X919,IF($J$1="May",X920,IF($J$1="June",X921,IF($J$1="July",X922,IF($J$1="August",X923,IF($J$1="August",X923,IF($J$1="September",X924,IF($J$1="October",X925,IF($J$1="November",X926,IF($J$1="December",X927)))))))))))))</f>
        <v>0</v>
      </c>
      <c r="H923" s="62"/>
      <c r="I923" s="361" t="s">
        <v>75</v>
      </c>
      <c r="J923" s="362"/>
      <c r="K923" s="58">
        <f>G923</f>
        <v>0</v>
      </c>
      <c r="L923" s="70"/>
      <c r="M923" s="45"/>
      <c r="N923" s="88"/>
      <c r="O923" s="89" t="s">
        <v>56</v>
      </c>
      <c r="P923" s="89">
        <v>29</v>
      </c>
      <c r="Q923" s="89">
        <v>2</v>
      </c>
      <c r="R923" s="89">
        <v>15</v>
      </c>
      <c r="S923" s="93"/>
      <c r="T923" s="89" t="s">
        <v>56</v>
      </c>
      <c r="U923" s="162">
        <f>IF($J$1="July","",Y922)</f>
        <v>0</v>
      </c>
      <c r="V923" s="91"/>
      <c r="W923" s="162">
        <f t="shared" si="175"/>
        <v>0</v>
      </c>
      <c r="X923" s="91"/>
      <c r="Y923" s="162">
        <f t="shared" si="176"/>
        <v>0</v>
      </c>
      <c r="Z923" s="94"/>
      <c r="AA923" s="45"/>
    </row>
    <row r="924" spans="1:27" s="43" customFormat="1" ht="21" customHeight="1" x14ac:dyDescent="0.25">
      <c r="A924" s="44"/>
      <c r="B924" s="71" t="s">
        <v>73</v>
      </c>
      <c r="C924" s="54">
        <f>IF($J$1="January",R916,IF($J$1="February",R917,IF($J$1="March",R918,IF($J$1="April",R919,IF($J$1="May",R920,IF($J$1="June",R921,IF($J$1="July",R922,IF($J$1="August",R923,IF($J$1="August",R923,IF($J$1="September",R924,IF($J$1="October",R925,IF($J$1="November",R926,IF($J$1="December",R927)))))))))))))</f>
        <v>10</v>
      </c>
      <c r="D924" s="45"/>
      <c r="E924" s="45"/>
      <c r="F924" s="63" t="s">
        <v>72</v>
      </c>
      <c r="G924" s="179">
        <f>IF($J$1="January",Y916,IF($J$1="February",Y917,IF($J$1="March",Y918,IF($J$1="April",Y919,IF($J$1="May",Y920,IF($J$1="June",Y921,IF($J$1="July",Y922,IF($J$1="August",Y923,IF($J$1="August",Y923,IF($J$1="September",Y924,IF($J$1="October",Y925,IF($J$1="November",Y926,IF($J$1="December",Y927)))))))))))))</f>
        <v>0</v>
      </c>
      <c r="H924" s="45"/>
      <c r="I924" s="363" t="s">
        <v>68</v>
      </c>
      <c r="J924" s="364"/>
      <c r="K924" s="72">
        <f>K922-K923</f>
        <v>24838.709677419356</v>
      </c>
      <c r="L924" s="73"/>
      <c r="M924" s="45"/>
      <c r="N924" s="88"/>
      <c r="O924" s="89" t="s">
        <v>61</v>
      </c>
      <c r="P924" s="89">
        <v>28</v>
      </c>
      <c r="Q924" s="89">
        <v>2</v>
      </c>
      <c r="R924" s="89">
        <f>R923-Q924</f>
        <v>13</v>
      </c>
      <c r="S924" s="93"/>
      <c r="T924" s="89" t="s">
        <v>61</v>
      </c>
      <c r="U924" s="162">
        <f>IF($J$1="August","",Y923)</f>
        <v>0</v>
      </c>
      <c r="V924" s="91"/>
      <c r="W924" s="162">
        <f t="shared" si="175"/>
        <v>0</v>
      </c>
      <c r="X924" s="91"/>
      <c r="Y924" s="162">
        <f t="shared" si="176"/>
        <v>0</v>
      </c>
      <c r="Z924" s="94"/>
      <c r="AA924" s="45"/>
    </row>
    <row r="925" spans="1:27" s="43" customFormat="1" ht="21" customHeight="1" x14ac:dyDescent="0.25">
      <c r="A925" s="44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61"/>
      <c r="M925" s="45"/>
      <c r="N925" s="88"/>
      <c r="O925" s="89" t="s">
        <v>57</v>
      </c>
      <c r="P925" s="89">
        <v>28</v>
      </c>
      <c r="Q925" s="89">
        <v>3</v>
      </c>
      <c r="R925" s="89">
        <f>R924-Q925</f>
        <v>10</v>
      </c>
      <c r="S925" s="93"/>
      <c r="T925" s="89" t="s">
        <v>57</v>
      </c>
      <c r="U925" s="162">
        <f>IF($J$1="September","",Y924)</f>
        <v>0</v>
      </c>
      <c r="V925" s="91"/>
      <c r="W925" s="162">
        <f t="shared" si="175"/>
        <v>0</v>
      </c>
      <c r="X925" s="91"/>
      <c r="Y925" s="162">
        <f t="shared" si="176"/>
        <v>0</v>
      </c>
      <c r="Z925" s="94"/>
      <c r="AA925" s="45"/>
    </row>
    <row r="926" spans="1:27" s="43" customFormat="1" ht="21" customHeight="1" x14ac:dyDescent="0.25">
      <c r="A926" s="44"/>
      <c r="B926" s="365" t="s">
        <v>103</v>
      </c>
      <c r="C926" s="365"/>
      <c r="D926" s="365"/>
      <c r="E926" s="365"/>
      <c r="F926" s="365"/>
      <c r="G926" s="365"/>
      <c r="H926" s="365"/>
      <c r="I926" s="365"/>
      <c r="J926" s="365"/>
      <c r="K926" s="365"/>
      <c r="L926" s="61"/>
      <c r="M926" s="45"/>
      <c r="N926" s="88"/>
      <c r="O926" s="89" t="s">
        <v>62</v>
      </c>
      <c r="P926" s="89"/>
      <c r="Q926" s="89"/>
      <c r="R926" s="89">
        <v>0</v>
      </c>
      <c r="S926" s="93"/>
      <c r="T926" s="89" t="s">
        <v>62</v>
      </c>
      <c r="U926" s="162" t="str">
        <f>IF($J$1="October","",Y925)</f>
        <v/>
      </c>
      <c r="V926" s="91"/>
      <c r="W926" s="162" t="str">
        <f t="shared" si="175"/>
        <v/>
      </c>
      <c r="X926" s="91"/>
      <c r="Y926" s="162" t="str">
        <f t="shared" si="176"/>
        <v/>
      </c>
      <c r="Z926" s="94"/>
      <c r="AA926" s="45"/>
    </row>
    <row r="927" spans="1:27" s="43" customFormat="1" ht="21" customHeight="1" x14ac:dyDescent="0.25">
      <c r="A927" s="44"/>
      <c r="B927" s="365"/>
      <c r="C927" s="365"/>
      <c r="D927" s="365"/>
      <c r="E927" s="365"/>
      <c r="F927" s="365"/>
      <c r="G927" s="365"/>
      <c r="H927" s="365"/>
      <c r="I927" s="365"/>
      <c r="J927" s="365"/>
      <c r="K927" s="365"/>
      <c r="L927" s="61"/>
      <c r="M927" s="45"/>
      <c r="N927" s="88"/>
      <c r="O927" s="89" t="s">
        <v>63</v>
      </c>
      <c r="P927" s="89"/>
      <c r="Q927" s="89"/>
      <c r="R927" s="89">
        <v>0</v>
      </c>
      <c r="S927" s="93"/>
      <c r="T927" s="89" t="s">
        <v>63</v>
      </c>
      <c r="U927" s="162" t="str">
        <f>IF($J$1="November","",Y926)</f>
        <v/>
      </c>
      <c r="V927" s="91"/>
      <c r="W927" s="162" t="str">
        <f t="shared" si="175"/>
        <v/>
      </c>
      <c r="X927" s="91"/>
      <c r="Y927" s="162" t="str">
        <f t="shared" si="176"/>
        <v/>
      </c>
      <c r="Z927" s="94"/>
      <c r="AA927" s="45"/>
    </row>
    <row r="928" spans="1:27" s="43" customFormat="1" ht="21" customHeight="1" thickBot="1" x14ac:dyDescent="0.3">
      <c r="A928" s="74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6"/>
      <c r="N928" s="95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7"/>
    </row>
    <row r="929" spans="1:27" s="43" customFormat="1" ht="21" customHeight="1" thickBo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N929" s="88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109"/>
    </row>
    <row r="930" spans="1:27" s="43" customFormat="1" ht="21" customHeight="1" x14ac:dyDescent="0.25">
      <c r="A930" s="425" t="s">
        <v>45</v>
      </c>
      <c r="B930" s="426"/>
      <c r="C930" s="426"/>
      <c r="D930" s="426"/>
      <c r="E930" s="426"/>
      <c r="F930" s="426"/>
      <c r="G930" s="426"/>
      <c r="H930" s="426"/>
      <c r="I930" s="426"/>
      <c r="J930" s="426"/>
      <c r="K930" s="426"/>
      <c r="L930" s="427"/>
      <c r="M930" s="42"/>
      <c r="N930" s="81"/>
      <c r="O930" s="372" t="s">
        <v>47</v>
      </c>
      <c r="P930" s="373"/>
      <c r="Q930" s="373"/>
      <c r="R930" s="374"/>
      <c r="S930" s="82"/>
      <c r="T930" s="372" t="s">
        <v>48</v>
      </c>
      <c r="U930" s="373"/>
      <c r="V930" s="373"/>
      <c r="W930" s="373"/>
      <c r="X930" s="373"/>
      <c r="Y930" s="374"/>
      <c r="Z930" s="83"/>
      <c r="AA930" s="42"/>
    </row>
    <row r="931" spans="1:27" s="43" customFormat="1" ht="21" customHeight="1" x14ac:dyDescent="0.25">
      <c r="A931" s="232"/>
      <c r="B931" s="45"/>
      <c r="C931" s="375" t="s">
        <v>101</v>
      </c>
      <c r="D931" s="375"/>
      <c r="E931" s="375"/>
      <c r="F931" s="375"/>
      <c r="G931" s="46" t="str">
        <f>$J$1</f>
        <v>October</v>
      </c>
      <c r="H931" s="376">
        <f>$K$1</f>
        <v>2020</v>
      </c>
      <c r="I931" s="376"/>
      <c r="J931" s="45"/>
      <c r="K931" s="47"/>
      <c r="L931" s="233"/>
      <c r="M931" s="47"/>
      <c r="N931" s="84"/>
      <c r="O931" s="85" t="s">
        <v>58</v>
      </c>
      <c r="P931" s="85" t="s">
        <v>7</v>
      </c>
      <c r="Q931" s="85" t="s">
        <v>6</v>
      </c>
      <c r="R931" s="85" t="s">
        <v>59</v>
      </c>
      <c r="S931" s="86"/>
      <c r="T931" s="85" t="s">
        <v>58</v>
      </c>
      <c r="U931" s="85" t="s">
        <v>60</v>
      </c>
      <c r="V931" s="85" t="s">
        <v>23</v>
      </c>
      <c r="W931" s="85" t="s">
        <v>22</v>
      </c>
      <c r="X931" s="85" t="s">
        <v>24</v>
      </c>
      <c r="Y931" s="85" t="s">
        <v>64</v>
      </c>
      <c r="Z931" s="87"/>
      <c r="AA931" s="47"/>
    </row>
    <row r="932" spans="1:27" s="43" customFormat="1" ht="21" customHeight="1" x14ac:dyDescent="0.25">
      <c r="A932" s="232"/>
      <c r="B932" s="45"/>
      <c r="C932" s="45"/>
      <c r="D932" s="50"/>
      <c r="E932" s="50"/>
      <c r="F932" s="50"/>
      <c r="G932" s="50"/>
      <c r="H932" s="50"/>
      <c r="I932" s="45"/>
      <c r="J932" s="51" t="s">
        <v>1</v>
      </c>
      <c r="K932" s="52">
        <v>15000</v>
      </c>
      <c r="L932" s="234"/>
      <c r="M932" s="45"/>
      <c r="N932" s="88"/>
      <c r="O932" s="89" t="s">
        <v>50</v>
      </c>
      <c r="P932" s="89"/>
      <c r="Q932" s="89"/>
      <c r="R932" s="89"/>
      <c r="S932" s="90"/>
      <c r="T932" s="89" t="s">
        <v>50</v>
      </c>
      <c r="U932" s="91"/>
      <c r="V932" s="91"/>
      <c r="W932" s="91">
        <f>V932+U932</f>
        <v>0</v>
      </c>
      <c r="X932" s="91"/>
      <c r="Y932" s="91">
        <f>W932-X932</f>
        <v>0</v>
      </c>
      <c r="Z932" s="87"/>
      <c r="AA932" s="45"/>
    </row>
    <row r="933" spans="1:27" s="43" customFormat="1" ht="21" customHeight="1" x14ac:dyDescent="0.25">
      <c r="A933" s="232"/>
      <c r="B933" s="45" t="s">
        <v>0</v>
      </c>
      <c r="C933" s="100" t="s">
        <v>173</v>
      </c>
      <c r="D933" s="45"/>
      <c r="E933" s="45"/>
      <c r="F933" s="45"/>
      <c r="G933" s="45"/>
      <c r="H933" s="56"/>
      <c r="I933" s="50"/>
      <c r="J933" s="45"/>
      <c r="K933" s="45"/>
      <c r="L933" s="235"/>
      <c r="M933" s="42"/>
      <c r="N933" s="92"/>
      <c r="O933" s="89" t="s">
        <v>76</v>
      </c>
      <c r="P933" s="89">
        <v>11</v>
      </c>
      <c r="Q933" s="89"/>
      <c r="R933" s="89"/>
      <c r="S933" s="93"/>
      <c r="T933" s="89" t="s">
        <v>76</v>
      </c>
      <c r="U933" s="162">
        <f>Y932</f>
        <v>0</v>
      </c>
      <c r="V933" s="91"/>
      <c r="W933" s="162">
        <f>IF(U933="","",U933+V933)</f>
        <v>0</v>
      </c>
      <c r="X933" s="91"/>
      <c r="Y933" s="162">
        <f>IF(W933="","",W933-X933)</f>
        <v>0</v>
      </c>
      <c r="Z933" s="94"/>
      <c r="AA933" s="42"/>
    </row>
    <row r="934" spans="1:27" s="43" customFormat="1" ht="21" customHeight="1" x14ac:dyDescent="0.25">
      <c r="A934" s="232"/>
      <c r="B934" s="59" t="s">
        <v>46</v>
      </c>
      <c r="C934" s="60"/>
      <c r="D934" s="45"/>
      <c r="E934" s="45"/>
      <c r="F934" s="366" t="s">
        <v>48</v>
      </c>
      <c r="G934" s="366"/>
      <c r="H934" s="45"/>
      <c r="I934" s="366" t="s">
        <v>49</v>
      </c>
      <c r="J934" s="366"/>
      <c r="K934" s="366"/>
      <c r="L934" s="236"/>
      <c r="M934" s="45"/>
      <c r="N934" s="88"/>
      <c r="O934" s="89" t="s">
        <v>51</v>
      </c>
      <c r="P934" s="89">
        <v>31</v>
      </c>
      <c r="Q934" s="89">
        <v>0</v>
      </c>
      <c r="R934" s="89"/>
      <c r="S934" s="93"/>
      <c r="T934" s="89" t="s">
        <v>51</v>
      </c>
      <c r="U934" s="162" t="str">
        <f>IF($J$1="March",Y933,"")</f>
        <v/>
      </c>
      <c r="V934" s="91"/>
      <c r="W934" s="162" t="str">
        <f t="shared" ref="W934:W943" si="177">IF(U934="","",U934+V934)</f>
        <v/>
      </c>
      <c r="X934" s="91"/>
      <c r="Y934" s="162" t="str">
        <f t="shared" ref="Y934:Y943" si="178">IF(W934="","",W934-X934)</f>
        <v/>
      </c>
      <c r="Z934" s="94"/>
      <c r="AA934" s="45"/>
    </row>
    <row r="935" spans="1:27" s="43" customFormat="1" ht="21" customHeight="1" x14ac:dyDescent="0.25">
      <c r="A935" s="232"/>
      <c r="B935" s="45"/>
      <c r="C935" s="45"/>
      <c r="D935" s="45"/>
      <c r="E935" s="45"/>
      <c r="F935" s="45"/>
      <c r="G935" s="45"/>
      <c r="H935" s="62"/>
      <c r="I935" s="45"/>
      <c r="J935" s="45"/>
      <c r="K935" s="45"/>
      <c r="L935" s="237"/>
      <c r="M935" s="45"/>
      <c r="N935" s="88"/>
      <c r="O935" s="89" t="s">
        <v>52</v>
      </c>
      <c r="P935" s="89">
        <v>30</v>
      </c>
      <c r="Q935" s="89">
        <v>0</v>
      </c>
      <c r="R935" s="89"/>
      <c r="S935" s="93"/>
      <c r="T935" s="89" t="s">
        <v>52</v>
      </c>
      <c r="U935" s="162"/>
      <c r="V935" s="91"/>
      <c r="W935" s="162" t="str">
        <f t="shared" si="177"/>
        <v/>
      </c>
      <c r="X935" s="91"/>
      <c r="Y935" s="162" t="str">
        <f t="shared" si="178"/>
        <v/>
      </c>
      <c r="Z935" s="94"/>
      <c r="AA935" s="45"/>
    </row>
    <row r="936" spans="1:27" s="43" customFormat="1" ht="21" customHeight="1" x14ac:dyDescent="0.25">
      <c r="A936" s="232"/>
      <c r="B936" s="367" t="s">
        <v>47</v>
      </c>
      <c r="C936" s="368"/>
      <c r="D936" s="45"/>
      <c r="E936" s="45"/>
      <c r="F936" s="63" t="s">
        <v>69</v>
      </c>
      <c r="G936" s="180">
        <f>IF($J$1="January",U932,IF($J$1="February",U933,IF($J$1="March",U934,IF($J$1="April",U935,IF($J$1="May",U936,IF($J$1="June",U937,IF($J$1="July",U938,IF($J$1="August",U939,IF($J$1="August",U939,IF($J$1="September",U940,IF($J$1="October",U941,IF($J$1="November",U942,IF($J$1="December",U943)))))))))))))</f>
        <v>0</v>
      </c>
      <c r="H936" s="62"/>
      <c r="I936" s="64">
        <f>IF(C940&gt;0,$K$2,C938)</f>
        <v>31</v>
      </c>
      <c r="J936" s="65" t="s">
        <v>66</v>
      </c>
      <c r="K936" s="66">
        <f>K932/$K$2*I936</f>
        <v>15000</v>
      </c>
      <c r="L936" s="238"/>
      <c r="M936" s="45"/>
      <c r="N936" s="88"/>
      <c r="O936" s="89" t="s">
        <v>53</v>
      </c>
      <c r="P936" s="89">
        <v>29</v>
      </c>
      <c r="Q936" s="89">
        <v>2</v>
      </c>
      <c r="R936" s="89"/>
      <c r="S936" s="93"/>
      <c r="T936" s="89" t="s">
        <v>53</v>
      </c>
      <c r="U936" s="162" t="str">
        <f>Y935</f>
        <v/>
      </c>
      <c r="V936" s="91"/>
      <c r="W936" s="162" t="str">
        <f t="shared" si="177"/>
        <v/>
      </c>
      <c r="X936" s="91"/>
      <c r="Y936" s="162" t="str">
        <f t="shared" si="178"/>
        <v/>
      </c>
      <c r="Z936" s="94"/>
      <c r="AA936" s="45"/>
    </row>
    <row r="937" spans="1:27" s="43" customFormat="1" ht="21" customHeight="1" x14ac:dyDescent="0.25">
      <c r="A937" s="232"/>
      <c r="B937" s="54"/>
      <c r="C937" s="54"/>
      <c r="D937" s="45"/>
      <c r="E937" s="45"/>
      <c r="F937" s="63" t="s">
        <v>23</v>
      </c>
      <c r="G937" s="180">
        <f>IF($J$1="January",V932,IF($J$1="February",V933,IF($J$1="March",V934,IF($J$1="April",V935,IF($J$1="May",V936,IF($J$1="June",V937,IF($J$1="July",V938,IF($J$1="August",V939,IF($J$1="August",V939,IF($J$1="September",V940,IF($J$1="October",V941,IF($J$1="November",V942,IF($J$1="December",V943)))))))))))))</f>
        <v>0</v>
      </c>
      <c r="H937" s="62"/>
      <c r="I937" s="64">
        <v>32</v>
      </c>
      <c r="J937" s="65" t="s">
        <v>67</v>
      </c>
      <c r="K937" s="68">
        <f>K932/$K$2/8*I937</f>
        <v>1935.483870967742</v>
      </c>
      <c r="L937" s="239"/>
      <c r="M937" s="45"/>
      <c r="N937" s="88"/>
      <c r="O937" s="89" t="s">
        <v>54</v>
      </c>
      <c r="P937" s="89">
        <v>29</v>
      </c>
      <c r="Q937" s="89">
        <v>1</v>
      </c>
      <c r="R937" s="89">
        <v>15</v>
      </c>
      <c r="S937" s="93"/>
      <c r="T937" s="89" t="s">
        <v>54</v>
      </c>
      <c r="U937" s="162"/>
      <c r="V937" s="91"/>
      <c r="W937" s="162" t="str">
        <f t="shared" si="177"/>
        <v/>
      </c>
      <c r="X937" s="91"/>
      <c r="Y937" s="162" t="str">
        <f t="shared" si="178"/>
        <v/>
      </c>
      <c r="Z937" s="94"/>
      <c r="AA937" s="45"/>
    </row>
    <row r="938" spans="1:27" s="43" customFormat="1" ht="21" customHeight="1" x14ac:dyDescent="0.25">
      <c r="A938" s="232"/>
      <c r="B938" s="63" t="s">
        <v>7</v>
      </c>
      <c r="C938" s="54">
        <f>IF($J$1="January",P932,IF($J$1="February",P933,IF($J$1="March",P934,IF($J$1="April",P935,IF($J$1="May",P936,IF($J$1="June",P937,IF($J$1="July",P938,IF($J$1="August",P939,IF($J$1="August",P939,IF($J$1="September",P940,IF($J$1="October",P941,IF($J$1="November",P942,IF($J$1="December",P943)))))))))))))</f>
        <v>29</v>
      </c>
      <c r="D938" s="45"/>
      <c r="E938" s="45"/>
      <c r="F938" s="63" t="s">
        <v>70</v>
      </c>
      <c r="G938" s="180" t="str">
        <f>IF($J$1="January",W932,IF($J$1="February",W933,IF($J$1="March",W934,IF($J$1="April",W935,IF($J$1="May",W936,IF($J$1="June",W937,IF($J$1="July",W938,IF($J$1="August",W939,IF($J$1="August",W939,IF($J$1="September",W940,IF($J$1="October",W941,IF($J$1="November",W942,IF($J$1="December",W943)))))))))))))</f>
        <v/>
      </c>
      <c r="H938" s="62"/>
      <c r="I938" s="361" t="s">
        <v>74</v>
      </c>
      <c r="J938" s="362"/>
      <c r="K938" s="68">
        <f>K936+K937</f>
        <v>16935.483870967742</v>
      </c>
      <c r="L938" s="239"/>
      <c r="M938" s="45"/>
      <c r="N938" s="88"/>
      <c r="O938" s="89" t="s">
        <v>55</v>
      </c>
      <c r="P938" s="89">
        <v>28</v>
      </c>
      <c r="Q938" s="89">
        <v>3</v>
      </c>
      <c r="R938" s="89">
        <f>R937-Q938</f>
        <v>12</v>
      </c>
      <c r="S938" s="93"/>
      <c r="T938" s="89" t="s">
        <v>55</v>
      </c>
      <c r="U938" s="162"/>
      <c r="V938" s="91">
        <v>60</v>
      </c>
      <c r="W938" s="162" t="str">
        <f t="shared" si="177"/>
        <v/>
      </c>
      <c r="X938" s="91"/>
      <c r="Y938" s="162" t="str">
        <f t="shared" si="178"/>
        <v/>
      </c>
      <c r="Z938" s="94"/>
      <c r="AA938" s="45"/>
    </row>
    <row r="939" spans="1:27" s="43" customFormat="1" ht="21" customHeight="1" x14ac:dyDescent="0.25">
      <c r="A939" s="232"/>
      <c r="B939" s="63" t="s">
        <v>6</v>
      </c>
      <c r="C939" s="54">
        <f>IF($J$1="January",Q932,IF($J$1="February",Q933,IF($J$1="March",Q934,IF($J$1="April",Q935,IF($J$1="May",Q936,IF($J$1="June",Q937,IF($J$1="July",Q938,IF($J$1="August",Q939,IF($J$1="August",Q939,IF($J$1="September",Q940,IF($J$1="October",Q941,IF($J$1="November",Q942,IF($J$1="December",Q943)))))))))))))</f>
        <v>1</v>
      </c>
      <c r="D939" s="45"/>
      <c r="E939" s="45"/>
      <c r="F939" s="63" t="s">
        <v>24</v>
      </c>
      <c r="G939" s="180">
        <f>IF($J$1="January",X932,IF($J$1="February",X933,IF($J$1="March",X934,IF($J$1="April",X935,IF($J$1="May",X936,IF($J$1="June",X937,IF($J$1="July",X938,IF($J$1="August",X939,IF($J$1="August",X939,IF($J$1="September",X940,IF($J$1="October",X941,IF($J$1="November",X942,IF($J$1="December",X943)))))))))))))</f>
        <v>0</v>
      </c>
      <c r="H939" s="62"/>
      <c r="I939" s="361" t="s">
        <v>75</v>
      </c>
      <c r="J939" s="362"/>
      <c r="K939" s="58">
        <f>G939</f>
        <v>0</v>
      </c>
      <c r="L939" s="240"/>
      <c r="M939" s="45"/>
      <c r="N939" s="88"/>
      <c r="O939" s="89" t="s">
        <v>56</v>
      </c>
      <c r="P939" s="89">
        <v>29</v>
      </c>
      <c r="Q939" s="89">
        <v>2</v>
      </c>
      <c r="R939" s="89">
        <f>R938-Q939</f>
        <v>10</v>
      </c>
      <c r="S939" s="93"/>
      <c r="T939" s="89" t="s">
        <v>56</v>
      </c>
      <c r="U939" s="162"/>
      <c r="V939" s="91"/>
      <c r="W939" s="162" t="str">
        <f t="shared" si="177"/>
        <v/>
      </c>
      <c r="X939" s="91"/>
      <c r="Y939" s="162" t="str">
        <f t="shared" si="178"/>
        <v/>
      </c>
      <c r="Z939" s="94"/>
      <c r="AA939" s="45"/>
    </row>
    <row r="940" spans="1:27" s="43" customFormat="1" ht="21" customHeight="1" x14ac:dyDescent="0.25">
      <c r="A940" s="232"/>
      <c r="B940" s="71" t="s">
        <v>73</v>
      </c>
      <c r="C940" s="54">
        <f>IF($J$1="January",R932,IF($J$1="February",R933,IF($J$1="March",R934,IF($J$1="April",R935,IF($J$1="May",R936,IF($J$1="June",R937,IF($J$1="July",R938,IF($J$1="August",R939,IF($J$1="August",R939,IF($J$1="September",R940,IF($J$1="October",R941,IF($J$1="November",R942,IF($J$1="December",R943)))))))))))))</f>
        <v>8</v>
      </c>
      <c r="D940" s="45"/>
      <c r="E940" s="45"/>
      <c r="F940" s="63" t="s">
        <v>72</v>
      </c>
      <c r="G940" s="180" t="str">
        <f>IF($J$1="January",Y932,IF($J$1="February",Y933,IF($J$1="March",Y934,IF($J$1="April",Y935,IF($J$1="May",Y936,IF($J$1="June",Y937,IF($J$1="July",Y938,IF($J$1="August",Y939,IF($J$1="August",Y939,IF($J$1="September",Y940,IF($J$1="October",Y941,IF($J$1="November",Y942,IF($J$1="December",Y943)))))))))))))</f>
        <v/>
      </c>
      <c r="H940" s="45"/>
      <c r="I940" s="363" t="s">
        <v>68</v>
      </c>
      <c r="J940" s="364"/>
      <c r="K940" s="72">
        <f>K938-K939</f>
        <v>16935.483870967742</v>
      </c>
      <c r="L940" s="241"/>
      <c r="M940" s="45"/>
      <c r="N940" s="88"/>
      <c r="O940" s="89" t="s">
        <v>61</v>
      </c>
      <c r="P940" s="89">
        <v>29</v>
      </c>
      <c r="Q940" s="89">
        <v>1</v>
      </c>
      <c r="R940" s="89">
        <f>R939-Q940</f>
        <v>9</v>
      </c>
      <c r="S940" s="93"/>
      <c r="T940" s="89" t="s">
        <v>61</v>
      </c>
      <c r="U940" s="162"/>
      <c r="V940" s="91"/>
      <c r="W940" s="162" t="str">
        <f t="shared" si="177"/>
        <v/>
      </c>
      <c r="X940" s="91"/>
      <c r="Y940" s="162" t="str">
        <f t="shared" si="178"/>
        <v/>
      </c>
      <c r="Z940" s="94"/>
      <c r="AA940" s="45"/>
    </row>
    <row r="941" spans="1:27" s="43" customFormat="1" ht="21" customHeight="1" x14ac:dyDescent="0.25">
      <c r="A941" s="232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236"/>
      <c r="M941" s="45"/>
      <c r="N941" s="88"/>
      <c r="O941" s="89" t="s">
        <v>57</v>
      </c>
      <c r="P941" s="89">
        <v>29</v>
      </c>
      <c r="Q941" s="89">
        <v>1</v>
      </c>
      <c r="R941" s="89">
        <f>R940-Q941</f>
        <v>8</v>
      </c>
      <c r="S941" s="93"/>
      <c r="T941" s="89" t="s">
        <v>57</v>
      </c>
      <c r="U941" s="162"/>
      <c r="V941" s="91"/>
      <c r="W941" s="162" t="str">
        <f t="shared" si="177"/>
        <v/>
      </c>
      <c r="X941" s="91"/>
      <c r="Y941" s="162" t="str">
        <f t="shared" si="178"/>
        <v/>
      </c>
      <c r="Z941" s="94"/>
      <c r="AA941" s="45"/>
    </row>
    <row r="942" spans="1:27" s="43" customFormat="1" ht="21" customHeight="1" x14ac:dyDescent="0.25">
      <c r="A942" s="232"/>
      <c r="B942" s="365" t="s">
        <v>103</v>
      </c>
      <c r="C942" s="365"/>
      <c r="D942" s="365"/>
      <c r="E942" s="365"/>
      <c r="F942" s="365"/>
      <c r="G942" s="365"/>
      <c r="H942" s="365"/>
      <c r="I942" s="365"/>
      <c r="J942" s="365"/>
      <c r="K942" s="365"/>
      <c r="L942" s="236"/>
      <c r="M942" s="45"/>
      <c r="N942" s="88"/>
      <c r="O942" s="89" t="s">
        <v>62</v>
      </c>
      <c r="P942" s="89"/>
      <c r="Q942" s="89"/>
      <c r="R942" s="89"/>
      <c r="S942" s="93"/>
      <c r="T942" s="89" t="s">
        <v>62</v>
      </c>
      <c r="U942" s="162"/>
      <c r="V942" s="91"/>
      <c r="W942" s="162" t="str">
        <f t="shared" si="177"/>
        <v/>
      </c>
      <c r="X942" s="91"/>
      <c r="Y942" s="162" t="str">
        <f t="shared" si="178"/>
        <v/>
      </c>
      <c r="Z942" s="94"/>
      <c r="AA942" s="45"/>
    </row>
    <row r="943" spans="1:27" s="43" customFormat="1" ht="21" customHeight="1" x14ac:dyDescent="0.25">
      <c r="A943" s="242"/>
      <c r="B943" s="424"/>
      <c r="C943" s="424"/>
      <c r="D943" s="424"/>
      <c r="E943" s="424"/>
      <c r="F943" s="424"/>
      <c r="G943" s="424"/>
      <c r="H943" s="424"/>
      <c r="I943" s="424"/>
      <c r="J943" s="424"/>
      <c r="K943" s="424"/>
      <c r="L943" s="243"/>
      <c r="M943" s="45"/>
      <c r="N943" s="88"/>
      <c r="O943" s="89" t="s">
        <v>63</v>
      </c>
      <c r="P943" s="89"/>
      <c r="Q943" s="89"/>
      <c r="R943" s="89"/>
      <c r="S943" s="93"/>
      <c r="T943" s="89" t="s">
        <v>63</v>
      </c>
      <c r="U943" s="162"/>
      <c r="V943" s="91"/>
      <c r="W943" s="162" t="str">
        <f t="shared" si="177"/>
        <v/>
      </c>
      <c r="X943" s="91"/>
      <c r="Y943" s="162" t="str">
        <f t="shared" si="178"/>
        <v/>
      </c>
      <c r="Z943" s="94"/>
      <c r="AA943" s="45"/>
    </row>
    <row r="944" spans="1:27" s="45" customFormat="1" ht="21" customHeight="1" x14ac:dyDescent="0.25"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 spans="1:27" s="43" customFormat="1" ht="21" hidden="1" customHeight="1" x14ac:dyDescent="0.25">
      <c r="A945" s="380" t="s">
        <v>45</v>
      </c>
      <c r="B945" s="381"/>
      <c r="C945" s="381"/>
      <c r="D945" s="381"/>
      <c r="E945" s="381"/>
      <c r="F945" s="381"/>
      <c r="G945" s="381"/>
      <c r="H945" s="381"/>
      <c r="I945" s="381"/>
      <c r="J945" s="381"/>
      <c r="K945" s="381"/>
      <c r="L945" s="382"/>
      <c r="M945" s="42"/>
      <c r="N945" s="81"/>
      <c r="O945" s="372" t="s">
        <v>47</v>
      </c>
      <c r="P945" s="373"/>
      <c r="Q945" s="373"/>
      <c r="R945" s="374"/>
      <c r="S945" s="82"/>
      <c r="T945" s="372" t="s">
        <v>48</v>
      </c>
      <c r="U945" s="373"/>
      <c r="V945" s="373"/>
      <c r="W945" s="373"/>
      <c r="X945" s="373"/>
      <c r="Y945" s="374"/>
      <c r="Z945" s="83"/>
      <c r="AA945" s="42"/>
    </row>
    <row r="946" spans="1:27" s="43" customFormat="1" ht="21" hidden="1" customHeight="1" x14ac:dyDescent="0.25">
      <c r="A946" s="44"/>
      <c r="B946" s="45"/>
      <c r="C946" s="375" t="s">
        <v>101</v>
      </c>
      <c r="D946" s="375"/>
      <c r="E946" s="375"/>
      <c r="F946" s="375"/>
      <c r="G946" s="46" t="str">
        <f>$J$1</f>
        <v>October</v>
      </c>
      <c r="H946" s="376">
        <f>$K$1</f>
        <v>2020</v>
      </c>
      <c r="I946" s="376"/>
      <c r="J946" s="45"/>
      <c r="K946" s="47"/>
      <c r="L946" s="48"/>
      <c r="M946" s="47"/>
      <c r="N946" s="84"/>
      <c r="O946" s="85" t="s">
        <v>58</v>
      </c>
      <c r="P946" s="85" t="s">
        <v>7</v>
      </c>
      <c r="Q946" s="85" t="s">
        <v>6</v>
      </c>
      <c r="R946" s="85" t="s">
        <v>59</v>
      </c>
      <c r="S946" s="86"/>
      <c r="T946" s="85" t="s">
        <v>58</v>
      </c>
      <c r="U946" s="85" t="s">
        <v>60</v>
      </c>
      <c r="V946" s="85" t="s">
        <v>23</v>
      </c>
      <c r="W946" s="85" t="s">
        <v>22</v>
      </c>
      <c r="X946" s="85" t="s">
        <v>24</v>
      </c>
      <c r="Y946" s="85" t="s">
        <v>64</v>
      </c>
      <c r="Z946" s="87"/>
      <c r="AA946" s="47"/>
    </row>
    <row r="947" spans="1:27" s="43" customFormat="1" ht="21" hidden="1" customHeight="1" x14ac:dyDescent="0.25">
      <c r="A947" s="44"/>
      <c r="B947" s="45"/>
      <c r="C947" s="45"/>
      <c r="D947" s="50"/>
      <c r="E947" s="50"/>
      <c r="F947" s="50"/>
      <c r="G947" s="50"/>
      <c r="H947" s="50"/>
      <c r="I947" s="45"/>
      <c r="J947" s="51" t="s">
        <v>1</v>
      </c>
      <c r="K947" s="52"/>
      <c r="L947" s="53"/>
      <c r="M947" s="45"/>
      <c r="N947" s="88"/>
      <c r="O947" s="89" t="s">
        <v>50</v>
      </c>
      <c r="P947" s="89"/>
      <c r="Q947" s="89"/>
      <c r="R947" s="89"/>
      <c r="S947" s="90"/>
      <c r="T947" s="89" t="s">
        <v>50</v>
      </c>
      <c r="U947" s="91"/>
      <c r="V947" s="91"/>
      <c r="W947" s="91">
        <f>V947+U947</f>
        <v>0</v>
      </c>
      <c r="X947" s="91"/>
      <c r="Y947" s="91">
        <f>W947-X947</f>
        <v>0</v>
      </c>
      <c r="Z947" s="87"/>
      <c r="AA947" s="45"/>
    </row>
    <row r="948" spans="1:27" s="43" customFormat="1" ht="21" hidden="1" customHeight="1" x14ac:dyDescent="0.25">
      <c r="A948" s="44"/>
      <c r="B948" s="45" t="s">
        <v>0</v>
      </c>
      <c r="C948" s="55"/>
      <c r="D948" s="45"/>
      <c r="E948" s="45"/>
      <c r="F948" s="45"/>
      <c r="G948" s="45"/>
      <c r="H948" s="56"/>
      <c r="I948" s="50"/>
      <c r="J948" s="45"/>
      <c r="K948" s="45"/>
      <c r="L948" s="57"/>
      <c r="M948" s="42"/>
      <c r="N948" s="92"/>
      <c r="O948" s="89" t="s">
        <v>76</v>
      </c>
      <c r="P948" s="89"/>
      <c r="Q948" s="89"/>
      <c r="R948" s="89" t="str">
        <f t="shared" ref="R948:R958" si="179">IF(Q948="","",R947-Q948)</f>
        <v/>
      </c>
      <c r="S948" s="93"/>
      <c r="T948" s="89" t="s">
        <v>76</v>
      </c>
      <c r="U948" s="162" t="str">
        <f>IF($J$1="February",Y947,"")</f>
        <v/>
      </c>
      <c r="V948" s="91"/>
      <c r="W948" s="162" t="str">
        <f>IF(U948="","",U948+V948)</f>
        <v/>
      </c>
      <c r="X948" s="91"/>
      <c r="Y948" s="162" t="str">
        <f>IF(W948="","",W948-X948)</f>
        <v/>
      </c>
      <c r="Z948" s="94"/>
      <c r="AA948" s="42"/>
    </row>
    <row r="949" spans="1:27" s="43" customFormat="1" ht="21" hidden="1" customHeight="1" x14ac:dyDescent="0.25">
      <c r="A949" s="44"/>
      <c r="B949" s="59" t="s">
        <v>46</v>
      </c>
      <c r="C949" s="60"/>
      <c r="D949" s="45"/>
      <c r="E949" s="45"/>
      <c r="F949" s="366" t="s">
        <v>48</v>
      </c>
      <c r="G949" s="366"/>
      <c r="H949" s="45"/>
      <c r="I949" s="366" t="s">
        <v>49</v>
      </c>
      <c r="J949" s="366"/>
      <c r="K949" s="366"/>
      <c r="L949" s="61"/>
      <c r="M949" s="45"/>
      <c r="N949" s="88"/>
      <c r="O949" s="89" t="s">
        <v>51</v>
      </c>
      <c r="P949" s="89"/>
      <c r="Q949" s="89"/>
      <c r="R949" s="89"/>
      <c r="S949" s="93"/>
      <c r="T949" s="89" t="s">
        <v>51</v>
      </c>
      <c r="U949" s="162" t="str">
        <f>IF($J$1="April",Y948,Y948)</f>
        <v/>
      </c>
      <c r="V949" s="91"/>
      <c r="W949" s="162" t="str">
        <f t="shared" ref="W949:W958" si="180">IF(U949="","",U949+V949)</f>
        <v/>
      </c>
      <c r="X949" s="91"/>
      <c r="Y949" s="162" t="str">
        <f t="shared" ref="Y949:Y958" si="181">IF(W949="","",W949-X949)</f>
        <v/>
      </c>
      <c r="Z949" s="94"/>
      <c r="AA949" s="45"/>
    </row>
    <row r="950" spans="1:27" s="43" customFormat="1" ht="21" hidden="1" customHeight="1" x14ac:dyDescent="0.25">
      <c r="A950" s="44"/>
      <c r="B950" s="45"/>
      <c r="C950" s="45"/>
      <c r="D950" s="45"/>
      <c r="E950" s="45"/>
      <c r="F950" s="45"/>
      <c r="G950" s="45"/>
      <c r="H950" s="62"/>
      <c r="L950" s="49"/>
      <c r="M950" s="45"/>
      <c r="N950" s="88"/>
      <c r="O950" s="89" t="s">
        <v>52</v>
      </c>
      <c r="P950" s="89"/>
      <c r="Q950" s="89"/>
      <c r="R950" s="89" t="str">
        <f t="shared" si="179"/>
        <v/>
      </c>
      <c r="S950" s="93"/>
      <c r="T950" s="89" t="s">
        <v>52</v>
      </c>
      <c r="U950" s="162" t="str">
        <f>IF($J$1="April",Y949,Y949)</f>
        <v/>
      </c>
      <c r="V950" s="91"/>
      <c r="W950" s="162" t="str">
        <f t="shared" si="180"/>
        <v/>
      </c>
      <c r="X950" s="91"/>
      <c r="Y950" s="162" t="str">
        <f t="shared" si="181"/>
        <v/>
      </c>
      <c r="Z950" s="94"/>
      <c r="AA950" s="45"/>
    </row>
    <row r="951" spans="1:27" s="43" customFormat="1" ht="21" hidden="1" customHeight="1" x14ac:dyDescent="0.25">
      <c r="A951" s="44"/>
      <c r="B951" s="367" t="s">
        <v>47</v>
      </c>
      <c r="C951" s="368"/>
      <c r="D951" s="45"/>
      <c r="E951" s="45"/>
      <c r="F951" s="63" t="s">
        <v>69</v>
      </c>
      <c r="G951" s="58" t="str">
        <f>IF($J$1="January",U947,IF($J$1="February",U948,IF($J$1="March",U949,IF($J$1="April",U950,IF($J$1="May",U951,IF($J$1="June",U952,IF($J$1="July",U953,IF($J$1="August",U954,IF($J$1="August",U954,IF($J$1="September",U955,IF($J$1="October",U956,IF($J$1="November",U957,IF($J$1="December",U958)))))))))))))</f>
        <v/>
      </c>
      <c r="H951" s="62"/>
      <c r="I951" s="64"/>
      <c r="J951" s="65" t="s">
        <v>66</v>
      </c>
      <c r="K951" s="66">
        <f>K947/$K$2*I951</f>
        <v>0</v>
      </c>
      <c r="L951" s="67"/>
      <c r="M951" s="45"/>
      <c r="N951" s="88"/>
      <c r="O951" s="89" t="s">
        <v>53</v>
      </c>
      <c r="P951" s="89"/>
      <c r="Q951" s="89"/>
      <c r="R951" s="89" t="str">
        <f t="shared" si="179"/>
        <v/>
      </c>
      <c r="S951" s="93"/>
      <c r="T951" s="89" t="s">
        <v>53</v>
      </c>
      <c r="U951" s="162" t="str">
        <f>IF($J$1="May",Y950,Y950)</f>
        <v/>
      </c>
      <c r="V951" s="91"/>
      <c r="W951" s="162" t="str">
        <f t="shared" si="180"/>
        <v/>
      </c>
      <c r="X951" s="91"/>
      <c r="Y951" s="162" t="str">
        <f t="shared" si="181"/>
        <v/>
      </c>
      <c r="Z951" s="94"/>
      <c r="AA951" s="45"/>
    </row>
    <row r="952" spans="1:27" s="43" customFormat="1" ht="21" hidden="1" customHeight="1" x14ac:dyDescent="0.25">
      <c r="A952" s="44"/>
      <c r="B952" s="54"/>
      <c r="C952" s="54"/>
      <c r="D952" s="45"/>
      <c r="E952" s="45"/>
      <c r="F952" s="63" t="s">
        <v>23</v>
      </c>
      <c r="G952" s="58">
        <f>IF($J$1="January",V947,IF($J$1="February",V948,IF($J$1="March",V949,IF($J$1="April",V950,IF($J$1="May",V951,IF($J$1="June",V952,IF($J$1="July",V953,IF($J$1="August",V954,IF($J$1="August",V954,IF($J$1="September",V955,IF($J$1="October",V956,IF($J$1="November",V957,IF($J$1="December",V958)))))))))))))</f>
        <v>0</v>
      </c>
      <c r="H952" s="62"/>
      <c r="I952" s="108"/>
      <c r="J952" s="65" t="s">
        <v>67</v>
      </c>
      <c r="K952" s="68"/>
      <c r="L952" s="69"/>
      <c r="M952" s="45"/>
      <c r="N952" s="88"/>
      <c r="O952" s="89" t="s">
        <v>54</v>
      </c>
      <c r="P952" s="89"/>
      <c r="Q952" s="89"/>
      <c r="R952" s="89" t="str">
        <f t="shared" si="179"/>
        <v/>
      </c>
      <c r="S952" s="93"/>
      <c r="T952" s="89" t="s">
        <v>54</v>
      </c>
      <c r="U952" s="162" t="str">
        <f>IF($J$1="May",Y951,Y951)</f>
        <v/>
      </c>
      <c r="V952" s="91"/>
      <c r="W952" s="162" t="str">
        <f t="shared" si="180"/>
        <v/>
      </c>
      <c r="X952" s="91"/>
      <c r="Y952" s="162" t="str">
        <f t="shared" si="181"/>
        <v/>
      </c>
      <c r="Z952" s="94"/>
      <c r="AA952" s="45"/>
    </row>
    <row r="953" spans="1:27" s="43" customFormat="1" ht="21" hidden="1" customHeight="1" x14ac:dyDescent="0.25">
      <c r="A953" s="44"/>
      <c r="B953" s="63" t="s">
        <v>7</v>
      </c>
      <c r="C953" s="54">
        <f>IF($J$1="January",P947,IF($J$1="February",P948,IF($J$1="March",P949,IF($J$1="April",P950,IF($J$1="May",P951,IF($J$1="June",P952,IF($J$1="July",P953,IF($J$1="August",P954,IF($J$1="August",P954,IF($J$1="September",P955,IF($J$1="October",P956,IF($J$1="November",P957,IF($J$1="December",P958)))))))))))))</f>
        <v>0</v>
      </c>
      <c r="D953" s="45"/>
      <c r="E953" s="45"/>
      <c r="F953" s="63" t="s">
        <v>70</v>
      </c>
      <c r="G953" s="58" t="str">
        <f>IF($J$1="January",W947,IF($J$1="February",W948,IF($J$1="March",W949,IF($J$1="April",W950,IF($J$1="May",W951,IF($J$1="June",W952,IF($J$1="July",W953,IF($J$1="August",W954,IF($J$1="August",W954,IF($J$1="September",W955,IF($J$1="October",W956,IF($J$1="November",W957,IF($J$1="December",W958)))))))))))))</f>
        <v/>
      </c>
      <c r="H953" s="62"/>
      <c r="I953" s="361" t="s">
        <v>74</v>
      </c>
      <c r="J953" s="362"/>
      <c r="K953" s="68">
        <f>K951+K952</f>
        <v>0</v>
      </c>
      <c r="L953" s="69"/>
      <c r="M953" s="45"/>
      <c r="N953" s="88"/>
      <c r="O953" s="89" t="s">
        <v>55</v>
      </c>
      <c r="P953" s="89"/>
      <c r="Q953" s="89"/>
      <c r="R953" s="89">
        <v>0</v>
      </c>
      <c r="S953" s="93"/>
      <c r="T953" s="89" t="s">
        <v>55</v>
      </c>
      <c r="U953" s="162" t="str">
        <f>IF($J$1="July",Y952,"")</f>
        <v/>
      </c>
      <c r="V953" s="91"/>
      <c r="W953" s="162" t="str">
        <f t="shared" si="180"/>
        <v/>
      </c>
      <c r="X953" s="91"/>
      <c r="Y953" s="162" t="str">
        <f t="shared" si="181"/>
        <v/>
      </c>
      <c r="Z953" s="94"/>
      <c r="AA953" s="45"/>
    </row>
    <row r="954" spans="1:27" s="43" customFormat="1" ht="21" hidden="1" customHeight="1" x14ac:dyDescent="0.25">
      <c r="A954" s="44"/>
      <c r="B954" s="63" t="s">
        <v>6</v>
      </c>
      <c r="C954" s="54">
        <f>IF($J$1="January",Q947,IF($J$1="February",Q948,IF($J$1="March",Q949,IF($J$1="April",Q950,IF($J$1="May",Q951,IF($J$1="June",Q952,IF($J$1="July",Q953,IF($J$1="August",Q954,IF($J$1="August",Q954,IF($J$1="September",Q955,IF($J$1="October",Q956,IF($J$1="November",Q957,IF($J$1="December",Q958)))))))))))))</f>
        <v>0</v>
      </c>
      <c r="D954" s="45"/>
      <c r="E954" s="45"/>
      <c r="F954" s="63" t="s">
        <v>24</v>
      </c>
      <c r="G954" s="58">
        <f>IF($J$1="January",X947,IF($J$1="February",X948,IF($J$1="March",X949,IF($J$1="April",X950,IF($J$1="May",X951,IF($J$1="June",X952,IF($J$1="July",X953,IF($J$1="August",X954,IF($J$1="August",X954,IF($J$1="September",X955,IF($J$1="October",X956,IF($J$1="November",X957,IF($J$1="December",X958)))))))))))))</f>
        <v>0</v>
      </c>
      <c r="H954" s="62"/>
      <c r="I954" s="361" t="s">
        <v>75</v>
      </c>
      <c r="J954" s="362"/>
      <c r="K954" s="58">
        <f>G954</f>
        <v>0</v>
      </c>
      <c r="L954" s="70"/>
      <c r="M954" s="45"/>
      <c r="N954" s="88"/>
      <c r="O954" s="89" t="s">
        <v>56</v>
      </c>
      <c r="P954" s="89"/>
      <c r="Q954" s="89"/>
      <c r="R954" s="89" t="str">
        <f t="shared" si="179"/>
        <v/>
      </c>
      <c r="S954" s="93"/>
      <c r="T954" s="89" t="s">
        <v>56</v>
      </c>
      <c r="U954" s="162" t="str">
        <f>IF($J$1="August",Y953,"")</f>
        <v/>
      </c>
      <c r="V954" s="91"/>
      <c r="W954" s="162" t="str">
        <f t="shared" si="180"/>
        <v/>
      </c>
      <c r="X954" s="91"/>
      <c r="Y954" s="162" t="str">
        <f t="shared" si="181"/>
        <v/>
      </c>
      <c r="Z954" s="94"/>
      <c r="AA954" s="45"/>
    </row>
    <row r="955" spans="1:27" s="43" customFormat="1" ht="21" hidden="1" customHeight="1" x14ac:dyDescent="0.25">
      <c r="A955" s="44"/>
      <c r="B955" s="71" t="s">
        <v>73</v>
      </c>
      <c r="C955" s="54">
        <f>IF($J$1="January",R947,IF($J$1="February",R948,IF($J$1="March",R949,IF($J$1="April",R950,IF($J$1="May",R951,IF($J$1="June",R952,IF($J$1="July",R953,IF($J$1="August",R954,IF($J$1="August",R954,IF($J$1="September",R955,IF($J$1="October",R956,IF($J$1="November",R957,IF($J$1="December",R958)))))))))))))</f>
        <v>0</v>
      </c>
      <c r="D955" s="45"/>
      <c r="E955" s="45"/>
      <c r="F955" s="63" t="s">
        <v>72</v>
      </c>
      <c r="G955" s="58" t="str">
        <f>IF($J$1="January",Y947,IF($J$1="February",Y948,IF($J$1="March",Y949,IF($J$1="April",Y950,IF($J$1="May",Y951,IF($J$1="June",Y952,IF($J$1="July",Y953,IF($J$1="August",Y954,IF($J$1="August",Y954,IF($J$1="September",Y955,IF($J$1="October",Y956,IF($J$1="November",Y957,IF($J$1="December",Y958)))))))))))))</f>
        <v/>
      </c>
      <c r="H955" s="45"/>
      <c r="I955" s="363" t="s">
        <v>68</v>
      </c>
      <c r="J955" s="364"/>
      <c r="K955" s="72">
        <f>K953-K954</f>
        <v>0</v>
      </c>
      <c r="L955" s="73"/>
      <c r="M955" s="45"/>
      <c r="N955" s="88"/>
      <c r="O955" s="89" t="s">
        <v>61</v>
      </c>
      <c r="P955" s="89"/>
      <c r="Q955" s="89"/>
      <c r="R955" s="89" t="str">
        <f t="shared" si="179"/>
        <v/>
      </c>
      <c r="S955" s="93"/>
      <c r="T955" s="89" t="s">
        <v>61</v>
      </c>
      <c r="U955" s="162" t="str">
        <f>IF($J$1="Sept",Y954,"")</f>
        <v/>
      </c>
      <c r="V955" s="91"/>
      <c r="W955" s="162" t="str">
        <f t="shared" si="180"/>
        <v/>
      </c>
      <c r="X955" s="91"/>
      <c r="Y955" s="162" t="str">
        <f t="shared" si="181"/>
        <v/>
      </c>
      <c r="Z955" s="94"/>
      <c r="AA955" s="45"/>
    </row>
    <row r="956" spans="1:27" s="43" customFormat="1" ht="21" hidden="1" customHeight="1" x14ac:dyDescent="0.25">
      <c r="A956" s="44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61"/>
      <c r="M956" s="45"/>
      <c r="N956" s="88"/>
      <c r="O956" s="89" t="s">
        <v>57</v>
      </c>
      <c r="P956" s="89"/>
      <c r="Q956" s="89"/>
      <c r="R956" s="89">
        <v>0</v>
      </c>
      <c r="S956" s="93"/>
      <c r="T956" s="89" t="s">
        <v>57</v>
      </c>
      <c r="U956" s="162" t="str">
        <f>IF($J$1="October",Y955,"")</f>
        <v/>
      </c>
      <c r="V956" s="91"/>
      <c r="W956" s="162" t="str">
        <f t="shared" si="180"/>
        <v/>
      </c>
      <c r="X956" s="91"/>
      <c r="Y956" s="162" t="str">
        <f t="shared" si="181"/>
        <v/>
      </c>
      <c r="Z956" s="94"/>
      <c r="AA956" s="45"/>
    </row>
    <row r="957" spans="1:27" s="43" customFormat="1" ht="21" hidden="1" customHeight="1" x14ac:dyDescent="0.25">
      <c r="A957" s="44"/>
      <c r="B957" s="365" t="s">
        <v>103</v>
      </c>
      <c r="C957" s="365"/>
      <c r="D957" s="365"/>
      <c r="E957" s="365"/>
      <c r="F957" s="365"/>
      <c r="G957" s="365"/>
      <c r="H957" s="365"/>
      <c r="I957" s="365"/>
      <c r="J957" s="365"/>
      <c r="K957" s="365"/>
      <c r="L957" s="61"/>
      <c r="M957" s="45"/>
      <c r="N957" s="88"/>
      <c r="O957" s="89" t="s">
        <v>62</v>
      </c>
      <c r="P957" s="89"/>
      <c r="Q957" s="89"/>
      <c r="R957" s="89">
        <v>0</v>
      </c>
      <c r="S957" s="93"/>
      <c r="T957" s="89" t="s">
        <v>62</v>
      </c>
      <c r="U957" s="162" t="str">
        <f>IF($J$1="November",Y956,"")</f>
        <v/>
      </c>
      <c r="V957" s="91"/>
      <c r="W957" s="162" t="str">
        <f t="shared" si="180"/>
        <v/>
      </c>
      <c r="X957" s="91"/>
      <c r="Y957" s="162" t="str">
        <f t="shared" si="181"/>
        <v/>
      </c>
      <c r="Z957" s="94"/>
      <c r="AA957" s="45"/>
    </row>
    <row r="958" spans="1:27" s="43" customFormat="1" ht="21" hidden="1" customHeight="1" x14ac:dyDescent="0.25">
      <c r="A958" s="44"/>
      <c r="B958" s="365"/>
      <c r="C958" s="365"/>
      <c r="D958" s="365"/>
      <c r="E958" s="365"/>
      <c r="F958" s="365"/>
      <c r="G958" s="365"/>
      <c r="H958" s="365"/>
      <c r="I958" s="365"/>
      <c r="J958" s="365"/>
      <c r="K958" s="365"/>
      <c r="L958" s="61"/>
      <c r="M958" s="45"/>
      <c r="N958" s="88"/>
      <c r="O958" s="89" t="s">
        <v>63</v>
      </c>
      <c r="P958" s="89"/>
      <c r="Q958" s="89"/>
      <c r="R958" s="89" t="str">
        <f t="shared" si="179"/>
        <v/>
      </c>
      <c r="S958" s="93"/>
      <c r="T958" s="89" t="s">
        <v>63</v>
      </c>
      <c r="U958" s="162" t="str">
        <f>IF($J$1="Dec",Y957,"")</f>
        <v/>
      </c>
      <c r="V958" s="91"/>
      <c r="W958" s="162" t="str">
        <f t="shared" si="180"/>
        <v/>
      </c>
      <c r="X958" s="91"/>
      <c r="Y958" s="162" t="str">
        <f t="shared" si="181"/>
        <v/>
      </c>
      <c r="Z958" s="94"/>
      <c r="AA958" s="45"/>
    </row>
    <row r="959" spans="1:27" s="43" customFormat="1" ht="21" hidden="1" customHeight="1" thickBot="1" x14ac:dyDescent="0.3">
      <c r="A959" s="74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6"/>
      <c r="N959" s="95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7"/>
    </row>
    <row r="960" spans="1:27" s="45" customFormat="1" ht="21" hidden="1" customHeight="1" thickBot="1" x14ac:dyDescent="0.3"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 spans="1:27" s="43" customFormat="1" ht="21" hidden="1" customHeight="1" x14ac:dyDescent="0.25">
      <c r="A961" s="383" t="s">
        <v>45</v>
      </c>
      <c r="B961" s="384"/>
      <c r="C961" s="384"/>
      <c r="D961" s="384"/>
      <c r="E961" s="384"/>
      <c r="F961" s="384"/>
      <c r="G961" s="384"/>
      <c r="H961" s="384"/>
      <c r="I961" s="384"/>
      <c r="J961" s="384"/>
      <c r="K961" s="384"/>
      <c r="L961" s="385"/>
      <c r="M961" s="42"/>
      <c r="N961" s="81"/>
      <c r="O961" s="372" t="s">
        <v>47</v>
      </c>
      <c r="P961" s="373"/>
      <c r="Q961" s="373"/>
      <c r="R961" s="374"/>
      <c r="S961" s="82"/>
      <c r="T961" s="372" t="s">
        <v>48</v>
      </c>
      <c r="U961" s="373"/>
      <c r="V961" s="373"/>
      <c r="W961" s="373"/>
      <c r="X961" s="373"/>
      <c r="Y961" s="374"/>
      <c r="Z961" s="83"/>
      <c r="AA961" s="42"/>
    </row>
    <row r="962" spans="1:27" s="43" customFormat="1" ht="21" hidden="1" customHeight="1" x14ac:dyDescent="0.25">
      <c r="A962" s="44"/>
      <c r="B962" s="45"/>
      <c r="C962" s="375" t="s">
        <v>101</v>
      </c>
      <c r="D962" s="375"/>
      <c r="E962" s="375"/>
      <c r="F962" s="375"/>
      <c r="G962" s="46" t="str">
        <f>$J$1</f>
        <v>October</v>
      </c>
      <c r="H962" s="376">
        <f>$K$1</f>
        <v>2020</v>
      </c>
      <c r="I962" s="376"/>
      <c r="J962" s="45"/>
      <c r="K962" s="47"/>
      <c r="L962" s="48"/>
      <c r="M962" s="47"/>
      <c r="N962" s="84"/>
      <c r="O962" s="85" t="s">
        <v>58</v>
      </c>
      <c r="P962" s="85" t="s">
        <v>7</v>
      </c>
      <c r="Q962" s="85" t="s">
        <v>6</v>
      </c>
      <c r="R962" s="85" t="s">
        <v>59</v>
      </c>
      <c r="S962" s="86"/>
      <c r="T962" s="85" t="s">
        <v>58</v>
      </c>
      <c r="U962" s="85" t="s">
        <v>60</v>
      </c>
      <c r="V962" s="85" t="s">
        <v>23</v>
      </c>
      <c r="W962" s="85" t="s">
        <v>22</v>
      </c>
      <c r="X962" s="85" t="s">
        <v>24</v>
      </c>
      <c r="Y962" s="85" t="s">
        <v>64</v>
      </c>
      <c r="Z962" s="87"/>
      <c r="AA962" s="47"/>
    </row>
    <row r="963" spans="1:27" s="43" customFormat="1" ht="21" hidden="1" customHeight="1" x14ac:dyDescent="0.25">
      <c r="A963" s="44"/>
      <c r="B963" s="45"/>
      <c r="C963" s="45"/>
      <c r="D963" s="50"/>
      <c r="E963" s="50"/>
      <c r="F963" s="50"/>
      <c r="G963" s="50"/>
      <c r="H963" s="50"/>
      <c r="I963" s="45"/>
      <c r="J963" s="51" t="s">
        <v>1</v>
      </c>
      <c r="K963" s="52"/>
      <c r="L963" s="53"/>
      <c r="M963" s="45"/>
      <c r="N963" s="88"/>
      <c r="O963" s="89" t="s">
        <v>50</v>
      </c>
      <c r="P963" s="89"/>
      <c r="Q963" s="89"/>
      <c r="R963" s="89">
        <v>0</v>
      </c>
      <c r="S963" s="90"/>
      <c r="T963" s="89" t="s">
        <v>50</v>
      </c>
      <c r="U963" s="91"/>
      <c r="V963" s="91"/>
      <c r="W963" s="91">
        <f>V963+U963</f>
        <v>0</v>
      </c>
      <c r="X963" s="91"/>
      <c r="Y963" s="91">
        <f>W963-X963</f>
        <v>0</v>
      </c>
      <c r="Z963" s="87"/>
      <c r="AA963" s="45"/>
    </row>
    <row r="964" spans="1:27" s="43" customFormat="1" ht="21" hidden="1" customHeight="1" x14ac:dyDescent="0.25">
      <c r="A964" s="44"/>
      <c r="B964" s="45" t="s">
        <v>0</v>
      </c>
      <c r="C964" s="55"/>
      <c r="D964" s="45"/>
      <c r="E964" s="45"/>
      <c r="F964" s="45"/>
      <c r="G964" s="45"/>
      <c r="H964" s="56"/>
      <c r="I964" s="50"/>
      <c r="J964" s="45"/>
      <c r="K964" s="45"/>
      <c r="L964" s="57"/>
      <c r="M964" s="42"/>
      <c r="N964" s="92"/>
      <c r="O964" s="89" t="s">
        <v>76</v>
      </c>
      <c r="P964" s="89"/>
      <c r="Q964" s="89"/>
      <c r="R964" s="89" t="str">
        <f>IF(Q964="","",R963-Q964)</f>
        <v/>
      </c>
      <c r="S964" s="93"/>
      <c r="T964" s="89" t="s">
        <v>76</v>
      </c>
      <c r="U964" s="162">
        <f>Y963</f>
        <v>0</v>
      </c>
      <c r="V964" s="91"/>
      <c r="W964" s="162">
        <f>IF(U964="","",U964+V964)</f>
        <v>0</v>
      </c>
      <c r="X964" s="91"/>
      <c r="Y964" s="162">
        <f>IF(W964="","",W964-X964)</f>
        <v>0</v>
      </c>
      <c r="Z964" s="94"/>
      <c r="AA964" s="42"/>
    </row>
    <row r="965" spans="1:27" s="43" customFormat="1" ht="21" hidden="1" customHeight="1" x14ac:dyDescent="0.25">
      <c r="A965" s="44"/>
      <c r="B965" s="59" t="s">
        <v>46</v>
      </c>
      <c r="C965" s="60"/>
      <c r="D965" s="45"/>
      <c r="E965" s="45"/>
      <c r="F965" s="366" t="s">
        <v>48</v>
      </c>
      <c r="G965" s="366"/>
      <c r="H965" s="45"/>
      <c r="I965" s="366" t="s">
        <v>49</v>
      </c>
      <c r="J965" s="366"/>
      <c r="K965" s="366"/>
      <c r="L965" s="61"/>
      <c r="M965" s="45"/>
      <c r="N965" s="88"/>
      <c r="O965" s="89" t="s">
        <v>51</v>
      </c>
      <c r="P965" s="89"/>
      <c r="Q965" s="89"/>
      <c r="R965" s="89" t="str">
        <f t="shared" ref="R965:R973" si="182">IF(Q965="","",R964-Q965)</f>
        <v/>
      </c>
      <c r="S965" s="93"/>
      <c r="T965" s="89" t="s">
        <v>51</v>
      </c>
      <c r="U965" s="162">
        <f>IF($J$1="April",Y964,Y964)</f>
        <v>0</v>
      </c>
      <c r="V965" s="91"/>
      <c r="W965" s="162">
        <f t="shared" ref="W965:W974" si="183">IF(U965="","",U965+V965)</f>
        <v>0</v>
      </c>
      <c r="X965" s="91"/>
      <c r="Y965" s="162">
        <f t="shared" ref="Y965:Y974" si="184">IF(W965="","",W965-X965)</f>
        <v>0</v>
      </c>
      <c r="Z965" s="94"/>
      <c r="AA965" s="45"/>
    </row>
    <row r="966" spans="1:27" s="43" customFormat="1" ht="21" hidden="1" customHeight="1" x14ac:dyDescent="0.25">
      <c r="A966" s="44"/>
      <c r="B966" s="45"/>
      <c r="C966" s="45"/>
      <c r="D966" s="45"/>
      <c r="E966" s="45"/>
      <c r="F966" s="45"/>
      <c r="G966" s="45"/>
      <c r="H966" s="62"/>
      <c r="L966" s="49"/>
      <c r="M966" s="45"/>
      <c r="N966" s="88"/>
      <c r="O966" s="89" t="s">
        <v>52</v>
      </c>
      <c r="P966" s="89"/>
      <c r="Q966" s="89"/>
      <c r="R966" s="89" t="str">
        <f t="shared" si="182"/>
        <v/>
      </c>
      <c r="S966" s="93"/>
      <c r="T966" s="89" t="s">
        <v>52</v>
      </c>
      <c r="U966" s="162">
        <f>IF($J$1="April",Y965,Y965)</f>
        <v>0</v>
      </c>
      <c r="V966" s="91"/>
      <c r="W966" s="162">
        <f t="shared" si="183"/>
        <v>0</v>
      </c>
      <c r="X966" s="91"/>
      <c r="Y966" s="162">
        <f t="shared" si="184"/>
        <v>0</v>
      </c>
      <c r="Z966" s="94"/>
      <c r="AA966" s="45"/>
    </row>
    <row r="967" spans="1:27" s="43" customFormat="1" ht="21" hidden="1" customHeight="1" x14ac:dyDescent="0.25">
      <c r="A967" s="44"/>
      <c r="B967" s="367" t="s">
        <v>47</v>
      </c>
      <c r="C967" s="368"/>
      <c r="D967" s="45"/>
      <c r="E967" s="45"/>
      <c r="F967" s="63" t="s">
        <v>69</v>
      </c>
      <c r="G967" s="58" t="str">
        <f>IF($J$1="January",U963,IF($J$1="February",U964,IF($J$1="March",U965,IF($J$1="April",U966,IF($J$1="May",U967,IF($J$1="June",U968,IF($J$1="July",U969,IF($J$1="August",U970,IF($J$1="August",U970,IF($J$1="September",U971,IF($J$1="October",U972,IF($J$1="November",U973,IF($J$1="December",U974)))))))))))))</f>
        <v/>
      </c>
      <c r="H967" s="62"/>
      <c r="I967" s="64">
        <f>IF(C971&gt;0,$K$2,C969)</f>
        <v>31</v>
      </c>
      <c r="J967" s="65" t="s">
        <v>66</v>
      </c>
      <c r="K967" s="66">
        <f>K963/$K$2*I967</f>
        <v>0</v>
      </c>
      <c r="L967" s="67"/>
      <c r="M967" s="45"/>
      <c r="N967" s="88"/>
      <c r="O967" s="89" t="s">
        <v>53</v>
      </c>
      <c r="P967" s="89"/>
      <c r="Q967" s="89"/>
      <c r="R967" s="89">
        <v>0</v>
      </c>
      <c r="S967" s="93"/>
      <c r="T967" s="89" t="s">
        <v>53</v>
      </c>
      <c r="U967" s="162">
        <f>IF($J$1="May",Y966,Y966)</f>
        <v>0</v>
      </c>
      <c r="V967" s="91"/>
      <c r="W967" s="162">
        <f t="shared" si="183"/>
        <v>0</v>
      </c>
      <c r="X967" s="91"/>
      <c r="Y967" s="162">
        <f t="shared" si="184"/>
        <v>0</v>
      </c>
      <c r="Z967" s="94"/>
      <c r="AA967" s="45"/>
    </row>
    <row r="968" spans="1:27" s="43" customFormat="1" ht="21" hidden="1" customHeight="1" x14ac:dyDescent="0.25">
      <c r="A968" s="44"/>
      <c r="B968" s="54"/>
      <c r="C968" s="54"/>
      <c r="D968" s="45"/>
      <c r="E968" s="45"/>
      <c r="F968" s="63" t="s">
        <v>23</v>
      </c>
      <c r="G968" s="58">
        <f>IF($J$1="January",V963,IF($J$1="February",V964,IF($J$1="March",V965,IF($J$1="April",V966,IF($J$1="May",V967,IF($J$1="June",V968,IF($J$1="July",V969,IF($J$1="August",V970,IF($J$1="August",V970,IF($J$1="September",V971,IF($J$1="October",V972,IF($J$1="November",V973,IF($J$1="December",V974)))))))))))))</f>
        <v>0</v>
      </c>
      <c r="H968" s="62"/>
      <c r="I968" s="108"/>
      <c r="J968" s="65" t="s">
        <v>67</v>
      </c>
      <c r="K968" s="68">
        <f>K963/$K$2/8*I968</f>
        <v>0</v>
      </c>
      <c r="L968" s="69"/>
      <c r="M968" s="45"/>
      <c r="N968" s="88"/>
      <c r="O968" s="89" t="s">
        <v>54</v>
      </c>
      <c r="P968" s="89"/>
      <c r="Q968" s="89"/>
      <c r="R968" s="89">
        <v>0</v>
      </c>
      <c r="S968" s="93"/>
      <c r="T968" s="89" t="s">
        <v>54</v>
      </c>
      <c r="U968" s="162">
        <f>IF($J$1="May",Y967,Y967)</f>
        <v>0</v>
      </c>
      <c r="V968" s="91"/>
      <c r="W968" s="162">
        <f t="shared" si="183"/>
        <v>0</v>
      </c>
      <c r="X968" s="91"/>
      <c r="Y968" s="162">
        <f t="shared" si="184"/>
        <v>0</v>
      </c>
      <c r="Z968" s="94"/>
      <c r="AA968" s="45"/>
    </row>
    <row r="969" spans="1:27" s="43" customFormat="1" ht="21" hidden="1" customHeight="1" x14ac:dyDescent="0.25">
      <c r="A969" s="44"/>
      <c r="B969" s="63" t="s">
        <v>7</v>
      </c>
      <c r="C969" s="54">
        <f>IF($J$1="January",P963,IF($J$1="February",P964,IF($J$1="March",P965,IF($J$1="April",P966,IF($J$1="May",P967,IF($J$1="June",P968,IF($J$1="July",P969,IF($J$1="August",P970,IF($J$1="August",P970,IF($J$1="September",P971,IF($J$1="October",P972,IF($J$1="November",P973,IF($J$1="December",P974)))))))))))))</f>
        <v>0</v>
      </c>
      <c r="D969" s="45"/>
      <c r="E969" s="45"/>
      <c r="F969" s="63" t="s">
        <v>70</v>
      </c>
      <c r="G969" s="58" t="str">
        <f>IF($J$1="January",W963,IF($J$1="February",W964,IF($J$1="March",W965,IF($J$1="April",W966,IF($J$1="May",W967,IF($J$1="June",W968,IF($J$1="July",W969,IF($J$1="August",W970,IF($J$1="August",W970,IF($J$1="September",W971,IF($J$1="October",W972,IF($J$1="November",W973,IF($J$1="December",W974)))))))))))))</f>
        <v/>
      </c>
      <c r="H969" s="62"/>
      <c r="I969" s="361" t="s">
        <v>74</v>
      </c>
      <c r="J969" s="362"/>
      <c r="K969" s="68">
        <f>K967+K968</f>
        <v>0</v>
      </c>
      <c r="L969" s="69"/>
      <c r="M969" s="45"/>
      <c r="N969" s="88"/>
      <c r="O969" s="89" t="s">
        <v>55</v>
      </c>
      <c r="P969" s="89"/>
      <c r="Q969" s="89"/>
      <c r="R969" s="89">
        <v>0</v>
      </c>
      <c r="S969" s="93"/>
      <c r="T969" s="89" t="s">
        <v>55</v>
      </c>
      <c r="U969" s="162" t="str">
        <f>IF($J$1="July",Y968,"")</f>
        <v/>
      </c>
      <c r="V969" s="91"/>
      <c r="W969" s="162" t="str">
        <f t="shared" si="183"/>
        <v/>
      </c>
      <c r="X969" s="91"/>
      <c r="Y969" s="162" t="str">
        <f t="shared" si="184"/>
        <v/>
      </c>
      <c r="Z969" s="94"/>
      <c r="AA969" s="45"/>
    </row>
    <row r="970" spans="1:27" s="43" customFormat="1" ht="21" hidden="1" customHeight="1" x14ac:dyDescent="0.25">
      <c r="A970" s="44"/>
      <c r="B970" s="63" t="s">
        <v>6</v>
      </c>
      <c r="C970" s="54">
        <f>IF($J$1="January",Q963,IF($J$1="February",Q964,IF($J$1="March",Q965,IF($J$1="April",Q966,IF($J$1="May",Q967,IF($J$1="June",Q968,IF($J$1="July",Q969,IF($J$1="August",Q970,IF($J$1="August",Q970,IF($J$1="September",Q971,IF($J$1="October",Q972,IF($J$1="November",Q973,IF($J$1="December",Q974)))))))))))))</f>
        <v>0</v>
      </c>
      <c r="D970" s="45"/>
      <c r="E970" s="45"/>
      <c r="F970" s="63" t="s">
        <v>24</v>
      </c>
      <c r="G970" s="58">
        <f>IF($J$1="January",X963,IF($J$1="February",X964,IF($J$1="March",X965,IF($J$1="April",X966,IF($J$1="May",X967,IF($J$1="June",X968,IF($J$1="July",X969,IF($J$1="August",X970,IF($J$1="August",X970,IF($J$1="September",X971,IF($J$1="October",X972,IF($J$1="November",X973,IF($J$1="December",X974)))))))))))))</f>
        <v>0</v>
      </c>
      <c r="H970" s="62"/>
      <c r="I970" s="361" t="s">
        <v>75</v>
      </c>
      <c r="J970" s="362"/>
      <c r="K970" s="58">
        <f>G970</f>
        <v>0</v>
      </c>
      <c r="L970" s="70"/>
      <c r="M970" s="45"/>
      <c r="N970" s="88"/>
      <c r="O970" s="89" t="s">
        <v>56</v>
      </c>
      <c r="P970" s="89"/>
      <c r="Q970" s="89"/>
      <c r="R970" s="89">
        <v>0</v>
      </c>
      <c r="S970" s="93"/>
      <c r="T970" s="89" t="s">
        <v>56</v>
      </c>
      <c r="U970" s="162" t="str">
        <f>IF($J$1="September",Y969,"")</f>
        <v/>
      </c>
      <c r="V970" s="91"/>
      <c r="W970" s="162" t="str">
        <f t="shared" si="183"/>
        <v/>
      </c>
      <c r="X970" s="91"/>
      <c r="Y970" s="162" t="str">
        <f t="shared" si="184"/>
        <v/>
      </c>
      <c r="Z970" s="94"/>
      <c r="AA970" s="45"/>
    </row>
    <row r="971" spans="1:27" s="43" customFormat="1" ht="21" hidden="1" customHeight="1" x14ac:dyDescent="0.25">
      <c r="A971" s="44"/>
      <c r="B971" s="71" t="s">
        <v>73</v>
      </c>
      <c r="C971" s="54" t="str">
        <f>IF($J$1="January",R963,IF($J$1="February",R964,IF($J$1="March",R965,IF($J$1="April",R966,IF($J$1="May",R967,IF($J$1="June",R968,IF($J$1="July",R969,IF($J$1="August",R970,IF($J$1="August",R970,IF($J$1="September",R971,IF($J$1="October",R972,IF($J$1="November",R973,IF($J$1="December",R974)))))))))))))</f>
        <v/>
      </c>
      <c r="D971" s="45"/>
      <c r="E971" s="45"/>
      <c r="F971" s="63" t="s">
        <v>72</v>
      </c>
      <c r="G971" s="58" t="str">
        <f>IF($J$1="January",Y963,IF($J$1="February",Y964,IF($J$1="March",Y965,IF($J$1="April",Y966,IF($J$1="May",Y967,IF($J$1="June",Y968,IF($J$1="July",Y969,IF($J$1="August",Y970,IF($J$1="August",Y970,IF($J$1="September",Y971,IF($J$1="October",Y972,IF($J$1="November",Y973,IF($J$1="December",Y974)))))))))))))</f>
        <v/>
      </c>
      <c r="H971" s="45"/>
      <c r="I971" s="363" t="s">
        <v>68</v>
      </c>
      <c r="J971" s="364"/>
      <c r="K971" s="72">
        <f>K969-K970</f>
        <v>0</v>
      </c>
      <c r="L971" s="73"/>
      <c r="M971" s="45"/>
      <c r="N971" s="88"/>
      <c r="O971" s="89" t="s">
        <v>61</v>
      </c>
      <c r="P971" s="89"/>
      <c r="Q971" s="89"/>
      <c r="R971" s="89">
        <v>0</v>
      </c>
      <c r="S971" s="93"/>
      <c r="T971" s="89" t="s">
        <v>61</v>
      </c>
      <c r="U971" s="162" t="str">
        <f>IF($J$1="September",Y970,"")</f>
        <v/>
      </c>
      <c r="V971" s="91"/>
      <c r="W971" s="162" t="str">
        <f t="shared" si="183"/>
        <v/>
      </c>
      <c r="X971" s="91"/>
      <c r="Y971" s="162" t="str">
        <f t="shared" si="184"/>
        <v/>
      </c>
      <c r="Z971" s="94"/>
      <c r="AA971" s="45"/>
    </row>
    <row r="972" spans="1:27" s="43" customFormat="1" ht="21" hidden="1" customHeight="1" x14ac:dyDescent="0.25">
      <c r="A972" s="44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61"/>
      <c r="M972" s="45"/>
      <c r="N972" s="88"/>
      <c r="O972" s="89" t="s">
        <v>57</v>
      </c>
      <c r="P972" s="89"/>
      <c r="Q972" s="89"/>
      <c r="R972" s="89" t="str">
        <f t="shared" si="182"/>
        <v/>
      </c>
      <c r="S972" s="93"/>
      <c r="T972" s="89" t="s">
        <v>57</v>
      </c>
      <c r="U972" s="162" t="str">
        <f>IF($J$1="October",Y971,"")</f>
        <v/>
      </c>
      <c r="V972" s="91"/>
      <c r="W972" s="162" t="str">
        <f t="shared" si="183"/>
        <v/>
      </c>
      <c r="X972" s="91"/>
      <c r="Y972" s="162" t="str">
        <f t="shared" si="184"/>
        <v/>
      </c>
      <c r="Z972" s="94"/>
      <c r="AA972" s="45"/>
    </row>
    <row r="973" spans="1:27" s="43" customFormat="1" ht="21" hidden="1" customHeight="1" x14ac:dyDescent="0.25">
      <c r="A973" s="44"/>
      <c r="B973" s="365" t="s">
        <v>103</v>
      </c>
      <c r="C973" s="365"/>
      <c r="D973" s="365"/>
      <c r="E973" s="365"/>
      <c r="F973" s="365"/>
      <c r="G973" s="365"/>
      <c r="H973" s="365"/>
      <c r="I973" s="365"/>
      <c r="J973" s="365"/>
      <c r="K973" s="365"/>
      <c r="L973" s="61"/>
      <c r="M973" s="45"/>
      <c r="N973" s="88"/>
      <c r="O973" s="89" t="s">
        <v>62</v>
      </c>
      <c r="P973" s="89"/>
      <c r="Q973" s="89"/>
      <c r="R973" s="89" t="str">
        <f t="shared" si="182"/>
        <v/>
      </c>
      <c r="S973" s="93"/>
      <c r="T973" s="89" t="s">
        <v>62</v>
      </c>
      <c r="U973" s="162" t="str">
        <f>IF($J$1="November",Y972,"")</f>
        <v/>
      </c>
      <c r="V973" s="91"/>
      <c r="W973" s="162" t="str">
        <f t="shared" si="183"/>
        <v/>
      </c>
      <c r="X973" s="91"/>
      <c r="Y973" s="162" t="str">
        <f t="shared" si="184"/>
        <v/>
      </c>
      <c r="Z973" s="94"/>
      <c r="AA973" s="45"/>
    </row>
    <row r="974" spans="1:27" s="43" customFormat="1" ht="21" hidden="1" customHeight="1" x14ac:dyDescent="0.25">
      <c r="A974" s="44"/>
      <c r="B974" s="365"/>
      <c r="C974" s="365"/>
      <c r="D974" s="365"/>
      <c r="E974" s="365"/>
      <c r="F974" s="365"/>
      <c r="G974" s="365"/>
      <c r="H974" s="365"/>
      <c r="I974" s="365"/>
      <c r="J974" s="365"/>
      <c r="K974" s="365"/>
      <c r="L974" s="61"/>
      <c r="M974" s="45"/>
      <c r="N974" s="88"/>
      <c r="O974" s="89" t="s">
        <v>63</v>
      </c>
      <c r="P974" s="89"/>
      <c r="Q974" s="89"/>
      <c r="R974" s="89">
        <v>0</v>
      </c>
      <c r="S974" s="93"/>
      <c r="T974" s="89" t="s">
        <v>63</v>
      </c>
      <c r="U974" s="162" t="str">
        <f>IF($J$1="Dec",Y973,"")</f>
        <v/>
      </c>
      <c r="V974" s="91"/>
      <c r="W974" s="162" t="str">
        <f t="shared" si="183"/>
        <v/>
      </c>
      <c r="X974" s="91"/>
      <c r="Y974" s="162" t="str">
        <f t="shared" si="184"/>
        <v/>
      </c>
      <c r="Z974" s="94"/>
      <c r="AA974" s="45"/>
    </row>
    <row r="975" spans="1:27" s="43" customFormat="1" ht="21" hidden="1" customHeight="1" thickBot="1" x14ac:dyDescent="0.3">
      <c r="A975" s="74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6"/>
      <c r="N975" s="95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7"/>
    </row>
    <row r="976" spans="1:27" s="43" customFormat="1" ht="21" hidden="1" customHeight="1" x14ac:dyDescent="0.25"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spans="1:27" s="43" customFormat="1" ht="21" hidden="1" customHeight="1" x14ac:dyDescent="0.25">
      <c r="A977" s="389" t="s">
        <v>45</v>
      </c>
      <c r="B977" s="390"/>
      <c r="C977" s="390"/>
      <c r="D977" s="390"/>
      <c r="E977" s="390"/>
      <c r="F977" s="390"/>
      <c r="G977" s="390"/>
      <c r="H977" s="390"/>
      <c r="I977" s="390"/>
      <c r="J977" s="390"/>
      <c r="K977" s="390"/>
      <c r="L977" s="391"/>
      <c r="M977" s="42"/>
      <c r="N977" s="81"/>
      <c r="O977" s="372" t="s">
        <v>47</v>
      </c>
      <c r="P977" s="373"/>
      <c r="Q977" s="373"/>
      <c r="R977" s="374"/>
      <c r="S977" s="82"/>
      <c r="T977" s="372" t="s">
        <v>48</v>
      </c>
      <c r="U977" s="373"/>
      <c r="V977" s="373"/>
      <c r="W977" s="373"/>
      <c r="X977" s="373"/>
      <c r="Y977" s="374"/>
      <c r="Z977" s="83"/>
      <c r="AA977" s="42"/>
    </row>
    <row r="978" spans="1:27" s="43" customFormat="1" ht="21" hidden="1" customHeight="1" x14ac:dyDescent="0.25">
      <c r="A978" s="44"/>
      <c r="B978" s="45"/>
      <c r="C978" s="375" t="s">
        <v>101</v>
      </c>
      <c r="D978" s="375"/>
      <c r="E978" s="375"/>
      <c r="F978" s="375"/>
      <c r="G978" s="46" t="str">
        <f>$J$1</f>
        <v>October</v>
      </c>
      <c r="H978" s="376">
        <f>$K$1</f>
        <v>2020</v>
      </c>
      <c r="I978" s="376"/>
      <c r="J978" s="45"/>
      <c r="K978" s="47"/>
      <c r="L978" s="48"/>
      <c r="M978" s="47"/>
      <c r="N978" s="84"/>
      <c r="O978" s="85" t="s">
        <v>58</v>
      </c>
      <c r="P978" s="85" t="s">
        <v>7</v>
      </c>
      <c r="Q978" s="85" t="s">
        <v>6</v>
      </c>
      <c r="R978" s="85" t="s">
        <v>59</v>
      </c>
      <c r="S978" s="86"/>
      <c r="T978" s="85" t="s">
        <v>58</v>
      </c>
      <c r="U978" s="85" t="s">
        <v>60</v>
      </c>
      <c r="V978" s="85" t="s">
        <v>23</v>
      </c>
      <c r="W978" s="85" t="s">
        <v>22</v>
      </c>
      <c r="X978" s="85" t="s">
        <v>24</v>
      </c>
      <c r="Y978" s="85" t="s">
        <v>64</v>
      </c>
      <c r="Z978" s="87"/>
      <c r="AA978" s="47"/>
    </row>
    <row r="979" spans="1:27" s="43" customFormat="1" ht="21" hidden="1" customHeight="1" x14ac:dyDescent="0.25">
      <c r="A979" s="44"/>
      <c r="B979" s="45"/>
      <c r="C979" s="45"/>
      <c r="D979" s="50"/>
      <c r="E979" s="50"/>
      <c r="F979" s="50"/>
      <c r="G979" s="50"/>
      <c r="H979" s="50"/>
      <c r="I979" s="45"/>
      <c r="J979" s="51" t="s">
        <v>1</v>
      </c>
      <c r="K979" s="52"/>
      <c r="L979" s="53"/>
      <c r="M979" s="45"/>
      <c r="N979" s="88"/>
      <c r="O979" s="89" t="s">
        <v>50</v>
      </c>
      <c r="P979" s="89"/>
      <c r="Q979" s="89"/>
      <c r="R979" s="89">
        <f>15-Q979</f>
        <v>15</v>
      </c>
      <c r="S979" s="90"/>
      <c r="T979" s="89" t="s">
        <v>50</v>
      </c>
      <c r="U979" s="91"/>
      <c r="V979" s="91"/>
      <c r="W979" s="91">
        <f>V979+U979</f>
        <v>0</v>
      </c>
      <c r="X979" s="91"/>
      <c r="Y979" s="91">
        <f>W979-X979</f>
        <v>0</v>
      </c>
      <c r="Z979" s="87"/>
      <c r="AA979" s="45"/>
    </row>
    <row r="980" spans="1:27" s="43" customFormat="1" ht="21" hidden="1" customHeight="1" x14ac:dyDescent="0.25">
      <c r="A980" s="44"/>
      <c r="B980" s="45" t="s">
        <v>0</v>
      </c>
      <c r="C980" s="55"/>
      <c r="D980" s="45"/>
      <c r="E980" s="45"/>
      <c r="F980" s="45"/>
      <c r="G980" s="45"/>
      <c r="H980" s="56"/>
      <c r="I980" s="50"/>
      <c r="J980" s="45"/>
      <c r="K980" s="45"/>
      <c r="L980" s="57"/>
      <c r="M980" s="42"/>
      <c r="N980" s="92"/>
      <c r="O980" s="89" t="s">
        <v>76</v>
      </c>
      <c r="P980" s="89"/>
      <c r="Q980" s="89"/>
      <c r="R980" s="89" t="str">
        <f>IF(Q980="","",R979-Q980)</f>
        <v/>
      </c>
      <c r="S980" s="93"/>
      <c r="T980" s="89" t="s">
        <v>76</v>
      </c>
      <c r="U980" s="162">
        <f>IF($J$1="January","",Y979)</f>
        <v>0</v>
      </c>
      <c r="V980" s="91"/>
      <c r="W980" s="162">
        <f>IF(U980="","",U980+V980)</f>
        <v>0</v>
      </c>
      <c r="X980" s="91"/>
      <c r="Y980" s="162">
        <f>IF(W980="","",W980-X980)</f>
        <v>0</v>
      </c>
      <c r="Z980" s="94"/>
      <c r="AA980" s="42"/>
    </row>
    <row r="981" spans="1:27" s="43" customFormat="1" ht="21" hidden="1" customHeight="1" x14ac:dyDescent="0.25">
      <c r="A981" s="44"/>
      <c r="B981" s="59" t="s">
        <v>46</v>
      </c>
      <c r="C981" s="60"/>
      <c r="D981" s="45"/>
      <c r="E981" s="45"/>
      <c r="F981" s="366" t="s">
        <v>48</v>
      </c>
      <c r="G981" s="366"/>
      <c r="H981" s="45"/>
      <c r="I981" s="366" t="s">
        <v>49</v>
      </c>
      <c r="J981" s="366"/>
      <c r="K981" s="366"/>
      <c r="L981" s="61"/>
      <c r="M981" s="45"/>
      <c r="N981" s="88"/>
      <c r="O981" s="89" t="s">
        <v>51</v>
      </c>
      <c r="P981" s="89"/>
      <c r="Q981" s="89"/>
      <c r="R981" s="89" t="str">
        <f t="shared" ref="R981:R990" si="185">IF(Q981="","",R980-Q981)</f>
        <v/>
      </c>
      <c r="S981" s="93"/>
      <c r="T981" s="89" t="s">
        <v>51</v>
      </c>
      <c r="U981" s="162">
        <f>IF($J$1="February","",Y980)</f>
        <v>0</v>
      </c>
      <c r="V981" s="91"/>
      <c r="W981" s="162">
        <f t="shared" ref="W981:W990" si="186">IF(U981="","",U981+V981)</f>
        <v>0</v>
      </c>
      <c r="X981" s="91"/>
      <c r="Y981" s="162">
        <f t="shared" ref="Y981:Y990" si="187">IF(W981="","",W981-X981)</f>
        <v>0</v>
      </c>
      <c r="Z981" s="94"/>
      <c r="AA981" s="45"/>
    </row>
    <row r="982" spans="1:27" s="43" customFormat="1" ht="21" hidden="1" customHeight="1" x14ac:dyDescent="0.25">
      <c r="A982" s="44"/>
      <c r="B982" s="45"/>
      <c r="C982" s="45"/>
      <c r="D982" s="45"/>
      <c r="E982" s="45"/>
      <c r="F982" s="45"/>
      <c r="G982" s="45"/>
      <c r="H982" s="62"/>
      <c r="L982" s="49"/>
      <c r="M982" s="45"/>
      <c r="N982" s="88"/>
      <c r="O982" s="89" t="s">
        <v>52</v>
      </c>
      <c r="P982" s="89"/>
      <c r="Q982" s="89"/>
      <c r="R982" s="89" t="str">
        <f t="shared" si="185"/>
        <v/>
      </c>
      <c r="S982" s="93"/>
      <c r="T982" s="89" t="s">
        <v>52</v>
      </c>
      <c r="U982" s="162">
        <f>IF($J$1="March","",Y981)</f>
        <v>0</v>
      </c>
      <c r="V982" s="91"/>
      <c r="W982" s="162">
        <f t="shared" si="186"/>
        <v>0</v>
      </c>
      <c r="X982" s="91"/>
      <c r="Y982" s="162">
        <f t="shared" si="187"/>
        <v>0</v>
      </c>
      <c r="Z982" s="94"/>
      <c r="AA982" s="45"/>
    </row>
    <row r="983" spans="1:27" s="43" customFormat="1" ht="21" hidden="1" customHeight="1" x14ac:dyDescent="0.25">
      <c r="A983" s="44"/>
      <c r="B983" s="367" t="s">
        <v>47</v>
      </c>
      <c r="C983" s="368"/>
      <c r="D983" s="45"/>
      <c r="E983" s="45"/>
      <c r="F983" s="63" t="s">
        <v>69</v>
      </c>
      <c r="G983" s="58">
        <f>IF($J$1="January",U979,IF($J$1="February",U980,IF($J$1="March",U981,IF($J$1="April",U982,IF($J$1="May",U983,IF($J$1="June",U984,IF($J$1="July",U985,IF($J$1="August",U986,IF($J$1="August",U986,IF($J$1="September",U987,IF($J$1="October",U988,IF($J$1="November",U989,IF($J$1="December",U990)))))))))))))</f>
        <v>0</v>
      </c>
      <c r="H983" s="62"/>
      <c r="I983" s="225"/>
      <c r="J983" s="65" t="s">
        <v>66</v>
      </c>
      <c r="K983" s="66">
        <f>K979/$K$2*I983</f>
        <v>0</v>
      </c>
      <c r="L983" s="67"/>
      <c r="M983" s="45"/>
      <c r="N983" s="88"/>
      <c r="O983" s="89" t="s">
        <v>53</v>
      </c>
      <c r="P983" s="89"/>
      <c r="Q983" s="89"/>
      <c r="R983" s="89" t="str">
        <f t="shared" si="185"/>
        <v/>
      </c>
      <c r="S983" s="93"/>
      <c r="T983" s="89" t="s">
        <v>53</v>
      </c>
      <c r="U983" s="162">
        <f>IF($J$1="April","",Y982)</f>
        <v>0</v>
      </c>
      <c r="V983" s="91"/>
      <c r="W983" s="162">
        <f t="shared" si="186"/>
        <v>0</v>
      </c>
      <c r="X983" s="91"/>
      <c r="Y983" s="162">
        <f t="shared" si="187"/>
        <v>0</v>
      </c>
      <c r="Z983" s="94"/>
      <c r="AA983" s="45"/>
    </row>
    <row r="984" spans="1:27" s="43" customFormat="1" ht="21" hidden="1" customHeight="1" x14ac:dyDescent="0.25">
      <c r="A984" s="44"/>
      <c r="B984" s="54"/>
      <c r="C984" s="54"/>
      <c r="D984" s="45"/>
      <c r="E984" s="45"/>
      <c r="F984" s="63" t="s">
        <v>23</v>
      </c>
      <c r="G984" s="58">
        <f>IF($J$1="January",V979,IF($J$1="February",V980,IF($J$1="March",V981,IF($J$1="April",V982,IF($J$1="May",V983,IF($J$1="June",V984,IF($J$1="July",V985,IF($J$1="August",V986,IF($J$1="August",V986,IF($J$1="September",V987,IF($J$1="October",V988,IF($J$1="November",V989,IF($J$1="December",V990)))))))))))))</f>
        <v>0</v>
      </c>
      <c r="H984" s="62"/>
      <c r="I984" s="108"/>
      <c r="J984" s="65" t="s">
        <v>67</v>
      </c>
      <c r="K984" s="68">
        <f>K979/$K$2/8*I984</f>
        <v>0</v>
      </c>
      <c r="L984" s="69"/>
      <c r="M984" s="45"/>
      <c r="N984" s="88"/>
      <c r="O984" s="89" t="s">
        <v>54</v>
      </c>
      <c r="P984" s="89"/>
      <c r="Q984" s="89"/>
      <c r="R984" s="89" t="str">
        <f t="shared" si="185"/>
        <v/>
      </c>
      <c r="S984" s="93"/>
      <c r="T984" s="89" t="s">
        <v>54</v>
      </c>
      <c r="U984" s="162">
        <f>IF($J$1="May","",Y983)</f>
        <v>0</v>
      </c>
      <c r="V984" s="91"/>
      <c r="W984" s="162">
        <f t="shared" si="186"/>
        <v>0</v>
      </c>
      <c r="X984" s="91"/>
      <c r="Y984" s="162">
        <f t="shared" si="187"/>
        <v>0</v>
      </c>
      <c r="Z984" s="94"/>
      <c r="AA984" s="45"/>
    </row>
    <row r="985" spans="1:27" s="43" customFormat="1" ht="21" hidden="1" customHeight="1" x14ac:dyDescent="0.25">
      <c r="A985" s="44"/>
      <c r="B985" s="63" t="s">
        <v>7</v>
      </c>
      <c r="C985" s="54">
        <f>IF($J$1="January",P979,IF($J$1="February",P980,IF($J$1="March",P981,IF($J$1="April",P982,IF($J$1="May",P983,IF($J$1="June",P984,IF($J$1="July",P985,IF($J$1="August",P986,IF($J$1="August",P986,IF($J$1="September",P987,IF($J$1="October",P988,IF($J$1="November",P989,IF($J$1="December",P990)))))))))))))</f>
        <v>0</v>
      </c>
      <c r="D985" s="45"/>
      <c r="E985" s="45"/>
      <c r="F985" s="63" t="s">
        <v>70</v>
      </c>
      <c r="G985" s="58">
        <f>IF($J$1="January",W979,IF($J$1="February",W980,IF($J$1="March",W981,IF($J$1="April",W982,IF($J$1="May",W983,IF($J$1="June",W984,IF($J$1="July",W985,IF($J$1="August",W986,IF($J$1="August",W986,IF($J$1="September",W987,IF($J$1="October",W988,IF($J$1="November",W989,IF($J$1="December",W990)))))))))))))</f>
        <v>0</v>
      </c>
      <c r="H985" s="62"/>
      <c r="I985" s="361" t="s">
        <v>74</v>
      </c>
      <c r="J985" s="362"/>
      <c r="K985" s="68">
        <f>K983+K984</f>
        <v>0</v>
      </c>
      <c r="L985" s="69"/>
      <c r="M985" s="45"/>
      <c r="N985" s="88"/>
      <c r="O985" s="89" t="s">
        <v>55</v>
      </c>
      <c r="P985" s="89"/>
      <c r="Q985" s="89"/>
      <c r="R985" s="89" t="str">
        <f t="shared" si="185"/>
        <v/>
      </c>
      <c r="S985" s="93"/>
      <c r="T985" s="89" t="s">
        <v>55</v>
      </c>
      <c r="U985" s="162">
        <f>IF($J$1="June","",Y984)</f>
        <v>0</v>
      </c>
      <c r="V985" s="91"/>
      <c r="W985" s="162">
        <f t="shared" si="186"/>
        <v>0</v>
      </c>
      <c r="X985" s="91"/>
      <c r="Y985" s="162">
        <f t="shared" si="187"/>
        <v>0</v>
      </c>
      <c r="Z985" s="94"/>
      <c r="AA985" s="45"/>
    </row>
    <row r="986" spans="1:27" s="43" customFormat="1" ht="21" hidden="1" customHeight="1" x14ac:dyDescent="0.25">
      <c r="A986" s="44"/>
      <c r="B986" s="63" t="s">
        <v>6</v>
      </c>
      <c r="C986" s="54">
        <f>IF($J$1="January",Q979,IF($J$1="February",Q980,IF($J$1="March",Q981,IF($J$1="April",Q982,IF($J$1="May",Q983,IF($J$1="June",Q984,IF($J$1="July",Q985,IF($J$1="August",Q986,IF($J$1="August",Q986,IF($J$1="September",Q987,IF($J$1="October",Q988,IF($J$1="November",Q989,IF($J$1="December",Q990)))))))))))))</f>
        <v>0</v>
      </c>
      <c r="D986" s="45"/>
      <c r="E986" s="45"/>
      <c r="F986" s="63" t="s">
        <v>24</v>
      </c>
      <c r="G986" s="58">
        <f>IF($J$1="January",X979,IF($J$1="February",X980,IF($J$1="March",X981,IF($J$1="April",X982,IF($J$1="May",X983,IF($J$1="June",X984,IF($J$1="July",X985,IF($J$1="August",X986,IF($J$1="August",X986,IF($J$1="September",X987,IF($J$1="October",X988,IF($J$1="November",X989,IF($J$1="December",X990)))))))))))))</f>
        <v>0</v>
      </c>
      <c r="H986" s="62"/>
      <c r="I986" s="361" t="s">
        <v>75</v>
      </c>
      <c r="J986" s="362"/>
      <c r="K986" s="58">
        <f>G986</f>
        <v>0</v>
      </c>
      <c r="L986" s="70"/>
      <c r="M986" s="45"/>
      <c r="N986" s="88"/>
      <c r="O986" s="89" t="s">
        <v>56</v>
      </c>
      <c r="P986" s="89"/>
      <c r="Q986" s="89"/>
      <c r="R986" s="89">
        <v>0</v>
      </c>
      <c r="S986" s="93"/>
      <c r="T986" s="89" t="s">
        <v>56</v>
      </c>
      <c r="U986" s="162">
        <f>IF($J$1="July","",Y985)</f>
        <v>0</v>
      </c>
      <c r="V986" s="91"/>
      <c r="W986" s="162">
        <f t="shared" si="186"/>
        <v>0</v>
      </c>
      <c r="X986" s="91"/>
      <c r="Y986" s="162">
        <f t="shared" si="187"/>
        <v>0</v>
      </c>
      <c r="Z986" s="94"/>
      <c r="AA986" s="45"/>
    </row>
    <row r="987" spans="1:27" s="43" customFormat="1" ht="21" hidden="1" customHeight="1" x14ac:dyDescent="0.25">
      <c r="A987" s="44"/>
      <c r="B987" s="71" t="s">
        <v>73</v>
      </c>
      <c r="C987" s="54" t="str">
        <f>IF($J$1="January",R979,IF($J$1="February",R980,IF($J$1="March",R981,IF($J$1="April",R982,IF($J$1="May",R983,IF($J$1="June",R984,IF($J$1="July",R985,IF($J$1="August",R986,IF($J$1="August",R986,IF($J$1="September",R987,IF($J$1="October",R988,IF($J$1="November",R989,IF($J$1="December",R990)))))))))))))</f>
        <v/>
      </c>
      <c r="D987" s="45"/>
      <c r="E987" s="45"/>
      <c r="F987" s="63" t="s">
        <v>72</v>
      </c>
      <c r="G987" s="58">
        <f>IF($J$1="January",Y979,IF($J$1="February",Y980,IF($J$1="March",Y981,IF($J$1="April",Y982,IF($J$1="May",Y983,IF($J$1="June",Y984,IF($J$1="July",Y985,IF($J$1="August",Y986,IF($J$1="August",Y986,IF($J$1="September",Y987,IF($J$1="October",Y988,IF($J$1="November",Y989,IF($J$1="December",Y990)))))))))))))</f>
        <v>0</v>
      </c>
      <c r="H987" s="45"/>
      <c r="I987" s="363" t="s">
        <v>68</v>
      </c>
      <c r="J987" s="364"/>
      <c r="K987" s="72">
        <f>K985-K986</f>
        <v>0</v>
      </c>
      <c r="L987" s="73"/>
      <c r="M987" s="45"/>
      <c r="N987" s="88"/>
      <c r="O987" s="89" t="s">
        <v>61</v>
      </c>
      <c r="P987" s="89"/>
      <c r="Q987" s="89"/>
      <c r="R987" s="89" t="str">
        <f t="shared" si="185"/>
        <v/>
      </c>
      <c r="S987" s="93"/>
      <c r="T987" s="89" t="s">
        <v>61</v>
      </c>
      <c r="U987" s="162">
        <f>IF($J$1="August","",Y986)</f>
        <v>0</v>
      </c>
      <c r="V987" s="91"/>
      <c r="W987" s="162">
        <f t="shared" si="186"/>
        <v>0</v>
      </c>
      <c r="X987" s="91"/>
      <c r="Y987" s="162">
        <f t="shared" si="187"/>
        <v>0</v>
      </c>
      <c r="Z987" s="94"/>
      <c r="AA987" s="45"/>
    </row>
    <row r="988" spans="1:27" s="43" customFormat="1" ht="21" hidden="1" customHeight="1" x14ac:dyDescent="0.25">
      <c r="A988" s="44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61"/>
      <c r="M988" s="45"/>
      <c r="N988" s="88"/>
      <c r="O988" s="89" t="s">
        <v>57</v>
      </c>
      <c r="P988" s="89"/>
      <c r="Q988" s="89"/>
      <c r="R988" s="89" t="str">
        <f t="shared" si="185"/>
        <v/>
      </c>
      <c r="S988" s="93"/>
      <c r="T988" s="89" t="s">
        <v>57</v>
      </c>
      <c r="U988" s="162">
        <f>IF($J$1="September","",Y987)</f>
        <v>0</v>
      </c>
      <c r="V988" s="91"/>
      <c r="W988" s="162">
        <f t="shared" si="186"/>
        <v>0</v>
      </c>
      <c r="X988" s="91"/>
      <c r="Y988" s="162">
        <f t="shared" si="187"/>
        <v>0</v>
      </c>
      <c r="Z988" s="94"/>
      <c r="AA988" s="45"/>
    </row>
    <row r="989" spans="1:27" s="43" customFormat="1" ht="21" hidden="1" customHeight="1" x14ac:dyDescent="0.25">
      <c r="A989" s="44"/>
      <c r="B989" s="365"/>
      <c r="C989" s="365"/>
      <c r="D989" s="365"/>
      <c r="E989" s="365"/>
      <c r="F989" s="365"/>
      <c r="G989" s="365"/>
      <c r="H989" s="365"/>
      <c r="I989" s="365"/>
      <c r="J989" s="365"/>
      <c r="K989" s="365"/>
      <c r="L989" s="61"/>
      <c r="M989" s="45"/>
      <c r="N989" s="88"/>
      <c r="O989" s="89" t="s">
        <v>62</v>
      </c>
      <c r="P989" s="89"/>
      <c r="Q989" s="89"/>
      <c r="R989" s="89" t="str">
        <f t="shared" si="185"/>
        <v/>
      </c>
      <c r="S989" s="93"/>
      <c r="T989" s="89" t="s">
        <v>62</v>
      </c>
      <c r="U989" s="162" t="str">
        <f>IF($J$1="October","",Y988)</f>
        <v/>
      </c>
      <c r="V989" s="91"/>
      <c r="W989" s="162" t="str">
        <f t="shared" si="186"/>
        <v/>
      </c>
      <c r="X989" s="91"/>
      <c r="Y989" s="162" t="str">
        <f t="shared" si="187"/>
        <v/>
      </c>
      <c r="Z989" s="94"/>
      <c r="AA989" s="45"/>
    </row>
    <row r="990" spans="1:27" s="43" customFormat="1" ht="21" hidden="1" customHeight="1" x14ac:dyDescent="0.25">
      <c r="A990" s="44"/>
      <c r="B990" s="365"/>
      <c r="C990" s="365"/>
      <c r="D990" s="365"/>
      <c r="E990" s="365"/>
      <c r="F990" s="365"/>
      <c r="G990" s="365"/>
      <c r="H990" s="365"/>
      <c r="I990" s="365"/>
      <c r="J990" s="365"/>
      <c r="K990" s="365"/>
      <c r="L990" s="61"/>
      <c r="M990" s="45"/>
      <c r="N990" s="88"/>
      <c r="O990" s="89" t="s">
        <v>63</v>
      </c>
      <c r="P990" s="89"/>
      <c r="Q990" s="89"/>
      <c r="R990" s="89" t="str">
        <f t="shared" si="185"/>
        <v/>
      </c>
      <c r="S990" s="93"/>
      <c r="T990" s="89" t="s">
        <v>63</v>
      </c>
      <c r="U990" s="162" t="str">
        <f>IF($J$1="November","",Y989)</f>
        <v/>
      </c>
      <c r="V990" s="91"/>
      <c r="W990" s="162" t="str">
        <f t="shared" si="186"/>
        <v/>
      </c>
      <c r="X990" s="91"/>
      <c r="Y990" s="162" t="str">
        <f t="shared" si="187"/>
        <v/>
      </c>
      <c r="Z990" s="94"/>
      <c r="AA990" s="45"/>
    </row>
    <row r="991" spans="1:27" s="43" customFormat="1" ht="21" hidden="1" customHeight="1" thickBot="1" x14ac:dyDescent="0.3">
      <c r="A991" s="74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6"/>
      <c r="N991" s="95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7"/>
    </row>
    <row r="992" spans="1:27" s="43" customFormat="1" ht="21" hidden="1" customHeight="1" x14ac:dyDescent="0.25">
      <c r="A992" s="369" t="s">
        <v>45</v>
      </c>
      <c r="B992" s="370"/>
      <c r="C992" s="370"/>
      <c r="D992" s="370"/>
      <c r="E992" s="370"/>
      <c r="F992" s="370"/>
      <c r="G992" s="370"/>
      <c r="H992" s="370"/>
      <c r="I992" s="370"/>
      <c r="J992" s="370"/>
      <c r="K992" s="370"/>
      <c r="L992" s="371"/>
      <c r="M992" s="132"/>
      <c r="N992" s="81"/>
      <c r="O992" s="372" t="s">
        <v>47</v>
      </c>
      <c r="P992" s="373"/>
      <c r="Q992" s="373"/>
      <c r="R992" s="374"/>
      <c r="S992" s="82"/>
      <c r="T992" s="372" t="s">
        <v>48</v>
      </c>
      <c r="U992" s="373"/>
      <c r="V992" s="373"/>
      <c r="W992" s="373"/>
      <c r="X992" s="373"/>
      <c r="Y992" s="374"/>
      <c r="Z992" s="83"/>
      <c r="AA992" s="132"/>
    </row>
    <row r="993" spans="1:27" s="43" customFormat="1" ht="21" hidden="1" customHeight="1" x14ac:dyDescent="0.25">
      <c r="A993" s="44"/>
      <c r="B993" s="45"/>
      <c r="C993" s="375" t="s">
        <v>101</v>
      </c>
      <c r="D993" s="375"/>
      <c r="E993" s="375"/>
      <c r="F993" s="375"/>
      <c r="G993" s="46" t="str">
        <f>$J$1</f>
        <v>October</v>
      </c>
      <c r="H993" s="376">
        <f>$K$1</f>
        <v>2020</v>
      </c>
      <c r="I993" s="376"/>
      <c r="J993" s="45"/>
      <c r="K993" s="47"/>
      <c r="L993" s="48"/>
      <c r="M993" s="47"/>
      <c r="N993" s="84"/>
      <c r="O993" s="85" t="s">
        <v>58</v>
      </c>
      <c r="P993" s="85" t="s">
        <v>7</v>
      </c>
      <c r="Q993" s="85" t="s">
        <v>6</v>
      </c>
      <c r="R993" s="85" t="s">
        <v>59</v>
      </c>
      <c r="S993" s="86"/>
      <c r="T993" s="85" t="s">
        <v>58</v>
      </c>
      <c r="U993" s="85" t="s">
        <v>60</v>
      </c>
      <c r="V993" s="85" t="s">
        <v>23</v>
      </c>
      <c r="W993" s="85" t="s">
        <v>22</v>
      </c>
      <c r="X993" s="85" t="s">
        <v>24</v>
      </c>
      <c r="Y993" s="85" t="s">
        <v>64</v>
      </c>
      <c r="Z993" s="87"/>
      <c r="AA993" s="47"/>
    </row>
    <row r="994" spans="1:27" s="43" customFormat="1" ht="21" hidden="1" customHeight="1" x14ac:dyDescent="0.25">
      <c r="A994" s="44"/>
      <c r="B994" s="45"/>
      <c r="C994" s="45"/>
      <c r="D994" s="50"/>
      <c r="E994" s="50"/>
      <c r="F994" s="50"/>
      <c r="G994" s="50"/>
      <c r="H994" s="50"/>
      <c r="I994" s="45"/>
      <c r="J994" s="51" t="s">
        <v>1</v>
      </c>
      <c r="K994" s="52"/>
      <c r="L994" s="53"/>
      <c r="M994" s="45"/>
      <c r="N994" s="88"/>
      <c r="O994" s="89" t="s">
        <v>50</v>
      </c>
      <c r="P994" s="89"/>
      <c r="Q994" s="89"/>
      <c r="R994" s="89">
        <v>0</v>
      </c>
      <c r="S994" s="90"/>
      <c r="T994" s="89" t="s">
        <v>50</v>
      </c>
      <c r="U994" s="91"/>
      <c r="V994" s="91"/>
      <c r="W994" s="91">
        <f>V994+U994</f>
        <v>0</v>
      </c>
      <c r="X994" s="91"/>
      <c r="Y994" s="91">
        <f>W994-X994</f>
        <v>0</v>
      </c>
      <c r="Z994" s="87"/>
      <c r="AA994" s="45"/>
    </row>
    <row r="995" spans="1:27" s="43" customFormat="1" ht="21" hidden="1" customHeight="1" x14ac:dyDescent="0.25">
      <c r="A995" s="44"/>
      <c r="B995" s="45" t="s">
        <v>0</v>
      </c>
      <c r="C995" s="100"/>
      <c r="D995" s="45"/>
      <c r="E995" s="45"/>
      <c r="F995" s="45"/>
      <c r="G995" s="45"/>
      <c r="H995" s="56"/>
      <c r="I995" s="50"/>
      <c r="J995" s="45"/>
      <c r="K995" s="45"/>
      <c r="L995" s="57"/>
      <c r="M995" s="132"/>
      <c r="N995" s="92"/>
      <c r="O995" s="89" t="s">
        <v>76</v>
      </c>
      <c r="P995" s="89"/>
      <c r="Q995" s="89"/>
      <c r="R995" s="89">
        <v>0</v>
      </c>
      <c r="S995" s="93"/>
      <c r="T995" s="89" t="s">
        <v>76</v>
      </c>
      <c r="U995" s="162">
        <f>Y994</f>
        <v>0</v>
      </c>
      <c r="V995" s="91"/>
      <c r="W995" s="162">
        <f>IF(U995="","",U995+V995)</f>
        <v>0</v>
      </c>
      <c r="X995" s="91"/>
      <c r="Y995" s="162">
        <f>IF(W995="","",W995-X995)</f>
        <v>0</v>
      </c>
      <c r="Z995" s="94"/>
      <c r="AA995" s="132"/>
    </row>
    <row r="996" spans="1:27" s="43" customFormat="1" ht="21" hidden="1" customHeight="1" x14ac:dyDescent="0.25">
      <c r="A996" s="44"/>
      <c r="B996" s="59" t="s">
        <v>46</v>
      </c>
      <c r="C996" s="60"/>
      <c r="D996" s="45"/>
      <c r="E996" s="45"/>
      <c r="F996" s="366" t="s">
        <v>48</v>
      </c>
      <c r="G996" s="366"/>
      <c r="H996" s="45"/>
      <c r="I996" s="366" t="s">
        <v>49</v>
      </c>
      <c r="J996" s="366"/>
      <c r="K996" s="366"/>
      <c r="L996" s="61"/>
      <c r="M996" s="45"/>
      <c r="N996" s="88"/>
      <c r="O996" s="89" t="s">
        <v>51</v>
      </c>
      <c r="P996" s="89"/>
      <c r="Q996" s="89"/>
      <c r="R996" s="89">
        <v>0</v>
      </c>
      <c r="S996" s="93"/>
      <c r="T996" s="89" t="s">
        <v>51</v>
      </c>
      <c r="U996" s="162">
        <f>IF($J$1="April",Y995,Y995)</f>
        <v>0</v>
      </c>
      <c r="V996" s="91"/>
      <c r="W996" s="162">
        <f t="shared" ref="W996:W1005" si="188">IF(U996="","",U996+V996)</f>
        <v>0</v>
      </c>
      <c r="X996" s="91"/>
      <c r="Y996" s="162">
        <f t="shared" ref="Y996:Y1005" si="189">IF(W996="","",W996-X996)</f>
        <v>0</v>
      </c>
      <c r="Z996" s="94"/>
      <c r="AA996" s="45"/>
    </row>
    <row r="997" spans="1:27" s="43" customFormat="1" ht="21" hidden="1" customHeight="1" x14ac:dyDescent="0.25">
      <c r="A997" s="44"/>
      <c r="B997" s="45"/>
      <c r="C997" s="45"/>
      <c r="D997" s="45"/>
      <c r="E997" s="45"/>
      <c r="F997" s="45"/>
      <c r="G997" s="45"/>
      <c r="H997" s="62"/>
      <c r="L997" s="49"/>
      <c r="M997" s="45"/>
      <c r="N997" s="88"/>
      <c r="O997" s="89" t="s">
        <v>52</v>
      </c>
      <c r="P997" s="89"/>
      <c r="Q997" s="89"/>
      <c r="R997" s="89">
        <v>0</v>
      </c>
      <c r="S997" s="93"/>
      <c r="T997" s="89" t="s">
        <v>52</v>
      </c>
      <c r="U997" s="162">
        <f>IF($J$1="April",Y996,Y996)</f>
        <v>0</v>
      </c>
      <c r="V997" s="91"/>
      <c r="W997" s="162">
        <f t="shared" si="188"/>
        <v>0</v>
      </c>
      <c r="X997" s="91"/>
      <c r="Y997" s="162">
        <f t="shared" si="189"/>
        <v>0</v>
      </c>
      <c r="Z997" s="94"/>
      <c r="AA997" s="45"/>
    </row>
    <row r="998" spans="1:27" s="43" customFormat="1" ht="21" hidden="1" customHeight="1" x14ac:dyDescent="0.25">
      <c r="A998" s="44"/>
      <c r="B998" s="367" t="s">
        <v>47</v>
      </c>
      <c r="C998" s="368"/>
      <c r="D998" s="45"/>
      <c r="E998" s="45"/>
      <c r="F998" s="63" t="s">
        <v>69</v>
      </c>
      <c r="G998" s="58" t="str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/>
      </c>
      <c r="H998" s="62"/>
      <c r="I998" s="64"/>
      <c r="J998" s="65" t="s">
        <v>66</v>
      </c>
      <c r="K998" s="66">
        <f>K994/$K$2*I998</f>
        <v>0</v>
      </c>
      <c r="L998" s="67"/>
      <c r="M998" s="45"/>
      <c r="N998" s="88"/>
      <c r="O998" s="89" t="s">
        <v>53</v>
      </c>
      <c r="P998" s="89"/>
      <c r="Q998" s="89"/>
      <c r="R998" s="89" t="str">
        <f t="shared" ref="R998:R1005" si="190">IF(Q998="","",R997-Q998)</f>
        <v/>
      </c>
      <c r="S998" s="93"/>
      <c r="T998" s="89" t="s">
        <v>53</v>
      </c>
      <c r="U998" s="162">
        <f>IF($J$1="May",Y997,Y997)</f>
        <v>0</v>
      </c>
      <c r="V998" s="91"/>
      <c r="W998" s="162">
        <f t="shared" si="188"/>
        <v>0</v>
      </c>
      <c r="X998" s="91"/>
      <c r="Y998" s="162">
        <f t="shared" si="189"/>
        <v>0</v>
      </c>
      <c r="Z998" s="94"/>
      <c r="AA998" s="45"/>
    </row>
    <row r="999" spans="1:27" s="43" customFormat="1" ht="21" hidden="1" customHeight="1" x14ac:dyDescent="0.25">
      <c r="A999" s="44"/>
      <c r="B999" s="54"/>
      <c r="C999" s="54"/>
      <c r="D999" s="45"/>
      <c r="E999" s="45"/>
      <c r="F999" s="63" t="s">
        <v>23</v>
      </c>
      <c r="G999" s="58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62"/>
      <c r="I999" s="108"/>
      <c r="J999" s="65" t="s">
        <v>67</v>
      </c>
      <c r="K999" s="68">
        <f>K994/$K$2/8*I999</f>
        <v>0</v>
      </c>
      <c r="L999" s="69"/>
      <c r="M999" s="45"/>
      <c r="N999" s="88"/>
      <c r="O999" s="89" t="s">
        <v>54</v>
      </c>
      <c r="P999" s="89"/>
      <c r="Q999" s="89"/>
      <c r="R999" s="89" t="str">
        <f t="shared" si="190"/>
        <v/>
      </c>
      <c r="S999" s="93"/>
      <c r="T999" s="89" t="s">
        <v>54</v>
      </c>
      <c r="U999" s="162">
        <f>IF($J$1="May",Y998,Y998)</f>
        <v>0</v>
      </c>
      <c r="V999" s="91"/>
      <c r="W999" s="162">
        <f t="shared" si="188"/>
        <v>0</v>
      </c>
      <c r="X999" s="91"/>
      <c r="Y999" s="162">
        <f t="shared" si="189"/>
        <v>0</v>
      </c>
      <c r="Z999" s="94"/>
      <c r="AA999" s="45"/>
    </row>
    <row r="1000" spans="1:27" s="43" customFormat="1" ht="21" hidden="1" customHeight="1" x14ac:dyDescent="0.25">
      <c r="A1000" s="44"/>
      <c r="B1000" s="63" t="s">
        <v>7</v>
      </c>
      <c r="C1000" s="54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0</v>
      </c>
      <c r="D1000" s="45"/>
      <c r="E1000" s="45"/>
      <c r="F1000" s="63" t="s">
        <v>70</v>
      </c>
      <c r="G1000" s="58" t="str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/>
      </c>
      <c r="H1000" s="62"/>
      <c r="I1000" s="361" t="s">
        <v>74</v>
      </c>
      <c r="J1000" s="362"/>
      <c r="K1000" s="68">
        <f>K998+K999</f>
        <v>0</v>
      </c>
      <c r="L1000" s="69"/>
      <c r="M1000" s="45"/>
      <c r="N1000" s="88"/>
      <c r="O1000" s="89" t="s">
        <v>55</v>
      </c>
      <c r="P1000" s="89"/>
      <c r="Q1000" s="89"/>
      <c r="R1000" s="89" t="str">
        <f t="shared" si="190"/>
        <v/>
      </c>
      <c r="S1000" s="93"/>
      <c r="T1000" s="89" t="s">
        <v>55</v>
      </c>
      <c r="U1000" s="162" t="str">
        <f>IF($J$1="July",Y999,"")</f>
        <v/>
      </c>
      <c r="V1000" s="91"/>
      <c r="W1000" s="162" t="str">
        <f t="shared" si="188"/>
        <v/>
      </c>
      <c r="X1000" s="91"/>
      <c r="Y1000" s="162" t="str">
        <f t="shared" si="189"/>
        <v/>
      </c>
      <c r="Z1000" s="94"/>
      <c r="AA1000" s="45"/>
    </row>
    <row r="1001" spans="1:27" s="43" customFormat="1" ht="21" hidden="1" customHeight="1" x14ac:dyDescent="0.25">
      <c r="A1001" s="44"/>
      <c r="B1001" s="63" t="s">
        <v>6</v>
      </c>
      <c r="C1001" s="54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0</v>
      </c>
      <c r="D1001" s="45"/>
      <c r="E1001" s="45"/>
      <c r="F1001" s="63" t="s">
        <v>24</v>
      </c>
      <c r="G1001" s="58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62"/>
      <c r="I1001" s="361" t="s">
        <v>75</v>
      </c>
      <c r="J1001" s="362"/>
      <c r="K1001" s="58">
        <f>G1001</f>
        <v>0</v>
      </c>
      <c r="L1001" s="70"/>
      <c r="M1001" s="45"/>
      <c r="N1001" s="88"/>
      <c r="O1001" s="89" t="s">
        <v>56</v>
      </c>
      <c r="P1001" s="89"/>
      <c r="Q1001" s="89"/>
      <c r="R1001" s="89" t="str">
        <f t="shared" si="190"/>
        <v/>
      </c>
      <c r="S1001" s="93"/>
      <c r="T1001" s="89" t="s">
        <v>56</v>
      </c>
      <c r="U1001" s="162" t="str">
        <f>IF($J$1="August",Y1000,"")</f>
        <v/>
      </c>
      <c r="V1001" s="91"/>
      <c r="W1001" s="162" t="str">
        <f t="shared" si="188"/>
        <v/>
      </c>
      <c r="X1001" s="91"/>
      <c r="Y1001" s="162" t="str">
        <f t="shared" si="189"/>
        <v/>
      </c>
      <c r="Z1001" s="94"/>
      <c r="AA1001" s="45"/>
    </row>
    <row r="1002" spans="1:27" s="43" customFormat="1" ht="21" hidden="1" customHeight="1" x14ac:dyDescent="0.25">
      <c r="A1002" s="44"/>
      <c r="B1002" s="71" t="s">
        <v>73</v>
      </c>
      <c r="C1002" s="54" t="str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/>
      </c>
      <c r="D1002" s="45"/>
      <c r="E1002" s="45"/>
      <c r="F1002" s="63" t="s">
        <v>72</v>
      </c>
      <c r="G1002" s="58" t="str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/>
      </c>
      <c r="H1002" s="45"/>
      <c r="I1002" s="363" t="s">
        <v>68</v>
      </c>
      <c r="J1002" s="364"/>
      <c r="K1002" s="72">
        <f>K1000-K1001</f>
        <v>0</v>
      </c>
      <c r="L1002" s="73"/>
      <c r="M1002" s="45"/>
      <c r="N1002" s="88"/>
      <c r="O1002" s="89" t="s">
        <v>61</v>
      </c>
      <c r="P1002" s="89"/>
      <c r="Q1002" s="89"/>
      <c r="R1002" s="89" t="str">
        <f t="shared" si="190"/>
        <v/>
      </c>
      <c r="S1002" s="93"/>
      <c r="T1002" s="89" t="s">
        <v>61</v>
      </c>
      <c r="U1002" s="162" t="str">
        <f>IF($J$1="Sept",Y1001,"")</f>
        <v/>
      </c>
      <c r="V1002" s="91"/>
      <c r="W1002" s="162" t="str">
        <f t="shared" si="188"/>
        <v/>
      </c>
      <c r="X1002" s="91"/>
      <c r="Y1002" s="162" t="str">
        <f t="shared" si="189"/>
        <v/>
      </c>
      <c r="Z1002" s="94"/>
      <c r="AA1002" s="45"/>
    </row>
    <row r="1003" spans="1:27" s="43" customFormat="1" ht="21" hidden="1" customHeight="1" x14ac:dyDescent="0.25">
      <c r="A1003" s="44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61"/>
      <c r="M1003" s="45"/>
      <c r="N1003" s="88"/>
      <c r="O1003" s="89" t="s">
        <v>57</v>
      </c>
      <c r="P1003" s="89"/>
      <c r="Q1003" s="89"/>
      <c r="R1003" s="89" t="str">
        <f t="shared" si="190"/>
        <v/>
      </c>
      <c r="S1003" s="93"/>
      <c r="T1003" s="89" t="s">
        <v>57</v>
      </c>
      <c r="U1003" s="162" t="str">
        <f>IF($J$1="October",Y1002,"")</f>
        <v/>
      </c>
      <c r="V1003" s="91"/>
      <c r="W1003" s="162" t="str">
        <f t="shared" si="188"/>
        <v/>
      </c>
      <c r="X1003" s="91"/>
      <c r="Y1003" s="162" t="str">
        <f t="shared" si="189"/>
        <v/>
      </c>
      <c r="Z1003" s="94"/>
      <c r="AA1003" s="45"/>
    </row>
    <row r="1004" spans="1:27" s="43" customFormat="1" ht="21" hidden="1" customHeight="1" x14ac:dyDescent="0.25">
      <c r="A1004" s="44"/>
      <c r="B1004" s="365" t="s">
        <v>103</v>
      </c>
      <c r="C1004" s="365"/>
      <c r="D1004" s="365"/>
      <c r="E1004" s="365"/>
      <c r="F1004" s="365"/>
      <c r="G1004" s="365"/>
      <c r="H1004" s="365"/>
      <c r="I1004" s="365"/>
      <c r="J1004" s="365"/>
      <c r="K1004" s="365"/>
      <c r="L1004" s="61"/>
      <c r="M1004" s="45"/>
      <c r="N1004" s="88"/>
      <c r="O1004" s="89" t="s">
        <v>62</v>
      </c>
      <c r="P1004" s="89"/>
      <c r="Q1004" s="89"/>
      <c r="R1004" s="89" t="str">
        <f t="shared" si="190"/>
        <v/>
      </c>
      <c r="S1004" s="93"/>
      <c r="T1004" s="89" t="s">
        <v>62</v>
      </c>
      <c r="U1004" s="162" t="str">
        <f>IF($J$1="November",Y1003,"")</f>
        <v/>
      </c>
      <c r="V1004" s="91"/>
      <c r="W1004" s="162" t="str">
        <f t="shared" si="188"/>
        <v/>
      </c>
      <c r="X1004" s="91"/>
      <c r="Y1004" s="162" t="str">
        <f t="shared" si="189"/>
        <v/>
      </c>
      <c r="Z1004" s="94"/>
      <c r="AA1004" s="45"/>
    </row>
    <row r="1005" spans="1:27" s="43" customFormat="1" ht="21" hidden="1" customHeight="1" x14ac:dyDescent="0.25">
      <c r="A1005" s="44"/>
      <c r="B1005" s="365"/>
      <c r="C1005" s="365"/>
      <c r="D1005" s="365"/>
      <c r="E1005" s="365"/>
      <c r="F1005" s="365"/>
      <c r="G1005" s="365"/>
      <c r="H1005" s="365"/>
      <c r="I1005" s="365"/>
      <c r="J1005" s="365"/>
      <c r="K1005" s="365"/>
      <c r="L1005" s="61"/>
      <c r="M1005" s="45"/>
      <c r="N1005" s="88"/>
      <c r="O1005" s="89" t="s">
        <v>63</v>
      </c>
      <c r="P1005" s="89"/>
      <c r="Q1005" s="89"/>
      <c r="R1005" s="89" t="str">
        <f t="shared" si="190"/>
        <v/>
      </c>
      <c r="S1005" s="93"/>
      <c r="T1005" s="89" t="s">
        <v>63</v>
      </c>
      <c r="U1005" s="162" t="str">
        <f>IF($J$1="Dec",Y1004,"")</f>
        <v/>
      </c>
      <c r="V1005" s="91"/>
      <c r="W1005" s="162" t="str">
        <f t="shared" si="188"/>
        <v/>
      </c>
      <c r="X1005" s="91"/>
      <c r="Y1005" s="162" t="str">
        <f t="shared" si="189"/>
        <v/>
      </c>
      <c r="Z1005" s="94"/>
      <c r="AA1005" s="45"/>
    </row>
    <row r="1006" spans="1:27" s="43" customFormat="1" ht="21" hidden="1" customHeight="1" thickBot="1" x14ac:dyDescent="0.3">
      <c r="A1006" s="74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6"/>
      <c r="N1006" s="95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7"/>
    </row>
    <row r="1007" spans="1:27" s="43" customFormat="1" ht="21" hidden="1" customHeight="1" thickBot="1" x14ac:dyDescent="0.3">
      <c r="A1007" s="44"/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61"/>
      <c r="N1007" s="88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109"/>
    </row>
    <row r="1008" spans="1:27" s="43" customFormat="1" ht="21" hidden="1" customHeight="1" x14ac:dyDescent="0.25">
      <c r="A1008" s="383" t="s">
        <v>45</v>
      </c>
      <c r="B1008" s="384"/>
      <c r="C1008" s="384"/>
      <c r="D1008" s="384"/>
      <c r="E1008" s="384"/>
      <c r="F1008" s="384"/>
      <c r="G1008" s="384"/>
      <c r="H1008" s="384"/>
      <c r="I1008" s="384"/>
      <c r="J1008" s="384"/>
      <c r="K1008" s="384"/>
      <c r="L1008" s="385"/>
      <c r="M1008" s="42"/>
      <c r="N1008" s="81"/>
      <c r="O1008" s="372" t="s">
        <v>47</v>
      </c>
      <c r="P1008" s="373"/>
      <c r="Q1008" s="373"/>
      <c r="R1008" s="374"/>
      <c r="S1008" s="82"/>
      <c r="T1008" s="372" t="s">
        <v>48</v>
      </c>
      <c r="U1008" s="373"/>
      <c r="V1008" s="373"/>
      <c r="W1008" s="373"/>
      <c r="X1008" s="373"/>
      <c r="Y1008" s="374"/>
      <c r="Z1008" s="83"/>
      <c r="AA1008" s="42"/>
    </row>
    <row r="1009" spans="1:27" s="43" customFormat="1" ht="21" hidden="1" customHeight="1" x14ac:dyDescent="0.25">
      <c r="A1009" s="44"/>
      <c r="B1009" s="45"/>
      <c r="C1009" s="375" t="s">
        <v>101</v>
      </c>
      <c r="D1009" s="375"/>
      <c r="E1009" s="375"/>
      <c r="F1009" s="375"/>
      <c r="G1009" s="46" t="str">
        <f>$J$1</f>
        <v>October</v>
      </c>
      <c r="H1009" s="376">
        <f>$K$1</f>
        <v>2020</v>
      </c>
      <c r="I1009" s="376"/>
      <c r="J1009" s="45"/>
      <c r="K1009" s="47"/>
      <c r="L1009" s="48"/>
      <c r="M1009" s="47"/>
      <c r="N1009" s="84"/>
      <c r="O1009" s="85" t="s">
        <v>58</v>
      </c>
      <c r="P1009" s="85" t="s">
        <v>7</v>
      </c>
      <c r="Q1009" s="85" t="s">
        <v>6</v>
      </c>
      <c r="R1009" s="85" t="s">
        <v>59</v>
      </c>
      <c r="S1009" s="86"/>
      <c r="T1009" s="85" t="s">
        <v>58</v>
      </c>
      <c r="U1009" s="85" t="s">
        <v>60</v>
      </c>
      <c r="V1009" s="85" t="s">
        <v>23</v>
      </c>
      <c r="W1009" s="85" t="s">
        <v>22</v>
      </c>
      <c r="X1009" s="85" t="s">
        <v>24</v>
      </c>
      <c r="Y1009" s="85" t="s">
        <v>64</v>
      </c>
      <c r="Z1009" s="87"/>
      <c r="AA1009" s="47"/>
    </row>
    <row r="1010" spans="1:27" s="43" customFormat="1" ht="21" hidden="1" customHeight="1" x14ac:dyDescent="0.25">
      <c r="A1010" s="44"/>
      <c r="B1010" s="45"/>
      <c r="C1010" s="45"/>
      <c r="D1010" s="50"/>
      <c r="E1010" s="50"/>
      <c r="F1010" s="50"/>
      <c r="G1010" s="50"/>
      <c r="H1010" s="50"/>
      <c r="I1010" s="45"/>
      <c r="J1010" s="51" t="s">
        <v>1</v>
      </c>
      <c r="K1010" s="52"/>
      <c r="L1010" s="53"/>
      <c r="M1010" s="45"/>
      <c r="N1010" s="88"/>
      <c r="O1010" s="89" t="s">
        <v>50</v>
      </c>
      <c r="P1010" s="89"/>
      <c r="Q1010" s="89"/>
      <c r="R1010" s="89"/>
      <c r="S1010" s="90"/>
      <c r="T1010" s="89" t="s">
        <v>50</v>
      </c>
      <c r="U1010" s="91"/>
      <c r="V1010" s="91"/>
      <c r="W1010" s="91">
        <f>V1010+U1010</f>
        <v>0</v>
      </c>
      <c r="X1010" s="91"/>
      <c r="Y1010" s="91">
        <f>W1010-X1010</f>
        <v>0</v>
      </c>
      <c r="Z1010" s="87"/>
      <c r="AA1010" s="45"/>
    </row>
    <row r="1011" spans="1:27" s="43" customFormat="1" ht="21" hidden="1" customHeight="1" x14ac:dyDescent="0.25">
      <c r="A1011" s="44"/>
      <c r="B1011" s="45" t="s">
        <v>0</v>
      </c>
      <c r="C1011" s="55"/>
      <c r="D1011" s="45"/>
      <c r="E1011" s="45"/>
      <c r="F1011" s="45"/>
      <c r="G1011" s="45"/>
      <c r="H1011" s="56"/>
      <c r="I1011" s="50"/>
      <c r="J1011" s="45"/>
      <c r="K1011" s="45"/>
      <c r="L1011" s="57"/>
      <c r="M1011" s="42"/>
      <c r="N1011" s="92"/>
      <c r="O1011" s="89" t="s">
        <v>76</v>
      </c>
      <c r="P1011" s="89"/>
      <c r="Q1011" s="89"/>
      <c r="R1011" s="89">
        <v>0</v>
      </c>
      <c r="S1011" s="93"/>
      <c r="T1011" s="89" t="s">
        <v>76</v>
      </c>
      <c r="U1011" s="162">
        <f>IF($J$1="January","",Y1010)</f>
        <v>0</v>
      </c>
      <c r="V1011" s="91">
        <v>65</v>
      </c>
      <c r="W1011" s="162">
        <f>IF(U1011="","",U1011+V1011)</f>
        <v>65</v>
      </c>
      <c r="X1011" s="91">
        <v>65</v>
      </c>
      <c r="Y1011" s="162">
        <f>IF(W1011="","",W1011-X1011)</f>
        <v>0</v>
      </c>
      <c r="Z1011" s="94"/>
      <c r="AA1011" s="42"/>
    </row>
    <row r="1012" spans="1:27" s="43" customFormat="1" ht="21" hidden="1" customHeight="1" x14ac:dyDescent="0.25">
      <c r="A1012" s="44"/>
      <c r="B1012" s="59" t="s">
        <v>46</v>
      </c>
      <c r="C1012" s="60"/>
      <c r="D1012" s="45"/>
      <c r="E1012" s="45"/>
      <c r="F1012" s="366" t="s">
        <v>48</v>
      </c>
      <c r="G1012" s="366"/>
      <c r="H1012" s="45"/>
      <c r="I1012" s="366" t="s">
        <v>49</v>
      </c>
      <c r="J1012" s="366"/>
      <c r="K1012" s="366"/>
      <c r="L1012" s="61"/>
      <c r="M1012" s="45"/>
      <c r="N1012" s="88"/>
      <c r="O1012" s="89" t="s">
        <v>51</v>
      </c>
      <c r="P1012" s="89"/>
      <c r="Q1012" s="89"/>
      <c r="R1012" s="89">
        <v>0</v>
      </c>
      <c r="S1012" s="93"/>
      <c r="T1012" s="89" t="s">
        <v>51</v>
      </c>
      <c r="U1012" s="162">
        <f>IF($J$1="February","",Y1011)</f>
        <v>0</v>
      </c>
      <c r="V1012" s="91"/>
      <c r="W1012" s="162">
        <f t="shared" ref="W1012:W1021" si="191">IF(U1012="","",U1012+V1012)</f>
        <v>0</v>
      </c>
      <c r="X1012" s="91"/>
      <c r="Y1012" s="162">
        <f t="shared" ref="Y1012:Y1021" si="192">IF(W1012="","",W1012-X1012)</f>
        <v>0</v>
      </c>
      <c r="Z1012" s="94"/>
      <c r="AA1012" s="45"/>
    </row>
    <row r="1013" spans="1:27" s="43" customFormat="1" ht="21" hidden="1" customHeight="1" x14ac:dyDescent="0.25">
      <c r="A1013" s="44"/>
      <c r="B1013" s="45"/>
      <c r="C1013" s="45"/>
      <c r="D1013" s="45"/>
      <c r="E1013" s="45"/>
      <c r="F1013" s="45"/>
      <c r="G1013" s="45"/>
      <c r="H1013" s="62"/>
      <c r="L1013" s="49"/>
      <c r="M1013" s="45"/>
      <c r="N1013" s="88"/>
      <c r="O1013" s="89" t="s">
        <v>52</v>
      </c>
      <c r="P1013" s="89"/>
      <c r="Q1013" s="89"/>
      <c r="R1013" s="89" t="str">
        <f t="shared" ref="R1013:R1018" si="193">IF(Q1013="","",R1012-Q1013)</f>
        <v/>
      </c>
      <c r="S1013" s="93"/>
      <c r="T1013" s="89" t="s">
        <v>52</v>
      </c>
      <c r="U1013" s="162">
        <f>IF($J$1="March","",Y1012)</f>
        <v>0</v>
      </c>
      <c r="V1013" s="91"/>
      <c r="W1013" s="162">
        <f t="shared" si="191"/>
        <v>0</v>
      </c>
      <c r="X1013" s="91"/>
      <c r="Y1013" s="162">
        <f t="shared" si="192"/>
        <v>0</v>
      </c>
      <c r="Z1013" s="94"/>
      <c r="AA1013" s="45"/>
    </row>
    <row r="1014" spans="1:27" s="43" customFormat="1" ht="21" hidden="1" customHeight="1" x14ac:dyDescent="0.25">
      <c r="A1014" s="44"/>
      <c r="B1014" s="367" t="s">
        <v>47</v>
      </c>
      <c r="C1014" s="368"/>
      <c r="D1014" s="45"/>
      <c r="E1014" s="45"/>
      <c r="F1014" s="63" t="s">
        <v>69</v>
      </c>
      <c r="G1014" s="58">
        <f>IF($J$1="January",U1010,IF($J$1="February",U1011,IF($J$1="March",U1012,IF($J$1="April",U1013,IF($J$1="May",U1014,IF($J$1="June",U1015,IF($J$1="July",U1016,IF($J$1="August",U1017,IF($J$1="August",U1017,IF($J$1="September",U1018,IF($J$1="October",U1019,IF($J$1="November",U1020,IF($J$1="December",U1021)))))))))))))</f>
        <v>0</v>
      </c>
      <c r="H1014" s="62"/>
      <c r="I1014" s="64"/>
      <c r="J1014" s="65" t="s">
        <v>66</v>
      </c>
      <c r="K1014" s="66">
        <f>K1010/$K$2*I1014</f>
        <v>0</v>
      </c>
      <c r="L1014" s="67"/>
      <c r="M1014" s="45"/>
      <c r="N1014" s="88"/>
      <c r="O1014" s="89" t="s">
        <v>53</v>
      </c>
      <c r="P1014" s="89"/>
      <c r="Q1014" s="89"/>
      <c r="R1014" s="89" t="str">
        <f t="shared" si="193"/>
        <v/>
      </c>
      <c r="S1014" s="93"/>
      <c r="T1014" s="89" t="s">
        <v>53</v>
      </c>
      <c r="U1014" s="162">
        <f>IF($J$1="April","",Y1013)</f>
        <v>0</v>
      </c>
      <c r="V1014" s="91"/>
      <c r="W1014" s="162">
        <f t="shared" si="191"/>
        <v>0</v>
      </c>
      <c r="X1014" s="91"/>
      <c r="Y1014" s="162">
        <f t="shared" si="192"/>
        <v>0</v>
      </c>
      <c r="Z1014" s="94"/>
      <c r="AA1014" s="45"/>
    </row>
    <row r="1015" spans="1:27" s="43" customFormat="1" ht="21" hidden="1" customHeight="1" x14ac:dyDescent="0.25">
      <c r="A1015" s="44"/>
      <c r="B1015" s="54"/>
      <c r="C1015" s="54"/>
      <c r="D1015" s="45"/>
      <c r="E1015" s="45"/>
      <c r="F1015" s="63" t="s">
        <v>23</v>
      </c>
      <c r="G1015" s="58">
        <f>IF($J$1="January",V1010,IF($J$1="February",V1011,IF($J$1="March",V1012,IF($J$1="April",V1013,IF($J$1="May",V1014,IF($J$1="June",V1015,IF($J$1="July",V1016,IF($J$1="August",V1017,IF($J$1="August",V1017,IF($J$1="September",V1018,IF($J$1="October",V1019,IF($J$1="November",V1020,IF($J$1="December",V1021)))))))))))))</f>
        <v>0</v>
      </c>
      <c r="H1015" s="62"/>
      <c r="I1015" s="108"/>
      <c r="J1015" s="65" t="s">
        <v>67</v>
      </c>
      <c r="K1015" s="68">
        <f>K1010/$K$2/8*I1015</f>
        <v>0</v>
      </c>
      <c r="L1015" s="69"/>
      <c r="M1015" s="45"/>
      <c r="N1015" s="88"/>
      <c r="O1015" s="89" t="s">
        <v>54</v>
      </c>
      <c r="P1015" s="89"/>
      <c r="Q1015" s="89"/>
      <c r="R1015" s="89" t="str">
        <f t="shared" si="193"/>
        <v/>
      </c>
      <c r="S1015" s="93"/>
      <c r="T1015" s="89" t="s">
        <v>54</v>
      </c>
      <c r="U1015" s="162">
        <f>IF($J$1="May","",Y1014)</f>
        <v>0</v>
      </c>
      <c r="V1015" s="91"/>
      <c r="W1015" s="162">
        <f t="shared" si="191"/>
        <v>0</v>
      </c>
      <c r="X1015" s="91"/>
      <c r="Y1015" s="162">
        <f t="shared" si="192"/>
        <v>0</v>
      </c>
      <c r="Z1015" s="94"/>
      <c r="AA1015" s="45"/>
    </row>
    <row r="1016" spans="1:27" s="43" customFormat="1" ht="21" hidden="1" customHeight="1" x14ac:dyDescent="0.25">
      <c r="A1016" s="44"/>
      <c r="B1016" s="63" t="s">
        <v>7</v>
      </c>
      <c r="C1016" s="54">
        <f>IF($J$1="January",P1010,IF($J$1="February",P1011,IF($J$1="March",P1012,IF($J$1="April",P1013,IF($J$1="May",P1014,IF($J$1="June",P1015,IF($J$1="July",P1016,IF($J$1="August",P1017,IF($J$1="August",P1017,IF($J$1="September",P1018,IF($J$1="October",P1019,IF($J$1="November",P1020,IF($J$1="December",P1021)))))))))))))</f>
        <v>0</v>
      </c>
      <c r="D1016" s="45"/>
      <c r="E1016" s="45"/>
      <c r="F1016" s="63" t="s">
        <v>70</v>
      </c>
      <c r="G1016" s="58">
        <f>IF($J$1="January",W1010,IF($J$1="February",W1011,IF($J$1="March",W1012,IF($J$1="April",W1013,IF($J$1="May",W1014,IF($J$1="June",W1015,IF($J$1="July",W1016,IF($J$1="August",W1017,IF($J$1="August",W1017,IF($J$1="September",W1018,IF($J$1="October",W1019,IF($J$1="November",W1020,IF($J$1="December",W1021)))))))))))))</f>
        <v>0</v>
      </c>
      <c r="H1016" s="62"/>
      <c r="I1016" s="361" t="s">
        <v>74</v>
      </c>
      <c r="J1016" s="362"/>
      <c r="K1016" s="68">
        <f>K1014+K1015</f>
        <v>0</v>
      </c>
      <c r="L1016" s="69"/>
      <c r="M1016" s="45"/>
      <c r="N1016" s="88"/>
      <c r="O1016" s="89" t="s">
        <v>55</v>
      </c>
      <c r="P1016" s="89"/>
      <c r="Q1016" s="89"/>
      <c r="R1016" s="89">
        <v>0</v>
      </c>
      <c r="S1016" s="93"/>
      <c r="T1016" s="89" t="s">
        <v>55</v>
      </c>
      <c r="U1016" s="162">
        <f>IF($J$1="June","",Y1015)</f>
        <v>0</v>
      </c>
      <c r="V1016" s="91"/>
      <c r="W1016" s="162">
        <f t="shared" si="191"/>
        <v>0</v>
      </c>
      <c r="X1016" s="91"/>
      <c r="Y1016" s="162">
        <f t="shared" si="192"/>
        <v>0</v>
      </c>
      <c r="Z1016" s="94"/>
      <c r="AA1016" s="45"/>
    </row>
    <row r="1017" spans="1:27" s="43" customFormat="1" ht="21" hidden="1" customHeight="1" x14ac:dyDescent="0.25">
      <c r="A1017" s="44"/>
      <c r="B1017" s="63" t="s">
        <v>6</v>
      </c>
      <c r="C1017" s="54">
        <f>IF($J$1="January",Q1010,IF($J$1="February",Q1011,IF($J$1="March",Q1012,IF($J$1="April",Q1013,IF($J$1="May",Q1014,IF($J$1="June",Q1015,IF($J$1="July",Q1016,IF($J$1="August",Q1017,IF($J$1="August",Q1017,IF($J$1="September",Q1018,IF($J$1="October",Q1019,IF($J$1="November",Q1020,IF($J$1="December",Q1021)))))))))))))</f>
        <v>0</v>
      </c>
      <c r="D1017" s="45"/>
      <c r="E1017" s="45"/>
      <c r="F1017" s="63" t="s">
        <v>24</v>
      </c>
      <c r="G1017" s="58">
        <f>IF($J$1="January",X1010,IF($J$1="February",X1011,IF($J$1="March",X1012,IF($J$1="April",X1013,IF($J$1="May",X1014,IF($J$1="June",X1015,IF($J$1="July",X1016,IF($J$1="August",X1017,IF($J$1="August",X1017,IF($J$1="September",X1018,IF($J$1="October",X1019,IF($J$1="November",X1020,IF($J$1="December",X1021)))))))))))))</f>
        <v>0</v>
      </c>
      <c r="H1017" s="62"/>
      <c r="I1017" s="361" t="s">
        <v>75</v>
      </c>
      <c r="J1017" s="362"/>
      <c r="K1017" s="58">
        <f>G1017</f>
        <v>0</v>
      </c>
      <c r="L1017" s="70"/>
      <c r="M1017" s="45"/>
      <c r="N1017" s="88"/>
      <c r="O1017" s="89" t="s">
        <v>56</v>
      </c>
      <c r="P1017" s="89"/>
      <c r="Q1017" s="89"/>
      <c r="R1017" s="89">
        <v>0</v>
      </c>
      <c r="S1017" s="93"/>
      <c r="T1017" s="89" t="s">
        <v>56</v>
      </c>
      <c r="U1017" s="162">
        <f>IF($J$1="July","",Y1016)</f>
        <v>0</v>
      </c>
      <c r="V1017" s="91"/>
      <c r="W1017" s="162">
        <f t="shared" si="191"/>
        <v>0</v>
      </c>
      <c r="X1017" s="91"/>
      <c r="Y1017" s="162">
        <f t="shared" si="192"/>
        <v>0</v>
      </c>
      <c r="Z1017" s="94"/>
      <c r="AA1017" s="45"/>
    </row>
    <row r="1018" spans="1:27" s="43" customFormat="1" ht="21" hidden="1" customHeight="1" x14ac:dyDescent="0.25">
      <c r="A1018" s="44"/>
      <c r="B1018" s="71" t="s">
        <v>73</v>
      </c>
      <c r="C1018" s="54">
        <f>IF($J$1="January",R1010,IF($J$1="February",R1011,IF($J$1="March",R1012,IF($J$1="April",R1013,IF($J$1="May",R1014,IF($J$1="June",R1015,IF($J$1="July",R1016,IF($J$1="August",R1017,IF($J$1="August",R1017,IF($J$1="September",R1018,IF($J$1="October",R1019,IF($J$1="November",R1020,IF($J$1="December",R1021)))))))))))))</f>
        <v>0</v>
      </c>
      <c r="D1018" s="45"/>
      <c r="E1018" s="45"/>
      <c r="F1018" s="63" t="s">
        <v>72</v>
      </c>
      <c r="G1018" s="58">
        <f>IF($J$1="January",Y1010,IF($J$1="February",Y1011,IF($J$1="March",Y1012,IF($J$1="April",Y1013,IF($J$1="May",Y1014,IF($J$1="June",Y1015,IF($J$1="July",Y1016,IF($J$1="August",Y1017,IF($J$1="August",Y1017,IF($J$1="September",Y1018,IF($J$1="October",Y1019,IF($J$1="November",Y1020,IF($J$1="December",Y1021)))))))))))))</f>
        <v>0</v>
      </c>
      <c r="H1018" s="45"/>
      <c r="I1018" s="363" t="s">
        <v>68</v>
      </c>
      <c r="J1018" s="364"/>
      <c r="K1018" s="72">
        <f>K1016-K1017</f>
        <v>0</v>
      </c>
      <c r="L1018" s="73"/>
      <c r="M1018" s="45"/>
      <c r="N1018" s="88"/>
      <c r="O1018" s="89" t="s">
        <v>61</v>
      </c>
      <c r="P1018" s="89"/>
      <c r="Q1018" s="89"/>
      <c r="R1018" s="89" t="str">
        <f t="shared" si="193"/>
        <v/>
      </c>
      <c r="S1018" s="93"/>
      <c r="T1018" s="89" t="s">
        <v>61</v>
      </c>
      <c r="U1018" s="162">
        <f>IF($J$1="August","",Y1017)</f>
        <v>0</v>
      </c>
      <c r="V1018" s="91"/>
      <c r="W1018" s="162">
        <f t="shared" si="191"/>
        <v>0</v>
      </c>
      <c r="X1018" s="91"/>
      <c r="Y1018" s="162">
        <f t="shared" si="192"/>
        <v>0</v>
      </c>
      <c r="Z1018" s="94"/>
      <c r="AA1018" s="45"/>
    </row>
    <row r="1019" spans="1:27" s="43" customFormat="1" ht="21" hidden="1" customHeight="1" x14ac:dyDescent="0.25">
      <c r="A1019" s="44"/>
      <c r="B1019" s="45"/>
      <c r="C1019" s="45"/>
      <c r="D1019" s="45"/>
      <c r="E1019" s="45"/>
      <c r="F1019" s="45"/>
      <c r="G1019" s="45"/>
      <c r="H1019" s="45"/>
      <c r="I1019" s="45"/>
      <c r="J1019" s="177"/>
      <c r="K1019" s="177"/>
      <c r="L1019" s="61"/>
      <c r="M1019" s="45"/>
      <c r="N1019" s="88"/>
      <c r="O1019" s="89" t="s">
        <v>57</v>
      </c>
      <c r="P1019" s="89"/>
      <c r="Q1019" s="89"/>
      <c r="R1019" s="89">
        <v>0</v>
      </c>
      <c r="S1019" s="93"/>
      <c r="T1019" s="89" t="s">
        <v>57</v>
      </c>
      <c r="U1019" s="162">
        <f>IF($J$1="September","",Y1018)</f>
        <v>0</v>
      </c>
      <c r="V1019" s="91"/>
      <c r="W1019" s="162">
        <f t="shared" si="191"/>
        <v>0</v>
      </c>
      <c r="X1019" s="91"/>
      <c r="Y1019" s="162">
        <f t="shared" si="192"/>
        <v>0</v>
      </c>
      <c r="Z1019" s="94"/>
      <c r="AA1019" s="45"/>
    </row>
    <row r="1020" spans="1:27" s="43" customFormat="1" ht="21" hidden="1" customHeight="1" x14ac:dyDescent="0.25">
      <c r="A1020" s="44"/>
      <c r="B1020" s="365" t="s">
        <v>103</v>
      </c>
      <c r="C1020" s="365"/>
      <c r="D1020" s="365"/>
      <c r="E1020" s="365"/>
      <c r="F1020" s="365"/>
      <c r="G1020" s="365"/>
      <c r="H1020" s="365"/>
      <c r="I1020" s="365"/>
      <c r="J1020" s="365"/>
      <c r="K1020" s="365"/>
      <c r="L1020" s="61"/>
      <c r="M1020" s="45"/>
      <c r="N1020" s="88"/>
      <c r="O1020" s="89" t="s">
        <v>62</v>
      </c>
      <c r="P1020" s="89"/>
      <c r="Q1020" s="89"/>
      <c r="R1020" s="89">
        <v>0</v>
      </c>
      <c r="S1020" s="93"/>
      <c r="T1020" s="89" t="s">
        <v>62</v>
      </c>
      <c r="U1020" s="162" t="str">
        <f>IF($J$1="October","",Y1019)</f>
        <v/>
      </c>
      <c r="V1020" s="91"/>
      <c r="W1020" s="162" t="str">
        <f t="shared" si="191"/>
        <v/>
      </c>
      <c r="X1020" s="91"/>
      <c r="Y1020" s="162" t="str">
        <f t="shared" si="192"/>
        <v/>
      </c>
      <c r="Z1020" s="94"/>
      <c r="AA1020" s="45"/>
    </row>
    <row r="1021" spans="1:27" s="43" customFormat="1" ht="21" hidden="1" customHeight="1" x14ac:dyDescent="0.25">
      <c r="A1021" s="44"/>
      <c r="B1021" s="365"/>
      <c r="C1021" s="365"/>
      <c r="D1021" s="365"/>
      <c r="E1021" s="365"/>
      <c r="F1021" s="365"/>
      <c r="G1021" s="365"/>
      <c r="H1021" s="365"/>
      <c r="I1021" s="365"/>
      <c r="J1021" s="365"/>
      <c r="K1021" s="365"/>
      <c r="L1021" s="61"/>
      <c r="M1021" s="45"/>
      <c r="N1021" s="88"/>
      <c r="O1021" s="89" t="s">
        <v>63</v>
      </c>
      <c r="P1021" s="89"/>
      <c r="Q1021" s="89"/>
      <c r="R1021" s="89">
        <v>0</v>
      </c>
      <c r="S1021" s="93"/>
      <c r="T1021" s="89" t="s">
        <v>63</v>
      </c>
      <c r="U1021" s="162" t="str">
        <f>IF($J$1="November","",Y1020)</f>
        <v/>
      </c>
      <c r="V1021" s="91"/>
      <c r="W1021" s="162" t="str">
        <f t="shared" si="191"/>
        <v/>
      </c>
      <c r="X1021" s="91"/>
      <c r="Y1021" s="162" t="str">
        <f t="shared" si="192"/>
        <v/>
      </c>
      <c r="Z1021" s="94"/>
      <c r="AA1021" s="45"/>
    </row>
    <row r="1022" spans="1:27" s="43" customFormat="1" ht="21" hidden="1" customHeight="1" thickBot="1" x14ac:dyDescent="0.3">
      <c r="A1022" s="74"/>
      <c r="B1022" s="75"/>
      <c r="C1022" s="75"/>
      <c r="D1022" s="75"/>
      <c r="E1022" s="75"/>
      <c r="F1022" s="75"/>
      <c r="G1022" s="75"/>
      <c r="H1022" s="75"/>
      <c r="I1022" s="75"/>
      <c r="J1022" s="75"/>
      <c r="K1022" s="75"/>
      <c r="L1022" s="76"/>
      <c r="N1022" s="95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7"/>
    </row>
    <row r="1023" spans="1:27" s="43" customFormat="1" ht="21" customHeight="1" thickBot="1" x14ac:dyDescent="0.3"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</row>
    <row r="1024" spans="1:27" s="43" customFormat="1" ht="21" customHeight="1" x14ac:dyDescent="0.25">
      <c r="A1024" s="377" t="s">
        <v>45</v>
      </c>
      <c r="B1024" s="378"/>
      <c r="C1024" s="378"/>
      <c r="D1024" s="378"/>
      <c r="E1024" s="378"/>
      <c r="F1024" s="378"/>
      <c r="G1024" s="378"/>
      <c r="H1024" s="378"/>
      <c r="I1024" s="378"/>
      <c r="J1024" s="378"/>
      <c r="K1024" s="378"/>
      <c r="L1024" s="379"/>
      <c r="M1024" s="42"/>
      <c r="N1024" s="81"/>
      <c r="O1024" s="372" t="s">
        <v>47</v>
      </c>
      <c r="P1024" s="373"/>
      <c r="Q1024" s="373"/>
      <c r="R1024" s="374"/>
      <c r="S1024" s="82"/>
      <c r="T1024" s="372" t="s">
        <v>48</v>
      </c>
      <c r="U1024" s="373"/>
      <c r="V1024" s="373"/>
      <c r="W1024" s="373"/>
      <c r="X1024" s="373"/>
      <c r="Y1024" s="374"/>
      <c r="Z1024" s="83"/>
      <c r="AA1024" s="42"/>
    </row>
    <row r="1025" spans="1:27" s="43" customFormat="1" ht="21" customHeight="1" x14ac:dyDescent="0.25">
      <c r="A1025" s="44"/>
      <c r="B1025" s="45"/>
      <c r="C1025" s="375" t="s">
        <v>101</v>
      </c>
      <c r="D1025" s="375"/>
      <c r="E1025" s="375"/>
      <c r="F1025" s="375"/>
      <c r="G1025" s="46" t="str">
        <f>$J$1</f>
        <v>October</v>
      </c>
      <c r="H1025" s="376">
        <f>$K$1</f>
        <v>2020</v>
      </c>
      <c r="I1025" s="376"/>
      <c r="J1025" s="45"/>
      <c r="K1025" s="47"/>
      <c r="L1025" s="48"/>
      <c r="M1025" s="47"/>
      <c r="N1025" s="84"/>
      <c r="O1025" s="85" t="s">
        <v>58</v>
      </c>
      <c r="P1025" s="85" t="s">
        <v>7</v>
      </c>
      <c r="Q1025" s="85" t="s">
        <v>6</v>
      </c>
      <c r="R1025" s="85" t="s">
        <v>59</v>
      </c>
      <c r="S1025" s="86"/>
      <c r="T1025" s="85" t="s">
        <v>58</v>
      </c>
      <c r="U1025" s="85" t="s">
        <v>60</v>
      </c>
      <c r="V1025" s="85" t="s">
        <v>23</v>
      </c>
      <c r="W1025" s="85" t="s">
        <v>22</v>
      </c>
      <c r="X1025" s="85" t="s">
        <v>24</v>
      </c>
      <c r="Y1025" s="85" t="s">
        <v>64</v>
      </c>
      <c r="Z1025" s="87"/>
      <c r="AA1025" s="47"/>
    </row>
    <row r="1026" spans="1:27" s="43" customFormat="1" ht="21" customHeight="1" x14ac:dyDescent="0.25">
      <c r="A1026" s="44"/>
      <c r="B1026" s="45"/>
      <c r="C1026" s="45"/>
      <c r="D1026" s="50"/>
      <c r="E1026" s="50"/>
      <c r="F1026" s="50"/>
      <c r="G1026" s="50"/>
      <c r="H1026" s="50"/>
      <c r="I1026" s="45"/>
      <c r="J1026" s="51" t="s">
        <v>1</v>
      </c>
      <c r="K1026" s="52">
        <v>22000</v>
      </c>
      <c r="L1026" s="53"/>
      <c r="M1026" s="45"/>
      <c r="N1026" s="88"/>
      <c r="O1026" s="89" t="s">
        <v>50</v>
      </c>
      <c r="P1026" s="89">
        <v>28</v>
      </c>
      <c r="Q1026" s="89">
        <v>3</v>
      </c>
      <c r="R1026" s="89">
        <f>13-Q1026</f>
        <v>10</v>
      </c>
      <c r="S1026" s="90"/>
      <c r="T1026" s="89" t="s">
        <v>50</v>
      </c>
      <c r="U1026" s="91"/>
      <c r="V1026" s="91"/>
      <c r="W1026" s="91">
        <f>V1026+U1026</f>
        <v>0</v>
      </c>
      <c r="X1026" s="91"/>
      <c r="Y1026" s="91">
        <f>W1026-X1026</f>
        <v>0</v>
      </c>
      <c r="Z1026" s="87"/>
      <c r="AA1026" s="45"/>
    </row>
    <row r="1027" spans="1:27" s="43" customFormat="1" ht="21" customHeight="1" x14ac:dyDescent="0.25">
      <c r="A1027" s="44"/>
      <c r="B1027" s="45" t="s">
        <v>0</v>
      </c>
      <c r="C1027" s="55" t="s">
        <v>177</v>
      </c>
      <c r="D1027" s="45"/>
      <c r="E1027" s="45"/>
      <c r="F1027" s="45"/>
      <c r="G1027" s="45"/>
      <c r="H1027" s="56"/>
      <c r="I1027" s="50"/>
      <c r="J1027" s="45"/>
      <c r="K1027" s="45"/>
      <c r="L1027" s="57"/>
      <c r="M1027" s="42"/>
      <c r="N1027" s="92"/>
      <c r="O1027" s="89" t="s">
        <v>76</v>
      </c>
      <c r="P1027" s="89">
        <v>28</v>
      </c>
      <c r="Q1027" s="89">
        <v>1</v>
      </c>
      <c r="R1027" s="89">
        <f>IF(Q1027="","",R1026-Q1027)</f>
        <v>9</v>
      </c>
      <c r="S1027" s="93"/>
      <c r="T1027" s="89" t="s">
        <v>76</v>
      </c>
      <c r="U1027" s="162">
        <f>IF($J$1="January","",Y1026)</f>
        <v>0</v>
      </c>
      <c r="V1027" s="91"/>
      <c r="W1027" s="162">
        <f>IF(U1027="","",U1027+V1027)</f>
        <v>0</v>
      </c>
      <c r="X1027" s="91"/>
      <c r="Y1027" s="162">
        <f>IF(W1027="","",W1027-X1027)</f>
        <v>0</v>
      </c>
      <c r="Z1027" s="94"/>
      <c r="AA1027" s="42"/>
    </row>
    <row r="1028" spans="1:27" s="43" customFormat="1" ht="21" customHeight="1" x14ac:dyDescent="0.25">
      <c r="A1028" s="44"/>
      <c r="B1028" s="59" t="s">
        <v>46</v>
      </c>
      <c r="C1028" s="60"/>
      <c r="D1028" s="45"/>
      <c r="E1028" s="45"/>
      <c r="F1028" s="366" t="s">
        <v>48</v>
      </c>
      <c r="G1028" s="366"/>
      <c r="H1028" s="45"/>
      <c r="I1028" s="366" t="s">
        <v>49</v>
      </c>
      <c r="J1028" s="366"/>
      <c r="K1028" s="366"/>
      <c r="L1028" s="61"/>
      <c r="M1028" s="45"/>
      <c r="N1028" s="88"/>
      <c r="O1028" s="89" t="s">
        <v>51</v>
      </c>
      <c r="P1028" s="89">
        <v>29</v>
      </c>
      <c r="Q1028" s="89">
        <v>2</v>
      </c>
      <c r="R1028" s="89">
        <f>IF(Q1028="","",R1027-Q1028)</f>
        <v>7</v>
      </c>
      <c r="S1028" s="93"/>
      <c r="T1028" s="89" t="s">
        <v>51</v>
      </c>
      <c r="U1028" s="162">
        <f>IF($J$1="February","",Y1027)</f>
        <v>0</v>
      </c>
      <c r="V1028" s="91">
        <v>1000</v>
      </c>
      <c r="W1028" s="162">
        <f t="shared" ref="W1028:W1037" si="194">IF(U1028="","",U1028+V1028)</f>
        <v>1000</v>
      </c>
      <c r="X1028" s="91">
        <v>1000</v>
      </c>
      <c r="Y1028" s="162">
        <f t="shared" ref="Y1028:Y1037" si="195">IF(W1028="","",W1028-X1028)</f>
        <v>0</v>
      </c>
      <c r="Z1028" s="94"/>
      <c r="AA1028" s="45"/>
    </row>
    <row r="1029" spans="1:27" s="43" customFormat="1" ht="21" customHeight="1" x14ac:dyDescent="0.25">
      <c r="A1029" s="44"/>
      <c r="B1029" s="45"/>
      <c r="C1029" s="45"/>
      <c r="D1029" s="45"/>
      <c r="E1029" s="45"/>
      <c r="F1029" s="45"/>
      <c r="G1029" s="45"/>
      <c r="H1029" s="62"/>
      <c r="L1029" s="49"/>
      <c r="M1029" s="45"/>
      <c r="N1029" s="88"/>
      <c r="O1029" s="89" t="s">
        <v>52</v>
      </c>
      <c r="P1029" s="89">
        <v>15</v>
      </c>
      <c r="Q1029" s="89">
        <v>15</v>
      </c>
      <c r="R1029" s="89">
        <v>0</v>
      </c>
      <c r="S1029" s="93"/>
      <c r="T1029" s="89" t="s">
        <v>52</v>
      </c>
      <c r="U1029" s="162">
        <f>IF($J$1="March","",Y1028)</f>
        <v>0</v>
      </c>
      <c r="V1029" s="91"/>
      <c r="W1029" s="162">
        <f t="shared" si="194"/>
        <v>0</v>
      </c>
      <c r="X1029" s="91"/>
      <c r="Y1029" s="162">
        <f t="shared" si="195"/>
        <v>0</v>
      </c>
      <c r="Z1029" s="94"/>
      <c r="AA1029" s="45"/>
    </row>
    <row r="1030" spans="1:27" s="43" customFormat="1" ht="21" customHeight="1" x14ac:dyDescent="0.25">
      <c r="A1030" s="44"/>
      <c r="B1030" s="367" t="s">
        <v>47</v>
      </c>
      <c r="C1030" s="368"/>
      <c r="D1030" s="45"/>
      <c r="E1030" s="45"/>
      <c r="F1030" s="63" t="s">
        <v>69</v>
      </c>
      <c r="G1030" s="179">
        <f>IF($J$1="January",U1026,IF($J$1="February",U1027,IF($J$1="March",U1028,IF($J$1="April",U1029,IF($J$1="May",U1030,IF($J$1="June",U1031,IF($J$1="July",U1032,IF($J$1="August",U1033,IF($J$1="August",U1033,IF($J$1="September",U1034,IF($J$1="October",U1035,IF($J$1="November",U1036,IF($J$1="December",U1037)))))))))))))</f>
        <v>2000</v>
      </c>
      <c r="H1030" s="62"/>
      <c r="I1030" s="64">
        <f>IF(C1034&gt;0,$K$2,C1032)</f>
        <v>31</v>
      </c>
      <c r="J1030" s="65" t="s">
        <v>66</v>
      </c>
      <c r="K1030" s="66">
        <f>K1026/$K$2*I1030</f>
        <v>22000</v>
      </c>
      <c r="L1030" s="67"/>
      <c r="M1030" s="45"/>
      <c r="N1030" s="88"/>
      <c r="O1030" s="89" t="s">
        <v>53</v>
      </c>
      <c r="P1030" s="89">
        <v>31</v>
      </c>
      <c r="Q1030" s="89">
        <v>0</v>
      </c>
      <c r="R1030" s="89">
        <f t="shared" ref="R1030:R1031" si="196">IF(Q1030="","",R1029-Q1030)</f>
        <v>0</v>
      </c>
      <c r="S1030" s="93"/>
      <c r="T1030" s="89" t="s">
        <v>53</v>
      </c>
      <c r="U1030" s="162">
        <f>IF($J$1="April","",Y1029)</f>
        <v>0</v>
      </c>
      <c r="V1030" s="91"/>
      <c r="W1030" s="162">
        <f t="shared" si="194"/>
        <v>0</v>
      </c>
      <c r="X1030" s="91"/>
      <c r="Y1030" s="162">
        <f t="shared" si="195"/>
        <v>0</v>
      </c>
      <c r="Z1030" s="94"/>
      <c r="AA1030" s="45"/>
    </row>
    <row r="1031" spans="1:27" s="43" customFormat="1" ht="21" customHeight="1" x14ac:dyDescent="0.25">
      <c r="A1031" s="44"/>
      <c r="B1031" s="54"/>
      <c r="C1031" s="54"/>
      <c r="D1031" s="45"/>
      <c r="E1031" s="45"/>
      <c r="F1031" s="63" t="s">
        <v>23</v>
      </c>
      <c r="G1031" s="179">
        <f>IF($J$1="January",V1026,IF($J$1="February",V1027,IF($J$1="March",V1028,IF($J$1="April",V1029,IF($J$1="May",V1030,IF($J$1="June",V1031,IF($J$1="July",V1032,IF($J$1="August",V1033,IF($J$1="August",V1033,IF($J$1="September",V1034,IF($J$1="October",V1035,IF($J$1="November",V1036,IF($J$1="December",V1037)))))))))))))</f>
        <v>0</v>
      </c>
      <c r="H1031" s="62"/>
      <c r="I1031" s="108">
        <v>8</v>
      </c>
      <c r="J1031" s="65" t="s">
        <v>67</v>
      </c>
      <c r="K1031" s="58">
        <f>K1026/$K$2/8*I1031</f>
        <v>709.67741935483866</v>
      </c>
      <c r="L1031" s="69"/>
      <c r="M1031" s="45"/>
      <c r="N1031" s="88"/>
      <c r="O1031" s="89" t="s">
        <v>54</v>
      </c>
      <c r="P1031" s="89">
        <v>28</v>
      </c>
      <c r="Q1031" s="89">
        <v>2</v>
      </c>
      <c r="R1031" s="89">
        <f t="shared" si="196"/>
        <v>-2</v>
      </c>
      <c r="S1031" s="93"/>
      <c r="T1031" s="89" t="s">
        <v>54</v>
      </c>
      <c r="U1031" s="162">
        <f>IF($J$1="May","",Y1030)</f>
        <v>0</v>
      </c>
      <c r="V1031" s="91"/>
      <c r="W1031" s="162">
        <f t="shared" si="194"/>
        <v>0</v>
      </c>
      <c r="X1031" s="91"/>
      <c r="Y1031" s="162">
        <f t="shared" si="195"/>
        <v>0</v>
      </c>
      <c r="Z1031" s="94"/>
      <c r="AA1031" s="45"/>
    </row>
    <row r="1032" spans="1:27" s="43" customFormat="1" ht="21" customHeight="1" x14ac:dyDescent="0.25">
      <c r="A1032" s="44"/>
      <c r="B1032" s="63" t="s">
        <v>7</v>
      </c>
      <c r="C1032" s="54">
        <f>IF($J$1="January",P1026,IF($J$1="February",P1027,IF($J$1="March",P1028,IF($J$1="April",P1029,IF($J$1="May",P1030,IF($J$1="June",P1031,IF($J$1="July",P1032,IF($J$1="August",P1033,IF($J$1="August",P1033,IF($J$1="September",P1034,IF($J$1="October",P1035,IF($J$1="November",P1036,IF($J$1="December",P1037)))))))))))))</f>
        <v>30</v>
      </c>
      <c r="D1032" s="45"/>
      <c r="E1032" s="45"/>
      <c r="F1032" s="63" t="s">
        <v>70</v>
      </c>
      <c r="G1032" s="179">
        <f>IF($J$1="January",W1026,IF($J$1="February",W1027,IF($J$1="March",W1028,IF($J$1="April",W1029,IF($J$1="May",W1030,IF($J$1="June",W1031,IF($J$1="July",W1032,IF($J$1="August",W1033,IF($J$1="August",W1033,IF($J$1="September",W1034,IF($J$1="October",W1035,IF($J$1="November",W1036,IF($J$1="December",W1037)))))))))))))</f>
        <v>2000</v>
      </c>
      <c r="H1032" s="62"/>
      <c r="I1032" s="361" t="s">
        <v>74</v>
      </c>
      <c r="J1032" s="362"/>
      <c r="K1032" s="68">
        <f>K1030+K1031</f>
        <v>22709.677419354837</v>
      </c>
      <c r="L1032" s="69"/>
      <c r="M1032" s="45"/>
      <c r="N1032" s="88"/>
      <c r="O1032" s="89" t="s">
        <v>55</v>
      </c>
      <c r="P1032" s="89">
        <v>31</v>
      </c>
      <c r="Q1032" s="89">
        <v>0</v>
      </c>
      <c r="R1032" s="89">
        <v>0</v>
      </c>
      <c r="S1032" s="93"/>
      <c r="T1032" s="89" t="s">
        <v>55</v>
      </c>
      <c r="U1032" s="162">
        <f>IF($J$1="June","",Y1031)</f>
        <v>0</v>
      </c>
      <c r="V1032" s="91">
        <v>2000</v>
      </c>
      <c r="W1032" s="162">
        <f t="shared" si="194"/>
        <v>2000</v>
      </c>
      <c r="X1032" s="91">
        <v>2000</v>
      </c>
      <c r="Y1032" s="162">
        <f t="shared" si="195"/>
        <v>0</v>
      </c>
      <c r="Z1032" s="94"/>
      <c r="AA1032" s="45"/>
    </row>
    <row r="1033" spans="1:27" s="43" customFormat="1" ht="21" customHeight="1" x14ac:dyDescent="0.25">
      <c r="A1033" s="44"/>
      <c r="B1033" s="63" t="s">
        <v>6</v>
      </c>
      <c r="C1033" s="54">
        <f>IF($J$1="January",Q1026,IF($J$1="February",Q1027,IF($J$1="March",Q1028,IF($J$1="April",Q1029,IF($J$1="May",Q1030,IF($J$1="June",Q1031,IF($J$1="July",Q1032,IF($J$1="August",Q1033,IF($J$1="August",Q1033,IF($J$1="September",Q1034,IF($J$1="October",Q1035,IF($J$1="November",Q1036,IF($J$1="December",Q1037)))))))))))))</f>
        <v>1</v>
      </c>
      <c r="D1033" s="45"/>
      <c r="E1033" s="45"/>
      <c r="F1033" s="63" t="s">
        <v>24</v>
      </c>
      <c r="G1033" s="179">
        <f>IF($J$1="January",X1026,IF($J$1="February",X1027,IF($J$1="March",X1028,IF($J$1="April",X1029,IF($J$1="May",X1030,IF($J$1="June",X1031,IF($J$1="July",X1032,IF($J$1="August",X1033,IF($J$1="August",X1033,IF($J$1="September",X1034,IF($J$1="October",X1035,IF($J$1="November",X1036,IF($J$1="December",X1037)))))))))))))</f>
        <v>1000</v>
      </c>
      <c r="H1033" s="62"/>
      <c r="I1033" s="361" t="s">
        <v>75</v>
      </c>
      <c r="J1033" s="362"/>
      <c r="K1033" s="58">
        <f>G1033</f>
        <v>1000</v>
      </c>
      <c r="L1033" s="70"/>
      <c r="M1033" s="45"/>
      <c r="N1033" s="88"/>
      <c r="O1033" s="89" t="s">
        <v>56</v>
      </c>
      <c r="P1033" s="89">
        <v>28</v>
      </c>
      <c r="Q1033" s="89">
        <v>3</v>
      </c>
      <c r="R1033" s="89">
        <v>0</v>
      </c>
      <c r="S1033" s="93"/>
      <c r="T1033" s="89" t="s">
        <v>56</v>
      </c>
      <c r="U1033" s="162">
        <f>IF($J$1="July","",Y1032)</f>
        <v>0</v>
      </c>
      <c r="V1033" s="91"/>
      <c r="W1033" s="162">
        <f t="shared" si="194"/>
        <v>0</v>
      </c>
      <c r="X1033" s="91"/>
      <c r="Y1033" s="162">
        <f t="shared" si="195"/>
        <v>0</v>
      </c>
      <c r="Z1033" s="94"/>
      <c r="AA1033" s="45"/>
    </row>
    <row r="1034" spans="1:27" s="43" customFormat="1" ht="21" customHeight="1" x14ac:dyDescent="0.25">
      <c r="A1034" s="44"/>
      <c r="B1034" s="71" t="s">
        <v>73</v>
      </c>
      <c r="C1034" s="54">
        <f>IF($J$1="January",R1026,IF($J$1="February",R1027,IF($J$1="March",R1028,IF($J$1="April",R1029,IF($J$1="May",R1030,IF($J$1="June",R1031,IF($J$1="July",R1032,IF($J$1="August",R1033,IF($J$1="August",R1033,IF($J$1="September",R1034,IF($J$1="October",R1035,IF($J$1="November",R1036,IF($J$1="December",R1037)))))))))))))</f>
        <v>14</v>
      </c>
      <c r="D1034" s="45"/>
      <c r="E1034" s="45"/>
      <c r="F1034" s="63" t="s">
        <v>72</v>
      </c>
      <c r="G1034" s="179">
        <f>IF($J$1="January",Y1026,IF($J$1="February",Y1027,IF($J$1="March",Y1028,IF($J$1="April",Y1029,IF($J$1="May",Y1030,IF($J$1="June",Y1031,IF($J$1="July",Y1032,IF($J$1="August",Y1033,IF($J$1="August",Y1033,IF($J$1="September",Y1034,IF($J$1="October",Y1035,IF($J$1="November",Y1036,IF($J$1="December",Y1037)))))))))))))</f>
        <v>1000</v>
      </c>
      <c r="H1034" s="45"/>
      <c r="I1034" s="363" t="s">
        <v>68</v>
      </c>
      <c r="J1034" s="364"/>
      <c r="K1034" s="72">
        <f>K1032-K1033</f>
        <v>21709.677419354837</v>
      </c>
      <c r="L1034" s="73"/>
      <c r="M1034" s="45"/>
      <c r="N1034" s="88"/>
      <c r="O1034" s="89" t="s">
        <v>61</v>
      </c>
      <c r="P1034" s="89">
        <v>23</v>
      </c>
      <c r="Q1034" s="89">
        <v>7</v>
      </c>
      <c r="R1034" s="89">
        <f>15-Q1034</f>
        <v>8</v>
      </c>
      <c r="S1034" s="93"/>
      <c r="T1034" s="89" t="s">
        <v>61</v>
      </c>
      <c r="U1034" s="162">
        <f>IF($J$1="August","",Y1033)</f>
        <v>0</v>
      </c>
      <c r="V1034" s="91">
        <v>3000</v>
      </c>
      <c r="W1034" s="162">
        <f t="shared" si="194"/>
        <v>3000</v>
      </c>
      <c r="X1034" s="91">
        <v>1000</v>
      </c>
      <c r="Y1034" s="162">
        <f t="shared" si="195"/>
        <v>2000</v>
      </c>
      <c r="Z1034" s="94"/>
      <c r="AA1034" s="45"/>
    </row>
    <row r="1035" spans="1:27" s="43" customFormat="1" ht="21" customHeight="1" x14ac:dyDescent="0.25">
      <c r="A1035" s="44"/>
      <c r="B1035" s="45"/>
      <c r="C1035" s="45"/>
      <c r="D1035" s="45"/>
      <c r="E1035" s="45"/>
      <c r="F1035" s="45"/>
      <c r="G1035" s="45"/>
      <c r="H1035" s="45"/>
      <c r="I1035" s="45"/>
      <c r="J1035" s="45"/>
      <c r="K1035" s="177"/>
      <c r="L1035" s="61"/>
      <c r="M1035" s="45"/>
      <c r="N1035" s="88"/>
      <c r="O1035" s="89" t="s">
        <v>57</v>
      </c>
      <c r="P1035" s="89">
        <v>30</v>
      </c>
      <c r="Q1035" s="89">
        <v>1</v>
      </c>
      <c r="R1035" s="89">
        <f>15-Q1035</f>
        <v>14</v>
      </c>
      <c r="S1035" s="93"/>
      <c r="T1035" s="89" t="s">
        <v>57</v>
      </c>
      <c r="U1035" s="162">
        <f>IF($J$1="September","",Y1034)</f>
        <v>2000</v>
      </c>
      <c r="V1035" s="91"/>
      <c r="W1035" s="162">
        <f t="shared" si="194"/>
        <v>2000</v>
      </c>
      <c r="X1035" s="91">
        <v>1000</v>
      </c>
      <c r="Y1035" s="162">
        <f t="shared" si="195"/>
        <v>1000</v>
      </c>
      <c r="Z1035" s="94"/>
      <c r="AA1035" s="45"/>
    </row>
    <row r="1036" spans="1:27" s="43" customFormat="1" ht="21" customHeight="1" x14ac:dyDescent="0.25">
      <c r="A1036" s="44"/>
      <c r="B1036" s="365" t="s">
        <v>103</v>
      </c>
      <c r="C1036" s="365"/>
      <c r="D1036" s="365"/>
      <c r="E1036" s="365"/>
      <c r="F1036" s="365"/>
      <c r="G1036" s="365"/>
      <c r="H1036" s="365"/>
      <c r="I1036" s="365"/>
      <c r="J1036" s="365"/>
      <c r="K1036" s="365"/>
      <c r="L1036" s="61"/>
      <c r="M1036" s="45"/>
      <c r="N1036" s="88"/>
      <c r="O1036" s="89" t="s">
        <v>62</v>
      </c>
      <c r="P1036" s="89"/>
      <c r="Q1036" s="89"/>
      <c r="R1036" s="89">
        <v>0</v>
      </c>
      <c r="S1036" s="93"/>
      <c r="T1036" s="89" t="s">
        <v>62</v>
      </c>
      <c r="U1036" s="162" t="str">
        <f>IF($J$1="October","",Y1035)</f>
        <v/>
      </c>
      <c r="V1036" s="91"/>
      <c r="W1036" s="162" t="str">
        <f t="shared" si="194"/>
        <v/>
      </c>
      <c r="X1036" s="91"/>
      <c r="Y1036" s="162" t="str">
        <f t="shared" si="195"/>
        <v/>
      </c>
      <c r="Z1036" s="94"/>
      <c r="AA1036" s="45"/>
    </row>
    <row r="1037" spans="1:27" s="43" customFormat="1" ht="21" customHeight="1" x14ac:dyDescent="0.25">
      <c r="A1037" s="44"/>
      <c r="B1037" s="365"/>
      <c r="C1037" s="365"/>
      <c r="D1037" s="365"/>
      <c r="E1037" s="365"/>
      <c r="F1037" s="365"/>
      <c r="G1037" s="365"/>
      <c r="H1037" s="365"/>
      <c r="I1037" s="365"/>
      <c r="J1037" s="365"/>
      <c r="K1037" s="365"/>
      <c r="L1037" s="61"/>
      <c r="M1037" s="45"/>
      <c r="N1037" s="88"/>
      <c r="O1037" s="89" t="s">
        <v>63</v>
      </c>
      <c r="P1037" s="89"/>
      <c r="Q1037" s="89"/>
      <c r="R1037" s="89"/>
      <c r="S1037" s="93"/>
      <c r="T1037" s="89" t="s">
        <v>63</v>
      </c>
      <c r="U1037" s="162" t="str">
        <f>IF($J$1="November","",Y1036)</f>
        <v/>
      </c>
      <c r="V1037" s="91"/>
      <c r="W1037" s="162" t="str">
        <f t="shared" si="194"/>
        <v/>
      </c>
      <c r="X1037" s="91"/>
      <c r="Y1037" s="162" t="str">
        <f t="shared" si="195"/>
        <v/>
      </c>
      <c r="Z1037" s="94"/>
      <c r="AA1037" s="45"/>
    </row>
    <row r="1038" spans="1:27" s="43" customFormat="1" ht="21" customHeight="1" thickBot="1" x14ac:dyDescent="0.3">
      <c r="A1038" s="74"/>
      <c r="B1038" s="75"/>
      <c r="C1038" s="75"/>
      <c r="D1038" s="75"/>
      <c r="E1038" s="75"/>
      <c r="F1038" s="75"/>
      <c r="G1038" s="75"/>
      <c r="H1038" s="75"/>
      <c r="I1038" s="75"/>
      <c r="J1038" s="75"/>
      <c r="K1038" s="75"/>
      <c r="L1038" s="76"/>
      <c r="N1038" s="95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7"/>
    </row>
    <row r="1039" spans="1:27" s="43" customFormat="1" ht="21" hidden="1" customHeight="1" x14ac:dyDescent="0.25"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</row>
    <row r="1040" spans="1:27" s="43" customFormat="1" ht="21" hidden="1" customHeight="1" x14ac:dyDescent="0.25">
      <c r="A1040" s="383" t="s">
        <v>45</v>
      </c>
      <c r="B1040" s="384"/>
      <c r="C1040" s="384"/>
      <c r="D1040" s="384"/>
      <c r="E1040" s="384"/>
      <c r="F1040" s="384"/>
      <c r="G1040" s="384"/>
      <c r="H1040" s="384"/>
      <c r="I1040" s="384"/>
      <c r="J1040" s="384"/>
      <c r="K1040" s="384"/>
      <c r="L1040" s="385"/>
      <c r="M1040" s="42"/>
      <c r="N1040" s="81"/>
      <c r="O1040" s="372" t="s">
        <v>47</v>
      </c>
      <c r="P1040" s="373"/>
      <c r="Q1040" s="373"/>
      <c r="R1040" s="374"/>
      <c r="S1040" s="82"/>
      <c r="T1040" s="372" t="s">
        <v>48</v>
      </c>
      <c r="U1040" s="373"/>
      <c r="V1040" s="373"/>
      <c r="W1040" s="373"/>
      <c r="X1040" s="373"/>
      <c r="Y1040" s="374"/>
      <c r="Z1040" s="83"/>
      <c r="AA1040" s="42"/>
    </row>
    <row r="1041" spans="1:27" s="43" customFormat="1" ht="21" hidden="1" customHeight="1" x14ac:dyDescent="0.25">
      <c r="A1041" s="44"/>
      <c r="B1041" s="45"/>
      <c r="C1041" s="375" t="s">
        <v>101</v>
      </c>
      <c r="D1041" s="375"/>
      <c r="E1041" s="375"/>
      <c r="F1041" s="375"/>
      <c r="G1041" s="46" t="str">
        <f>$J$1</f>
        <v>October</v>
      </c>
      <c r="H1041" s="376">
        <f>$K$1</f>
        <v>2020</v>
      </c>
      <c r="I1041" s="376"/>
      <c r="J1041" s="45"/>
      <c r="K1041" s="47"/>
      <c r="L1041" s="48"/>
      <c r="M1041" s="47"/>
      <c r="N1041" s="84"/>
      <c r="O1041" s="85" t="s">
        <v>58</v>
      </c>
      <c r="P1041" s="85" t="s">
        <v>7</v>
      </c>
      <c r="Q1041" s="85" t="s">
        <v>6</v>
      </c>
      <c r="R1041" s="85" t="s">
        <v>59</v>
      </c>
      <c r="S1041" s="86"/>
      <c r="T1041" s="85" t="s">
        <v>58</v>
      </c>
      <c r="U1041" s="85" t="s">
        <v>60</v>
      </c>
      <c r="V1041" s="85" t="s">
        <v>23</v>
      </c>
      <c r="W1041" s="85" t="s">
        <v>22</v>
      </c>
      <c r="X1041" s="85" t="s">
        <v>24</v>
      </c>
      <c r="Y1041" s="85" t="s">
        <v>64</v>
      </c>
      <c r="Z1041" s="87"/>
      <c r="AA1041" s="47"/>
    </row>
    <row r="1042" spans="1:27" s="43" customFormat="1" ht="21" hidden="1" customHeight="1" x14ac:dyDescent="0.25">
      <c r="A1042" s="44"/>
      <c r="B1042" s="45"/>
      <c r="C1042" s="45"/>
      <c r="D1042" s="50"/>
      <c r="E1042" s="50"/>
      <c r="F1042" s="50"/>
      <c r="G1042" s="50"/>
      <c r="H1042" s="50"/>
      <c r="I1042" s="45"/>
      <c r="J1042" s="51" t="s">
        <v>1</v>
      </c>
      <c r="K1042" s="52"/>
      <c r="L1042" s="53"/>
      <c r="M1042" s="45"/>
      <c r="N1042" s="88"/>
      <c r="O1042" s="89" t="s">
        <v>50</v>
      </c>
      <c r="P1042" s="89"/>
      <c r="Q1042" s="89"/>
      <c r="R1042" s="89">
        <v>0</v>
      </c>
      <c r="S1042" s="90"/>
      <c r="T1042" s="89" t="s">
        <v>50</v>
      </c>
      <c r="U1042" s="91"/>
      <c r="V1042" s="91"/>
      <c r="W1042" s="91">
        <f>V1042+U1042</f>
        <v>0</v>
      </c>
      <c r="X1042" s="91"/>
      <c r="Y1042" s="91">
        <f>W1042-X1042</f>
        <v>0</v>
      </c>
      <c r="Z1042" s="87"/>
      <c r="AA1042" s="45"/>
    </row>
    <row r="1043" spans="1:27" s="43" customFormat="1" ht="21" hidden="1" customHeight="1" x14ac:dyDescent="0.25">
      <c r="A1043" s="44"/>
      <c r="B1043" s="45" t="s">
        <v>0</v>
      </c>
      <c r="C1043" s="55"/>
      <c r="D1043" s="45"/>
      <c r="E1043" s="45"/>
      <c r="F1043" s="45"/>
      <c r="G1043" s="45"/>
      <c r="H1043" s="56"/>
      <c r="I1043" s="50"/>
      <c r="J1043" s="45"/>
      <c r="K1043" s="45"/>
      <c r="L1043" s="57"/>
      <c r="M1043" s="42"/>
      <c r="N1043" s="92"/>
      <c r="O1043" s="89" t="s">
        <v>76</v>
      </c>
      <c r="P1043" s="89"/>
      <c r="Q1043" s="89"/>
      <c r="R1043" s="89">
        <v>0</v>
      </c>
      <c r="S1043" s="93"/>
      <c r="T1043" s="89" t="s">
        <v>76</v>
      </c>
      <c r="U1043" s="162">
        <f>IF($J$1="January","",Y1042)</f>
        <v>0</v>
      </c>
      <c r="V1043" s="91"/>
      <c r="W1043" s="162">
        <f>IF(U1043="","",U1043+V1043)</f>
        <v>0</v>
      </c>
      <c r="X1043" s="91"/>
      <c r="Y1043" s="162">
        <f>IF(W1043="","",W1043-X1043)</f>
        <v>0</v>
      </c>
      <c r="Z1043" s="94"/>
      <c r="AA1043" s="42"/>
    </row>
    <row r="1044" spans="1:27" s="43" customFormat="1" ht="21" hidden="1" customHeight="1" x14ac:dyDescent="0.25">
      <c r="A1044" s="44"/>
      <c r="B1044" s="59" t="s">
        <v>46</v>
      </c>
      <c r="C1044" s="60"/>
      <c r="D1044" s="45"/>
      <c r="E1044" s="45"/>
      <c r="F1044" s="366" t="s">
        <v>48</v>
      </c>
      <c r="G1044" s="366"/>
      <c r="H1044" s="45"/>
      <c r="I1044" s="366" t="s">
        <v>49</v>
      </c>
      <c r="J1044" s="366"/>
      <c r="K1044" s="366"/>
      <c r="L1044" s="61"/>
      <c r="M1044" s="45"/>
      <c r="N1044" s="88"/>
      <c r="O1044" s="89" t="s">
        <v>51</v>
      </c>
      <c r="P1044" s="89"/>
      <c r="Q1044" s="89"/>
      <c r="R1044" s="89" t="str">
        <f t="shared" ref="R1044:R1053" si="197">IF(Q1044="","",R1043-Q1044)</f>
        <v/>
      </c>
      <c r="S1044" s="93"/>
      <c r="T1044" s="89" t="s">
        <v>51</v>
      </c>
      <c r="U1044" s="162">
        <f>IF($J$1="February","",Y1043)</f>
        <v>0</v>
      </c>
      <c r="V1044" s="91"/>
      <c r="W1044" s="162">
        <f t="shared" ref="W1044:W1053" si="198">IF(U1044="","",U1044+V1044)</f>
        <v>0</v>
      </c>
      <c r="X1044" s="91"/>
      <c r="Y1044" s="162">
        <f t="shared" ref="Y1044:Y1053" si="199">IF(W1044="","",W1044-X1044)</f>
        <v>0</v>
      </c>
      <c r="Z1044" s="94"/>
      <c r="AA1044" s="45"/>
    </row>
    <row r="1045" spans="1:27" s="43" customFormat="1" ht="21" hidden="1" customHeight="1" x14ac:dyDescent="0.25">
      <c r="A1045" s="44"/>
      <c r="B1045" s="45"/>
      <c r="C1045" s="45"/>
      <c r="D1045" s="45"/>
      <c r="E1045" s="45"/>
      <c r="F1045" s="45"/>
      <c r="G1045" s="45"/>
      <c r="H1045" s="62"/>
      <c r="L1045" s="49"/>
      <c r="M1045" s="45"/>
      <c r="N1045" s="88"/>
      <c r="O1045" s="89" t="s">
        <v>52</v>
      </c>
      <c r="P1045" s="89"/>
      <c r="Q1045" s="89"/>
      <c r="R1045" s="89" t="str">
        <f t="shared" si="197"/>
        <v/>
      </c>
      <c r="S1045" s="93"/>
      <c r="T1045" s="89" t="s">
        <v>52</v>
      </c>
      <c r="U1045" s="162">
        <f>IF($J$1="March","",Y1044)</f>
        <v>0</v>
      </c>
      <c r="V1045" s="91"/>
      <c r="W1045" s="162">
        <f t="shared" si="198"/>
        <v>0</v>
      </c>
      <c r="X1045" s="91"/>
      <c r="Y1045" s="162">
        <f t="shared" si="199"/>
        <v>0</v>
      </c>
      <c r="Z1045" s="94"/>
      <c r="AA1045" s="45"/>
    </row>
    <row r="1046" spans="1:27" s="43" customFormat="1" ht="21" hidden="1" customHeight="1" x14ac:dyDescent="0.25">
      <c r="A1046" s="44"/>
      <c r="B1046" s="367" t="s">
        <v>47</v>
      </c>
      <c r="C1046" s="368"/>
      <c r="D1046" s="45"/>
      <c r="E1046" s="45"/>
      <c r="F1046" s="63" t="s">
        <v>69</v>
      </c>
      <c r="G1046" s="58">
        <f>IF($J$1="January",U1042,IF($J$1="February",U1043,IF($J$1="March",U1044,IF($J$1="April",U1045,IF($J$1="May",U1046,IF($J$1="June",U1047,IF($J$1="July",U1048,IF($J$1="August",U1049,IF($J$1="August",U1049,IF($J$1="September",U1050,IF($J$1="October",U1051,IF($J$1="November",U1052,IF($J$1="December",U1053)))))))))))))</f>
        <v>0</v>
      </c>
      <c r="H1046" s="62"/>
      <c r="I1046" s="64">
        <f>IF(C1050&gt;0,$K$2,C1048)</f>
        <v>31</v>
      </c>
      <c r="J1046" s="65" t="s">
        <v>66</v>
      </c>
      <c r="K1046" s="66">
        <f>K1042/$K$2*I1046</f>
        <v>0</v>
      </c>
      <c r="L1046" s="67"/>
      <c r="M1046" s="45"/>
      <c r="N1046" s="88"/>
      <c r="O1046" s="89" t="s">
        <v>53</v>
      </c>
      <c r="P1046" s="89"/>
      <c r="Q1046" s="89"/>
      <c r="R1046" s="89" t="str">
        <f t="shared" si="197"/>
        <v/>
      </c>
      <c r="S1046" s="93"/>
      <c r="T1046" s="89" t="s">
        <v>53</v>
      </c>
      <c r="U1046" s="162">
        <f>IF($J$1="April","",Y1045)</f>
        <v>0</v>
      </c>
      <c r="V1046" s="91"/>
      <c r="W1046" s="162">
        <f t="shared" si="198"/>
        <v>0</v>
      </c>
      <c r="X1046" s="91"/>
      <c r="Y1046" s="162">
        <f t="shared" si="199"/>
        <v>0</v>
      </c>
      <c r="Z1046" s="94"/>
      <c r="AA1046" s="45"/>
    </row>
    <row r="1047" spans="1:27" s="43" customFormat="1" ht="21" hidden="1" customHeight="1" x14ac:dyDescent="0.25">
      <c r="A1047" s="44"/>
      <c r="B1047" s="54"/>
      <c r="C1047" s="54"/>
      <c r="D1047" s="45"/>
      <c r="E1047" s="45"/>
      <c r="F1047" s="63" t="s">
        <v>23</v>
      </c>
      <c r="G1047" s="58">
        <f>IF($J$1="January",V1042,IF($J$1="February",V1043,IF($J$1="March",V1044,IF($J$1="April",V1045,IF($J$1="May",V1046,IF($J$1="June",V1047,IF($J$1="July",V1048,IF($J$1="August",V1049,IF($J$1="August",V1049,IF($J$1="September",V1050,IF($J$1="October",V1051,IF($J$1="November",V1052,IF($J$1="December",V1053)))))))))))))</f>
        <v>0</v>
      </c>
      <c r="H1047" s="62"/>
      <c r="I1047" s="108"/>
      <c r="J1047" s="65" t="s">
        <v>67</v>
      </c>
      <c r="K1047" s="68">
        <f>K1042/$K$2/8*I1047</f>
        <v>0</v>
      </c>
      <c r="L1047" s="69"/>
      <c r="M1047" s="45"/>
      <c r="N1047" s="88"/>
      <c r="O1047" s="89" t="s">
        <v>54</v>
      </c>
      <c r="P1047" s="89"/>
      <c r="Q1047" s="89"/>
      <c r="R1047" s="89">
        <v>0</v>
      </c>
      <c r="S1047" s="93"/>
      <c r="T1047" s="89" t="s">
        <v>54</v>
      </c>
      <c r="U1047" s="162">
        <f>IF($J$1="May","",Y1046)</f>
        <v>0</v>
      </c>
      <c r="V1047" s="91"/>
      <c r="W1047" s="162">
        <f t="shared" si="198"/>
        <v>0</v>
      </c>
      <c r="X1047" s="91"/>
      <c r="Y1047" s="162">
        <f t="shared" si="199"/>
        <v>0</v>
      </c>
      <c r="Z1047" s="94"/>
      <c r="AA1047" s="45"/>
    </row>
    <row r="1048" spans="1:27" s="43" customFormat="1" ht="21" hidden="1" customHeight="1" x14ac:dyDescent="0.25">
      <c r="A1048" s="44"/>
      <c r="B1048" s="63" t="s">
        <v>7</v>
      </c>
      <c r="C1048" s="54">
        <f>IF($J$1="January",P1042,IF($J$1="February",P1043,IF($J$1="March",P1044,IF($J$1="April",P1045,IF($J$1="May",P1046,IF($J$1="June",P1047,IF($J$1="July",P1048,IF($J$1="August",P1049,IF($J$1="August",P1049,IF($J$1="September",P1050,IF($J$1="October",P1051,IF($J$1="November",P1052,IF($J$1="December",P1053)))))))))))))</f>
        <v>0</v>
      </c>
      <c r="D1048" s="45"/>
      <c r="E1048" s="45"/>
      <c r="F1048" s="63" t="s">
        <v>70</v>
      </c>
      <c r="G1048" s="58">
        <f>IF($J$1="January",W1042,IF($J$1="February",W1043,IF($J$1="March",W1044,IF($J$1="April",W1045,IF($J$1="May",W1046,IF($J$1="June",W1047,IF($J$1="July",W1048,IF($J$1="August",W1049,IF($J$1="August",W1049,IF($J$1="September",W1050,IF($J$1="October",W1051,IF($J$1="November",W1052,IF($J$1="December",W1053)))))))))))))</f>
        <v>0</v>
      </c>
      <c r="H1048" s="62"/>
      <c r="I1048" s="361" t="s">
        <v>74</v>
      </c>
      <c r="J1048" s="362"/>
      <c r="K1048" s="68">
        <f>K1046+K1047</f>
        <v>0</v>
      </c>
      <c r="L1048" s="69"/>
      <c r="M1048" s="45"/>
      <c r="N1048" s="88"/>
      <c r="O1048" s="89" t="s">
        <v>55</v>
      </c>
      <c r="P1048" s="89"/>
      <c r="Q1048" s="89"/>
      <c r="R1048" s="89">
        <v>0</v>
      </c>
      <c r="S1048" s="93"/>
      <c r="T1048" s="89" t="s">
        <v>55</v>
      </c>
      <c r="U1048" s="162">
        <f>IF($J$1="June","",Y1047)</f>
        <v>0</v>
      </c>
      <c r="V1048" s="91"/>
      <c r="W1048" s="162">
        <f t="shared" si="198"/>
        <v>0</v>
      </c>
      <c r="X1048" s="91"/>
      <c r="Y1048" s="162">
        <f t="shared" si="199"/>
        <v>0</v>
      </c>
      <c r="Z1048" s="94"/>
      <c r="AA1048" s="45"/>
    </row>
    <row r="1049" spans="1:27" s="43" customFormat="1" ht="21" hidden="1" customHeight="1" x14ac:dyDescent="0.25">
      <c r="A1049" s="44"/>
      <c r="B1049" s="63" t="s">
        <v>6</v>
      </c>
      <c r="C1049" s="54">
        <f>IF($J$1="January",Q1042,IF($J$1="February",Q1043,IF($J$1="March",Q1044,IF($J$1="April",Q1045,IF($J$1="May",Q1046,IF($J$1="June",Q1047,IF($J$1="July",Q1048,IF($J$1="August",Q1049,IF($J$1="August",Q1049,IF($J$1="September",Q1050,IF($J$1="October",Q1051,IF($J$1="November",Q1052,IF($J$1="December",Q1053)))))))))))))</f>
        <v>0</v>
      </c>
      <c r="D1049" s="45"/>
      <c r="E1049" s="45"/>
      <c r="F1049" s="63" t="s">
        <v>24</v>
      </c>
      <c r="G1049" s="58">
        <f>IF($J$1="January",X1042,IF($J$1="February",X1043,IF($J$1="March",X1044,IF($J$1="April",X1045,IF($J$1="May",X1046,IF($J$1="June",X1047,IF($J$1="July",X1048,IF($J$1="August",X1049,IF($J$1="August",X1049,IF($J$1="September",X1050,IF($J$1="October",X1051,IF($J$1="November",X1052,IF($J$1="December",X1053)))))))))))))</f>
        <v>0</v>
      </c>
      <c r="H1049" s="62"/>
      <c r="I1049" s="361" t="s">
        <v>75</v>
      </c>
      <c r="J1049" s="362"/>
      <c r="K1049" s="58">
        <f>G1049</f>
        <v>0</v>
      </c>
      <c r="L1049" s="70"/>
      <c r="M1049" s="45"/>
      <c r="N1049" s="88"/>
      <c r="O1049" s="89" t="s">
        <v>56</v>
      </c>
      <c r="P1049" s="89"/>
      <c r="Q1049" s="89"/>
      <c r="R1049" s="89">
        <v>0</v>
      </c>
      <c r="S1049" s="93"/>
      <c r="T1049" s="89" t="s">
        <v>56</v>
      </c>
      <c r="U1049" s="162">
        <f>IF($J$1="July","",Y1048)</f>
        <v>0</v>
      </c>
      <c r="V1049" s="91"/>
      <c r="W1049" s="162">
        <f t="shared" si="198"/>
        <v>0</v>
      </c>
      <c r="X1049" s="91"/>
      <c r="Y1049" s="162">
        <f t="shared" si="199"/>
        <v>0</v>
      </c>
      <c r="Z1049" s="94"/>
      <c r="AA1049" s="45"/>
    </row>
    <row r="1050" spans="1:27" s="43" customFormat="1" ht="21" hidden="1" customHeight="1" x14ac:dyDescent="0.25">
      <c r="A1050" s="44"/>
      <c r="B1050" s="71" t="s">
        <v>73</v>
      </c>
      <c r="C1050" s="54" t="str">
        <f>IF($J$1="January",R1042,IF($J$1="February",R1043,IF($J$1="March",R1044,IF($J$1="April",R1045,IF($J$1="May",R1046,IF($J$1="June",R1047,IF($J$1="July",R1048,IF($J$1="August",R1049,IF($J$1="August",R1049,IF($J$1="September",R1050,IF($J$1="October",R1051,IF($J$1="November",R1052,IF($J$1="December",R1053)))))))))))))</f>
        <v/>
      </c>
      <c r="D1050" s="45"/>
      <c r="E1050" s="45"/>
      <c r="F1050" s="63" t="s">
        <v>72</v>
      </c>
      <c r="G1050" s="58">
        <f>IF($J$1="January",Y1042,IF($J$1="February",Y1043,IF($J$1="March",Y1044,IF($J$1="April",Y1045,IF($J$1="May",Y1046,IF($J$1="June",Y1047,IF($J$1="July",Y1048,IF($J$1="August",Y1049,IF($J$1="August",Y1049,IF($J$1="September",Y1050,IF($J$1="October",Y1051,IF($J$1="November",Y1052,IF($J$1="December",Y1053)))))))))))))</f>
        <v>0</v>
      </c>
      <c r="H1050" s="45"/>
      <c r="I1050" s="363" t="s">
        <v>68</v>
      </c>
      <c r="J1050" s="364"/>
      <c r="K1050" s="72">
        <f>K1048-K1049</f>
        <v>0</v>
      </c>
      <c r="L1050" s="73"/>
      <c r="M1050" s="45"/>
      <c r="N1050" s="88"/>
      <c r="O1050" s="89" t="s">
        <v>61</v>
      </c>
      <c r="P1050" s="89"/>
      <c r="Q1050" s="89"/>
      <c r="R1050" s="89">
        <v>0</v>
      </c>
      <c r="S1050" s="93"/>
      <c r="T1050" s="89" t="s">
        <v>61</v>
      </c>
      <c r="U1050" s="162">
        <f>IF($J$1="August","",Y1049)</f>
        <v>0</v>
      </c>
      <c r="V1050" s="91"/>
      <c r="W1050" s="162">
        <f t="shared" si="198"/>
        <v>0</v>
      </c>
      <c r="X1050" s="91"/>
      <c r="Y1050" s="162">
        <f t="shared" si="199"/>
        <v>0</v>
      </c>
      <c r="Z1050" s="94"/>
      <c r="AA1050" s="45"/>
    </row>
    <row r="1051" spans="1:27" s="43" customFormat="1" ht="21" hidden="1" customHeight="1" x14ac:dyDescent="0.25">
      <c r="A1051" s="44"/>
      <c r="B1051" s="45"/>
      <c r="C1051" s="45"/>
      <c r="D1051" s="45"/>
      <c r="E1051" s="45"/>
      <c r="F1051" s="45"/>
      <c r="G1051" s="45"/>
      <c r="H1051" s="45"/>
      <c r="I1051" s="45"/>
      <c r="J1051" s="45"/>
      <c r="K1051" s="45"/>
      <c r="L1051" s="61"/>
      <c r="M1051" s="45"/>
      <c r="N1051" s="88"/>
      <c r="O1051" s="89" t="s">
        <v>57</v>
      </c>
      <c r="P1051" s="89"/>
      <c r="Q1051" s="89"/>
      <c r="R1051" s="89" t="str">
        <f t="shared" si="197"/>
        <v/>
      </c>
      <c r="S1051" s="93"/>
      <c r="T1051" s="89" t="s">
        <v>57</v>
      </c>
      <c r="U1051" s="162">
        <f>IF($J$1="September","",Y1050)</f>
        <v>0</v>
      </c>
      <c r="V1051" s="91"/>
      <c r="W1051" s="162">
        <f t="shared" si="198"/>
        <v>0</v>
      </c>
      <c r="X1051" s="91"/>
      <c r="Y1051" s="162">
        <f t="shared" si="199"/>
        <v>0</v>
      </c>
      <c r="Z1051" s="94"/>
      <c r="AA1051" s="45"/>
    </row>
    <row r="1052" spans="1:27" s="43" customFormat="1" ht="21" hidden="1" customHeight="1" x14ac:dyDescent="0.25">
      <c r="A1052" s="44"/>
      <c r="B1052" s="365" t="s">
        <v>103</v>
      </c>
      <c r="C1052" s="365"/>
      <c r="D1052" s="365"/>
      <c r="E1052" s="365"/>
      <c r="F1052" s="365"/>
      <c r="G1052" s="365"/>
      <c r="H1052" s="365"/>
      <c r="I1052" s="365"/>
      <c r="J1052" s="365"/>
      <c r="K1052" s="365"/>
      <c r="L1052" s="61"/>
      <c r="M1052" s="45"/>
      <c r="N1052" s="88"/>
      <c r="O1052" s="89" t="s">
        <v>62</v>
      </c>
      <c r="P1052" s="89"/>
      <c r="Q1052" s="89"/>
      <c r="R1052" s="89" t="str">
        <f t="shared" si="197"/>
        <v/>
      </c>
      <c r="S1052" s="93"/>
      <c r="T1052" s="89" t="s">
        <v>62</v>
      </c>
      <c r="U1052" s="162" t="str">
        <f>IF($J$1="October","",Y1051)</f>
        <v/>
      </c>
      <c r="V1052" s="91"/>
      <c r="W1052" s="162" t="str">
        <f t="shared" si="198"/>
        <v/>
      </c>
      <c r="X1052" s="91"/>
      <c r="Y1052" s="162" t="str">
        <f t="shared" si="199"/>
        <v/>
      </c>
      <c r="Z1052" s="94"/>
      <c r="AA1052" s="45"/>
    </row>
    <row r="1053" spans="1:27" s="43" customFormat="1" ht="21" hidden="1" customHeight="1" x14ac:dyDescent="0.25">
      <c r="A1053" s="44"/>
      <c r="B1053" s="365"/>
      <c r="C1053" s="365"/>
      <c r="D1053" s="365"/>
      <c r="E1053" s="365"/>
      <c r="F1053" s="365"/>
      <c r="G1053" s="365"/>
      <c r="H1053" s="365"/>
      <c r="I1053" s="365"/>
      <c r="J1053" s="365"/>
      <c r="K1053" s="365"/>
      <c r="L1053" s="61"/>
      <c r="M1053" s="45"/>
      <c r="N1053" s="88"/>
      <c r="O1053" s="89" t="s">
        <v>63</v>
      </c>
      <c r="P1053" s="89"/>
      <c r="Q1053" s="89"/>
      <c r="R1053" s="89" t="str">
        <f t="shared" si="197"/>
        <v/>
      </c>
      <c r="S1053" s="93"/>
      <c r="T1053" s="89" t="s">
        <v>63</v>
      </c>
      <c r="U1053" s="162" t="str">
        <f>IF($J$1="November","",Y1052)</f>
        <v/>
      </c>
      <c r="V1053" s="91"/>
      <c r="W1053" s="162" t="str">
        <f t="shared" si="198"/>
        <v/>
      </c>
      <c r="X1053" s="91"/>
      <c r="Y1053" s="162" t="str">
        <f t="shared" si="199"/>
        <v/>
      </c>
      <c r="Z1053" s="94"/>
      <c r="AA1053" s="45"/>
    </row>
    <row r="1054" spans="1:27" s="43" customFormat="1" ht="21" hidden="1" customHeight="1" thickBot="1" x14ac:dyDescent="0.3">
      <c r="A1054" s="74"/>
      <c r="B1054" s="75"/>
      <c r="C1054" s="75"/>
      <c r="D1054" s="75"/>
      <c r="E1054" s="75"/>
      <c r="F1054" s="75"/>
      <c r="G1054" s="75"/>
      <c r="H1054" s="75"/>
      <c r="I1054" s="75"/>
      <c r="J1054" s="75"/>
      <c r="K1054" s="75"/>
      <c r="L1054" s="76"/>
      <c r="N1054" s="95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7"/>
    </row>
    <row r="1055" spans="1:27" s="43" customFormat="1" ht="21" hidden="1" customHeight="1" thickBot="1" x14ac:dyDescent="0.3"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</row>
    <row r="1056" spans="1:27" s="43" customFormat="1" ht="21" hidden="1" customHeight="1" x14ac:dyDescent="0.25">
      <c r="A1056" s="383" t="s">
        <v>45</v>
      </c>
      <c r="B1056" s="384"/>
      <c r="C1056" s="384"/>
      <c r="D1056" s="384"/>
      <c r="E1056" s="384"/>
      <c r="F1056" s="384"/>
      <c r="G1056" s="384"/>
      <c r="H1056" s="384"/>
      <c r="I1056" s="384"/>
      <c r="J1056" s="384"/>
      <c r="K1056" s="384"/>
      <c r="L1056" s="385"/>
      <c r="M1056" s="42"/>
      <c r="N1056" s="81"/>
      <c r="O1056" s="372" t="s">
        <v>47</v>
      </c>
      <c r="P1056" s="373"/>
      <c r="Q1056" s="373"/>
      <c r="R1056" s="374"/>
      <c r="S1056" s="82"/>
      <c r="T1056" s="372" t="s">
        <v>48</v>
      </c>
      <c r="U1056" s="373"/>
      <c r="V1056" s="373"/>
      <c r="W1056" s="373"/>
      <c r="X1056" s="373"/>
      <c r="Y1056" s="374"/>
      <c r="Z1056" s="83"/>
      <c r="AA1056" s="42"/>
    </row>
    <row r="1057" spans="1:27" s="43" customFormat="1" ht="21" hidden="1" customHeight="1" x14ac:dyDescent="0.25">
      <c r="A1057" s="44"/>
      <c r="B1057" s="45"/>
      <c r="C1057" s="375" t="s">
        <v>101</v>
      </c>
      <c r="D1057" s="375"/>
      <c r="E1057" s="375"/>
      <c r="F1057" s="375"/>
      <c r="G1057" s="46" t="str">
        <f>$J$1</f>
        <v>October</v>
      </c>
      <c r="H1057" s="376">
        <f>$K$1</f>
        <v>2020</v>
      </c>
      <c r="I1057" s="376"/>
      <c r="J1057" s="45"/>
      <c r="K1057" s="47"/>
      <c r="L1057" s="48"/>
      <c r="M1057" s="47"/>
      <c r="N1057" s="84"/>
      <c r="O1057" s="85" t="s">
        <v>58</v>
      </c>
      <c r="P1057" s="85" t="s">
        <v>7</v>
      </c>
      <c r="Q1057" s="85" t="s">
        <v>6</v>
      </c>
      <c r="R1057" s="85" t="s">
        <v>59</v>
      </c>
      <c r="S1057" s="86"/>
      <c r="T1057" s="85" t="s">
        <v>58</v>
      </c>
      <c r="U1057" s="85" t="s">
        <v>60</v>
      </c>
      <c r="V1057" s="85" t="s">
        <v>23</v>
      </c>
      <c r="W1057" s="85" t="s">
        <v>22</v>
      </c>
      <c r="X1057" s="85" t="s">
        <v>24</v>
      </c>
      <c r="Y1057" s="85" t="s">
        <v>64</v>
      </c>
      <c r="Z1057" s="87"/>
      <c r="AA1057" s="47"/>
    </row>
    <row r="1058" spans="1:27" s="43" customFormat="1" ht="21" hidden="1" customHeight="1" x14ac:dyDescent="0.25">
      <c r="A1058" s="44"/>
      <c r="B1058" s="45"/>
      <c r="C1058" s="45"/>
      <c r="D1058" s="50"/>
      <c r="E1058" s="50"/>
      <c r="F1058" s="50"/>
      <c r="G1058" s="50"/>
      <c r="H1058" s="50"/>
      <c r="I1058" s="45"/>
      <c r="J1058" s="51" t="s">
        <v>1</v>
      </c>
      <c r="K1058" s="52">
        <v>21000</v>
      </c>
      <c r="L1058" s="53"/>
      <c r="M1058" s="45"/>
      <c r="N1058" s="88"/>
      <c r="O1058" s="89" t="s">
        <v>50</v>
      </c>
      <c r="P1058" s="89">
        <v>29</v>
      </c>
      <c r="Q1058" s="89">
        <v>2</v>
      </c>
      <c r="R1058" s="89">
        <f>15-Q1058</f>
        <v>13</v>
      </c>
      <c r="S1058" s="90"/>
      <c r="T1058" s="89" t="s">
        <v>50</v>
      </c>
      <c r="U1058" s="91">
        <v>88500</v>
      </c>
      <c r="V1058" s="91"/>
      <c r="W1058" s="91">
        <f>V1058+U1058</f>
        <v>88500</v>
      </c>
      <c r="X1058" s="91">
        <v>5000</v>
      </c>
      <c r="Y1058" s="91">
        <f>W1058-X1058</f>
        <v>83500</v>
      </c>
      <c r="Z1058" s="87"/>
      <c r="AA1058" s="45"/>
    </row>
    <row r="1059" spans="1:27" s="43" customFormat="1" ht="21" hidden="1" customHeight="1" x14ac:dyDescent="0.25">
      <c r="A1059" s="44"/>
      <c r="B1059" s="45" t="s">
        <v>0</v>
      </c>
      <c r="C1059" s="55" t="s">
        <v>92</v>
      </c>
      <c r="D1059" s="45"/>
      <c r="E1059" s="45"/>
      <c r="F1059" s="45"/>
      <c r="G1059" s="45"/>
      <c r="H1059" s="56"/>
      <c r="I1059" s="50"/>
      <c r="J1059" s="45"/>
      <c r="K1059" s="45"/>
      <c r="L1059" s="57"/>
      <c r="M1059" s="42"/>
      <c r="N1059" s="92"/>
      <c r="O1059" s="89" t="s">
        <v>76</v>
      </c>
      <c r="P1059" s="89">
        <v>27</v>
      </c>
      <c r="Q1059" s="89">
        <v>2</v>
      </c>
      <c r="R1059" s="89">
        <f>R1058-Q1059</f>
        <v>11</v>
      </c>
      <c r="S1059" s="93"/>
      <c r="T1059" s="89" t="s">
        <v>76</v>
      </c>
      <c r="U1059" s="162">
        <f>IF($J$1="January","",Y1058)</f>
        <v>83500</v>
      </c>
      <c r="V1059" s="91"/>
      <c r="W1059" s="162">
        <f>IF(U1059="","",U1059+V1059)</f>
        <v>83500</v>
      </c>
      <c r="X1059" s="91">
        <v>5000</v>
      </c>
      <c r="Y1059" s="162">
        <f>IF(W1059="","",W1059-X1059)</f>
        <v>78500</v>
      </c>
      <c r="Z1059" s="94"/>
      <c r="AA1059" s="42"/>
    </row>
    <row r="1060" spans="1:27" s="43" customFormat="1" ht="21" hidden="1" customHeight="1" x14ac:dyDescent="0.25">
      <c r="A1060" s="44"/>
      <c r="B1060" s="59" t="s">
        <v>46</v>
      </c>
      <c r="C1060" s="60"/>
      <c r="D1060" s="45"/>
      <c r="E1060" s="45"/>
      <c r="F1060" s="366" t="s">
        <v>48</v>
      </c>
      <c r="G1060" s="366"/>
      <c r="H1060" s="45"/>
      <c r="I1060" s="366" t="s">
        <v>49</v>
      </c>
      <c r="J1060" s="366"/>
      <c r="K1060" s="366"/>
      <c r="L1060" s="61"/>
      <c r="M1060" s="45"/>
      <c r="N1060" s="88"/>
      <c r="O1060" s="89" t="s">
        <v>51</v>
      </c>
      <c r="P1060" s="89">
        <v>30</v>
      </c>
      <c r="Q1060" s="89">
        <v>1</v>
      </c>
      <c r="R1060" s="89">
        <f>R1059-Q1060</f>
        <v>10</v>
      </c>
      <c r="S1060" s="93"/>
      <c r="T1060" s="89" t="s">
        <v>51</v>
      </c>
      <c r="U1060" s="162">
        <f>IF($J$1="February","",Y1059)</f>
        <v>78500</v>
      </c>
      <c r="V1060" s="91"/>
      <c r="W1060" s="162">
        <f t="shared" ref="W1060:W1069" si="200">IF(U1060="","",U1060+V1060)</f>
        <v>78500</v>
      </c>
      <c r="X1060" s="91">
        <v>5000</v>
      </c>
      <c r="Y1060" s="162">
        <f t="shared" ref="Y1060:Y1069" si="201">IF(W1060="","",W1060-X1060)</f>
        <v>73500</v>
      </c>
      <c r="Z1060" s="94"/>
      <c r="AA1060" s="45"/>
    </row>
    <row r="1061" spans="1:27" s="43" customFormat="1" ht="21" hidden="1" customHeight="1" x14ac:dyDescent="0.25">
      <c r="A1061" s="44"/>
      <c r="B1061" s="45"/>
      <c r="C1061" s="45"/>
      <c r="D1061" s="45"/>
      <c r="E1061" s="45"/>
      <c r="F1061" s="45"/>
      <c r="G1061" s="45"/>
      <c r="H1061" s="62"/>
      <c r="L1061" s="49"/>
      <c r="M1061" s="45"/>
      <c r="N1061" s="88"/>
      <c r="O1061" s="89" t="s">
        <v>52</v>
      </c>
      <c r="P1061" s="89">
        <v>13</v>
      </c>
      <c r="Q1061" s="89">
        <v>17</v>
      </c>
      <c r="R1061" s="89">
        <v>0</v>
      </c>
      <c r="S1061" s="93"/>
      <c r="T1061" s="89" t="s">
        <v>52</v>
      </c>
      <c r="U1061" s="162">
        <f>IF($J$1="March","",Y1060)</f>
        <v>73500</v>
      </c>
      <c r="V1061" s="91">
        <v>12000</v>
      </c>
      <c r="W1061" s="162">
        <f t="shared" si="200"/>
        <v>85500</v>
      </c>
      <c r="X1061" s="91">
        <v>12000</v>
      </c>
      <c r="Y1061" s="162">
        <f t="shared" si="201"/>
        <v>73500</v>
      </c>
      <c r="Z1061" s="94"/>
      <c r="AA1061" s="45"/>
    </row>
    <row r="1062" spans="1:27" s="43" customFormat="1" ht="21" hidden="1" customHeight="1" x14ac:dyDescent="0.25">
      <c r="A1062" s="44"/>
      <c r="B1062" s="367" t="s">
        <v>47</v>
      </c>
      <c r="C1062" s="368"/>
      <c r="D1062" s="45"/>
      <c r="E1062" s="45"/>
      <c r="F1062" s="63" t="s">
        <v>69</v>
      </c>
      <c r="G1062" s="180">
        <f>IF($J$1="January",U1058,IF($J$1="February",U1059,IF($J$1="March",U1060,IF($J$1="April",U1061,IF($J$1="May",U1062,IF($J$1="June",U1063,IF($J$1="July",U1064,IF($J$1="August",U1065,IF($J$1="August",U1065,IF($J$1="September",U1066,IF($J$1="October",U1067,IF($J$1="November",U1068,IF($J$1="December",U1069)))))))))))))</f>
        <v>60700</v>
      </c>
      <c r="H1062" s="62"/>
      <c r="I1062" s="64">
        <f>IF(C1066&gt;0,$K$2,C1064)</f>
        <v>0</v>
      </c>
      <c r="J1062" s="65" t="s">
        <v>66</v>
      </c>
      <c r="K1062" s="66">
        <f>K1058/$K$2*I1062</f>
        <v>0</v>
      </c>
      <c r="L1062" s="67"/>
      <c r="M1062" s="45"/>
      <c r="N1062" s="88"/>
      <c r="O1062" s="89" t="s">
        <v>53</v>
      </c>
      <c r="P1062" s="89">
        <v>27</v>
      </c>
      <c r="Q1062" s="89">
        <v>4</v>
      </c>
      <c r="R1062" s="89">
        <v>0</v>
      </c>
      <c r="S1062" s="93"/>
      <c r="T1062" s="89" t="s">
        <v>53</v>
      </c>
      <c r="U1062" s="162">
        <f>IF($J$1="April","",Y1061)</f>
        <v>73500</v>
      </c>
      <c r="V1062" s="91"/>
      <c r="W1062" s="162">
        <f t="shared" si="200"/>
        <v>73500</v>
      </c>
      <c r="X1062" s="91">
        <v>10000</v>
      </c>
      <c r="Y1062" s="162">
        <f t="shared" si="201"/>
        <v>63500</v>
      </c>
      <c r="Z1062" s="94"/>
      <c r="AA1062" s="45"/>
    </row>
    <row r="1063" spans="1:27" s="43" customFormat="1" ht="21" hidden="1" customHeight="1" x14ac:dyDescent="0.25">
      <c r="A1063" s="44"/>
      <c r="B1063" s="54"/>
      <c r="C1063" s="54"/>
      <c r="D1063" s="45"/>
      <c r="E1063" s="45"/>
      <c r="F1063" s="63" t="s">
        <v>23</v>
      </c>
      <c r="G1063" s="180">
        <f>IF($J$1="January",V1058,IF($J$1="February",V1059,IF($J$1="March",V1060,IF($J$1="April",V1061,IF($J$1="May",V1062,IF($J$1="June",V1063,IF($J$1="July",V1064,IF($J$1="August",V1065,IF($J$1="August",V1065,IF($J$1="September",V1066,IF($J$1="October",V1067,IF($J$1="November",V1068,IF($J$1="December",V1069)))))))))))))</f>
        <v>0</v>
      </c>
      <c r="H1063" s="62"/>
      <c r="I1063" s="108"/>
      <c r="J1063" s="65" t="s">
        <v>67</v>
      </c>
      <c r="K1063" s="68">
        <f>K1058/$K$2/8*I1063</f>
        <v>0</v>
      </c>
      <c r="L1063" s="69"/>
      <c r="M1063" s="45"/>
      <c r="N1063" s="88"/>
      <c r="O1063" s="89" t="s">
        <v>54</v>
      </c>
      <c r="P1063" s="89">
        <v>4</v>
      </c>
      <c r="Q1063" s="89">
        <v>26</v>
      </c>
      <c r="R1063" s="89">
        <v>0</v>
      </c>
      <c r="S1063" s="93"/>
      <c r="T1063" s="89" t="s">
        <v>54</v>
      </c>
      <c r="U1063" s="162">
        <f>IF($J$1="May","",Y1062)</f>
        <v>63500</v>
      </c>
      <c r="V1063" s="91"/>
      <c r="W1063" s="162">
        <f t="shared" si="200"/>
        <v>63500</v>
      </c>
      <c r="X1063" s="91">
        <v>2800</v>
      </c>
      <c r="Y1063" s="162">
        <f t="shared" si="201"/>
        <v>60700</v>
      </c>
      <c r="Z1063" s="94"/>
      <c r="AA1063" s="45"/>
    </row>
    <row r="1064" spans="1:27" s="43" customFormat="1" ht="21" hidden="1" customHeight="1" x14ac:dyDescent="0.25">
      <c r="A1064" s="44"/>
      <c r="B1064" s="63" t="s">
        <v>7</v>
      </c>
      <c r="C1064" s="54">
        <f>IF($J$1="January",P1058,IF($J$1="February",P1059,IF($J$1="March",P1060,IF($J$1="April",P1061,IF($J$1="May",P1062,IF($J$1="June",P1063,IF($J$1="July",P1064,IF($J$1="August",P1065,IF($J$1="August",P1065,IF($J$1="September",P1066,IF($J$1="October",P1067,IF($J$1="November",P1068,IF($J$1="December",P1069)))))))))))))</f>
        <v>0</v>
      </c>
      <c r="D1064" s="45"/>
      <c r="E1064" s="45"/>
      <c r="F1064" s="63" t="s">
        <v>70</v>
      </c>
      <c r="G1064" s="180">
        <f>IF($J$1="January",W1058,IF($J$1="February",W1059,IF($J$1="March",W1060,IF($J$1="April",W1061,IF($J$1="May",W1062,IF($J$1="June",W1063,IF($J$1="July",W1064,IF($J$1="August",W1065,IF($J$1="August",W1065,IF($J$1="September",W1066,IF($J$1="October",W1067,IF($J$1="November",W1068,IF($J$1="December",W1069)))))))))))))</f>
        <v>60700</v>
      </c>
      <c r="H1064" s="62"/>
      <c r="I1064" s="361" t="s">
        <v>74</v>
      </c>
      <c r="J1064" s="362"/>
      <c r="K1064" s="68">
        <f>K1062+K1063</f>
        <v>0</v>
      </c>
      <c r="L1064" s="69"/>
      <c r="M1064" s="45"/>
      <c r="N1064" s="88"/>
      <c r="O1064" s="89" t="s">
        <v>55</v>
      </c>
      <c r="P1064" s="89"/>
      <c r="Q1064" s="89"/>
      <c r="R1064" s="89" t="str">
        <f t="shared" ref="R1064" si="202">IF(Q1064="","",R1063-Q1064)</f>
        <v/>
      </c>
      <c r="S1064" s="93"/>
      <c r="T1064" s="89" t="s">
        <v>55</v>
      </c>
      <c r="U1064" s="162">
        <f>IF($J$1="June","",Y1063)</f>
        <v>60700</v>
      </c>
      <c r="V1064" s="91"/>
      <c r="W1064" s="162">
        <f t="shared" si="200"/>
        <v>60700</v>
      </c>
      <c r="X1064" s="91"/>
      <c r="Y1064" s="162">
        <f t="shared" si="201"/>
        <v>60700</v>
      </c>
      <c r="Z1064" s="94"/>
      <c r="AA1064" s="45"/>
    </row>
    <row r="1065" spans="1:27" s="43" customFormat="1" ht="21" hidden="1" customHeight="1" x14ac:dyDescent="0.25">
      <c r="A1065" s="44"/>
      <c r="B1065" s="63" t="s">
        <v>6</v>
      </c>
      <c r="C1065" s="54">
        <f>IF($J$1="January",Q1058,IF($J$1="February",Q1059,IF($J$1="March",Q1060,IF($J$1="April",Q1061,IF($J$1="May",Q1062,IF($J$1="June",Q1063,IF($J$1="July",Q1064,IF($J$1="August",Q1065,IF($J$1="August",Q1065,IF($J$1="September",Q1066,IF($J$1="October",Q1067,IF($J$1="November",Q1068,IF($J$1="December",Q1069)))))))))))))</f>
        <v>0</v>
      </c>
      <c r="D1065" s="45"/>
      <c r="E1065" s="45"/>
      <c r="F1065" s="63" t="s">
        <v>24</v>
      </c>
      <c r="G1065" s="180">
        <f>IF($J$1="January",X1058,IF($J$1="February",X1059,IF($J$1="March",X1060,IF($J$1="April",X1061,IF($J$1="May",X1062,IF($J$1="June",X1063,IF($J$1="July",X1064,IF($J$1="August",X1065,IF($J$1="August",X1065,IF($J$1="September",X1066,IF($J$1="October",X1067,IF($J$1="November",X1068,IF($J$1="December",X1069)))))))))))))</f>
        <v>0</v>
      </c>
      <c r="H1065" s="62"/>
      <c r="I1065" s="361" t="s">
        <v>75</v>
      </c>
      <c r="J1065" s="362"/>
      <c r="K1065" s="58">
        <f>G1065</f>
        <v>0</v>
      </c>
      <c r="L1065" s="70"/>
      <c r="M1065" s="45"/>
      <c r="N1065" s="88"/>
      <c r="O1065" s="89" t="s">
        <v>56</v>
      </c>
      <c r="P1065" s="89"/>
      <c r="Q1065" s="89"/>
      <c r="R1065" s="89">
        <v>0</v>
      </c>
      <c r="S1065" s="93"/>
      <c r="T1065" s="89" t="s">
        <v>56</v>
      </c>
      <c r="U1065" s="162">
        <f>IF($J$1="July","",Y1064)</f>
        <v>60700</v>
      </c>
      <c r="V1065" s="91"/>
      <c r="W1065" s="162">
        <f t="shared" si="200"/>
        <v>60700</v>
      </c>
      <c r="X1065" s="91"/>
      <c r="Y1065" s="162">
        <f t="shared" si="201"/>
        <v>60700</v>
      </c>
      <c r="Z1065" s="94"/>
      <c r="AA1065" s="45"/>
    </row>
    <row r="1066" spans="1:27" s="43" customFormat="1" ht="21" hidden="1" customHeight="1" x14ac:dyDescent="0.25">
      <c r="A1066" s="44"/>
      <c r="B1066" s="71" t="s">
        <v>73</v>
      </c>
      <c r="C1066" s="54">
        <f>IF($J$1="January",R1058,IF($J$1="February",R1059,IF($J$1="March",R1060,IF($J$1="April",R1061,IF($J$1="May",R1062,IF($J$1="June",R1063,IF($J$1="July",R1064,IF($J$1="August",R1065,IF($J$1="August",R1065,IF($J$1="September",R1066,IF($J$1="October",R1067,IF($J$1="November",R1068,IF($J$1="December",R1069)))))))))))))</f>
        <v>0</v>
      </c>
      <c r="D1066" s="45"/>
      <c r="E1066" s="45"/>
      <c r="F1066" s="63" t="s">
        <v>72</v>
      </c>
      <c r="G1066" s="180">
        <f>IF($J$1="January",Y1058,IF($J$1="February",Y1059,IF($J$1="March",Y1060,IF($J$1="April",Y1061,IF($J$1="May",Y1062,IF($J$1="June",Y1063,IF($J$1="July",Y1064,IF($J$1="August",Y1065,IF($J$1="August",Y1065,IF($J$1="September",Y1066,IF($J$1="October",Y1067,IF($J$1="November",Y1068,IF($J$1="December",Y1069)))))))))))))</f>
        <v>60700</v>
      </c>
      <c r="H1066" s="45"/>
      <c r="I1066" s="363" t="s">
        <v>68</v>
      </c>
      <c r="J1066" s="364"/>
      <c r="K1066" s="72"/>
      <c r="L1066" s="73"/>
      <c r="M1066" s="45"/>
      <c r="N1066" s="88"/>
      <c r="O1066" s="89" t="s">
        <v>61</v>
      </c>
      <c r="P1066" s="89"/>
      <c r="Q1066" s="89"/>
      <c r="R1066" s="89">
        <v>0</v>
      </c>
      <c r="S1066" s="93"/>
      <c r="T1066" s="89" t="s">
        <v>61</v>
      </c>
      <c r="U1066" s="162">
        <f>IF($J$1="August","",Y1065)</f>
        <v>60700</v>
      </c>
      <c r="V1066" s="91"/>
      <c r="W1066" s="162">
        <f t="shared" si="200"/>
        <v>60700</v>
      </c>
      <c r="X1066" s="91"/>
      <c r="Y1066" s="162">
        <f t="shared" si="201"/>
        <v>60700</v>
      </c>
      <c r="Z1066" s="94"/>
      <c r="AA1066" s="45"/>
    </row>
    <row r="1067" spans="1:27" s="43" customFormat="1" ht="21" hidden="1" customHeight="1" x14ac:dyDescent="0.25">
      <c r="A1067" s="44"/>
      <c r="B1067" s="45"/>
      <c r="C1067" s="45"/>
      <c r="D1067" s="45"/>
      <c r="E1067" s="45"/>
      <c r="F1067" s="45"/>
      <c r="G1067" s="45"/>
      <c r="H1067" s="45"/>
      <c r="I1067" s="45"/>
      <c r="J1067" s="45"/>
      <c r="K1067" s="45"/>
      <c r="L1067" s="61"/>
      <c r="M1067" s="45"/>
      <c r="N1067" s="88"/>
      <c r="O1067" s="89" t="s">
        <v>57</v>
      </c>
      <c r="P1067" s="89"/>
      <c r="Q1067" s="89"/>
      <c r="R1067" s="89">
        <v>0</v>
      </c>
      <c r="S1067" s="93"/>
      <c r="T1067" s="89" t="s">
        <v>57</v>
      </c>
      <c r="U1067" s="162">
        <f>IF($J$1="September","",Y1066)</f>
        <v>60700</v>
      </c>
      <c r="V1067" s="91"/>
      <c r="W1067" s="162">
        <f t="shared" si="200"/>
        <v>60700</v>
      </c>
      <c r="X1067" s="91"/>
      <c r="Y1067" s="162">
        <f t="shared" si="201"/>
        <v>60700</v>
      </c>
      <c r="Z1067" s="94"/>
      <c r="AA1067" s="45"/>
    </row>
    <row r="1068" spans="1:27" s="43" customFormat="1" ht="21" hidden="1" customHeight="1" x14ac:dyDescent="0.25">
      <c r="A1068" s="44"/>
      <c r="B1068" s="365" t="s">
        <v>103</v>
      </c>
      <c r="C1068" s="365"/>
      <c r="D1068" s="365"/>
      <c r="E1068" s="365"/>
      <c r="F1068" s="365"/>
      <c r="G1068" s="365"/>
      <c r="H1068" s="365"/>
      <c r="I1068" s="365"/>
      <c r="J1068" s="365"/>
      <c r="K1068" s="365"/>
      <c r="L1068" s="61"/>
      <c r="M1068" s="45"/>
      <c r="N1068" s="88"/>
      <c r="O1068" s="89" t="s">
        <v>62</v>
      </c>
      <c r="P1068" s="89"/>
      <c r="Q1068" s="89"/>
      <c r="R1068" s="89">
        <v>0</v>
      </c>
      <c r="S1068" s="93"/>
      <c r="T1068" s="89" t="s">
        <v>62</v>
      </c>
      <c r="U1068" s="162" t="str">
        <f>IF($J$1="October","",Y1067)</f>
        <v/>
      </c>
      <c r="V1068" s="91"/>
      <c r="W1068" s="162" t="str">
        <f t="shared" si="200"/>
        <v/>
      </c>
      <c r="X1068" s="91"/>
      <c r="Y1068" s="162" t="str">
        <f t="shared" si="201"/>
        <v/>
      </c>
      <c r="Z1068" s="94"/>
      <c r="AA1068" s="45"/>
    </row>
    <row r="1069" spans="1:27" s="43" customFormat="1" ht="21" hidden="1" customHeight="1" x14ac:dyDescent="0.25">
      <c r="A1069" s="44"/>
      <c r="B1069" s="365"/>
      <c r="C1069" s="365"/>
      <c r="D1069" s="365"/>
      <c r="E1069" s="365"/>
      <c r="F1069" s="365"/>
      <c r="G1069" s="365"/>
      <c r="H1069" s="365"/>
      <c r="I1069" s="365"/>
      <c r="J1069" s="365"/>
      <c r="K1069" s="365"/>
      <c r="L1069" s="61"/>
      <c r="M1069" s="45"/>
      <c r="N1069" s="88"/>
      <c r="O1069" s="89" t="s">
        <v>63</v>
      </c>
      <c r="P1069" s="89"/>
      <c r="Q1069" s="89"/>
      <c r="R1069" s="89">
        <v>0</v>
      </c>
      <c r="S1069" s="93"/>
      <c r="T1069" s="89" t="s">
        <v>63</v>
      </c>
      <c r="U1069" s="162" t="str">
        <f>IF($J$1="November","",Y1068)</f>
        <v/>
      </c>
      <c r="V1069" s="91"/>
      <c r="W1069" s="162" t="str">
        <f t="shared" si="200"/>
        <v/>
      </c>
      <c r="X1069" s="91"/>
      <c r="Y1069" s="162" t="str">
        <f t="shared" si="201"/>
        <v/>
      </c>
      <c r="Z1069" s="94"/>
      <c r="AA1069" s="45"/>
    </row>
    <row r="1070" spans="1:27" s="43" customFormat="1" ht="21" hidden="1" customHeight="1" thickBot="1" x14ac:dyDescent="0.3">
      <c r="A1070" s="74"/>
      <c r="B1070" s="75"/>
      <c r="C1070" s="75"/>
      <c r="D1070" s="75"/>
      <c r="E1070" s="75"/>
      <c r="F1070" s="75"/>
      <c r="G1070" s="75"/>
      <c r="H1070" s="75"/>
      <c r="I1070" s="75"/>
      <c r="J1070" s="75"/>
      <c r="K1070" s="75"/>
      <c r="L1070" s="76"/>
      <c r="N1070" s="95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7"/>
    </row>
    <row r="1071" spans="1:27" s="43" customFormat="1" ht="21" hidden="1" customHeight="1" thickBot="1" x14ac:dyDescent="0.3"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</row>
    <row r="1072" spans="1:27" s="43" customFormat="1" ht="21" hidden="1" customHeight="1" x14ac:dyDescent="0.25">
      <c r="A1072" s="369" t="s">
        <v>45</v>
      </c>
      <c r="B1072" s="370"/>
      <c r="C1072" s="370"/>
      <c r="D1072" s="370"/>
      <c r="E1072" s="370"/>
      <c r="F1072" s="370"/>
      <c r="G1072" s="370"/>
      <c r="H1072" s="370"/>
      <c r="I1072" s="370"/>
      <c r="J1072" s="370"/>
      <c r="K1072" s="370"/>
      <c r="L1072" s="371"/>
      <c r="M1072" s="42"/>
      <c r="N1072" s="81"/>
      <c r="O1072" s="372" t="s">
        <v>47</v>
      </c>
      <c r="P1072" s="373"/>
      <c r="Q1072" s="373"/>
      <c r="R1072" s="374"/>
      <c r="S1072" s="82"/>
      <c r="T1072" s="372" t="s">
        <v>48</v>
      </c>
      <c r="U1072" s="373"/>
      <c r="V1072" s="373"/>
      <c r="W1072" s="373"/>
      <c r="X1072" s="373"/>
      <c r="Y1072" s="374"/>
      <c r="Z1072" s="83"/>
      <c r="AA1072" s="42"/>
    </row>
    <row r="1073" spans="1:27" s="43" customFormat="1" ht="21" hidden="1" customHeight="1" x14ac:dyDescent="0.25">
      <c r="A1073" s="44"/>
      <c r="B1073" s="45"/>
      <c r="C1073" s="375" t="s">
        <v>101</v>
      </c>
      <c r="D1073" s="375"/>
      <c r="E1073" s="375"/>
      <c r="F1073" s="375"/>
      <c r="G1073" s="46" t="str">
        <f>$J$1</f>
        <v>October</v>
      </c>
      <c r="H1073" s="376">
        <f>$K$1</f>
        <v>2020</v>
      </c>
      <c r="I1073" s="376"/>
      <c r="J1073" s="45"/>
      <c r="K1073" s="47"/>
      <c r="L1073" s="48"/>
      <c r="M1073" s="47"/>
      <c r="N1073" s="84"/>
      <c r="O1073" s="85" t="s">
        <v>58</v>
      </c>
      <c r="P1073" s="85" t="s">
        <v>7</v>
      </c>
      <c r="Q1073" s="85" t="s">
        <v>6</v>
      </c>
      <c r="R1073" s="85" t="s">
        <v>59</v>
      </c>
      <c r="S1073" s="86"/>
      <c r="T1073" s="85" t="s">
        <v>58</v>
      </c>
      <c r="U1073" s="85" t="s">
        <v>60</v>
      </c>
      <c r="V1073" s="85" t="s">
        <v>23</v>
      </c>
      <c r="W1073" s="85" t="s">
        <v>22</v>
      </c>
      <c r="X1073" s="85" t="s">
        <v>24</v>
      </c>
      <c r="Y1073" s="85" t="s">
        <v>64</v>
      </c>
      <c r="Z1073" s="87"/>
      <c r="AA1073" s="47"/>
    </row>
    <row r="1074" spans="1:27" s="43" customFormat="1" ht="21" hidden="1" customHeight="1" x14ac:dyDescent="0.25">
      <c r="A1074" s="44"/>
      <c r="B1074" s="45"/>
      <c r="C1074" s="45"/>
      <c r="D1074" s="50"/>
      <c r="E1074" s="50"/>
      <c r="F1074" s="50"/>
      <c r="G1074" s="50"/>
      <c r="H1074" s="50"/>
      <c r="I1074" s="45"/>
      <c r="J1074" s="51" t="s">
        <v>1</v>
      </c>
      <c r="K1074" s="52"/>
      <c r="L1074" s="53"/>
      <c r="M1074" s="45"/>
      <c r="N1074" s="88"/>
      <c r="O1074" s="89" t="s">
        <v>50</v>
      </c>
      <c r="P1074" s="89">
        <v>22</v>
      </c>
      <c r="Q1074" s="89">
        <v>9</v>
      </c>
      <c r="R1074" s="89"/>
      <c r="S1074" s="90"/>
      <c r="T1074" s="89" t="s">
        <v>50</v>
      </c>
      <c r="U1074" s="91"/>
      <c r="V1074" s="91"/>
      <c r="W1074" s="91">
        <f>V1074+U1074</f>
        <v>0</v>
      </c>
      <c r="X1074" s="91"/>
      <c r="Y1074" s="91">
        <f>W1074-X1074</f>
        <v>0</v>
      </c>
      <c r="Z1074" s="87"/>
      <c r="AA1074" s="45"/>
    </row>
    <row r="1075" spans="1:27" s="43" customFormat="1" ht="21" hidden="1" customHeight="1" x14ac:dyDescent="0.25">
      <c r="A1075" s="44"/>
      <c r="B1075" s="45" t="s">
        <v>0</v>
      </c>
      <c r="C1075" s="55"/>
      <c r="D1075" s="45"/>
      <c r="E1075" s="45"/>
      <c r="F1075" s="45"/>
      <c r="G1075" s="45"/>
      <c r="H1075" s="56"/>
      <c r="I1075" s="50"/>
      <c r="J1075" s="45"/>
      <c r="K1075" s="45"/>
      <c r="L1075" s="57"/>
      <c r="M1075" s="42"/>
      <c r="N1075" s="92"/>
      <c r="O1075" s="89" t="s">
        <v>76</v>
      </c>
      <c r="P1075" s="89"/>
      <c r="Q1075" s="89"/>
      <c r="R1075" s="89" t="str">
        <f t="shared" ref="R1075:R1082" si="203">IF(Q1075="","",R1074-Q1075)</f>
        <v/>
      </c>
      <c r="S1075" s="93"/>
      <c r="T1075" s="89" t="s">
        <v>76</v>
      </c>
      <c r="U1075" s="162">
        <f>Y1074</f>
        <v>0</v>
      </c>
      <c r="V1075" s="91"/>
      <c r="W1075" s="162">
        <f>IF(U1075="","",U1075+V1075)</f>
        <v>0</v>
      </c>
      <c r="X1075" s="91"/>
      <c r="Y1075" s="162">
        <f>IF(W1075="","",W1075-X1075)</f>
        <v>0</v>
      </c>
      <c r="Z1075" s="94"/>
      <c r="AA1075" s="42"/>
    </row>
    <row r="1076" spans="1:27" s="43" customFormat="1" ht="21" hidden="1" customHeight="1" x14ac:dyDescent="0.25">
      <c r="A1076" s="44"/>
      <c r="B1076" s="59" t="s">
        <v>46</v>
      </c>
      <c r="C1076" s="60"/>
      <c r="D1076" s="45"/>
      <c r="E1076" s="45"/>
      <c r="F1076" s="366" t="s">
        <v>48</v>
      </c>
      <c r="G1076" s="366"/>
      <c r="H1076" s="45"/>
      <c r="I1076" s="366" t="s">
        <v>49</v>
      </c>
      <c r="J1076" s="366"/>
      <c r="K1076" s="366"/>
      <c r="L1076" s="61"/>
      <c r="M1076" s="45"/>
      <c r="N1076" s="88"/>
      <c r="O1076" s="89" t="s">
        <v>51</v>
      </c>
      <c r="P1076" s="89"/>
      <c r="Q1076" s="89"/>
      <c r="R1076" s="89" t="str">
        <f t="shared" si="203"/>
        <v/>
      </c>
      <c r="S1076" s="93"/>
      <c r="T1076" s="89" t="s">
        <v>51</v>
      </c>
      <c r="U1076" s="162">
        <f>IF($J$1="April",Y1075,Y1075)</f>
        <v>0</v>
      </c>
      <c r="V1076" s="91"/>
      <c r="W1076" s="162">
        <f t="shared" ref="W1076:W1085" si="204">IF(U1076="","",U1076+V1076)</f>
        <v>0</v>
      </c>
      <c r="X1076" s="91"/>
      <c r="Y1076" s="162">
        <f t="shared" ref="Y1076:Y1085" si="205">IF(W1076="","",W1076-X1076)</f>
        <v>0</v>
      </c>
      <c r="Z1076" s="94"/>
      <c r="AA1076" s="45"/>
    </row>
    <row r="1077" spans="1:27" s="43" customFormat="1" ht="21" hidden="1" customHeight="1" x14ac:dyDescent="0.25">
      <c r="A1077" s="44"/>
      <c r="B1077" s="45"/>
      <c r="C1077" s="45"/>
      <c r="D1077" s="45"/>
      <c r="E1077" s="45"/>
      <c r="F1077" s="45"/>
      <c r="G1077" s="45"/>
      <c r="H1077" s="62"/>
      <c r="L1077" s="49"/>
      <c r="M1077" s="45"/>
      <c r="N1077" s="88"/>
      <c r="O1077" s="89" t="s">
        <v>52</v>
      </c>
      <c r="P1077" s="89"/>
      <c r="Q1077" s="89"/>
      <c r="R1077" s="89">
        <v>0</v>
      </c>
      <c r="S1077" s="93"/>
      <c r="T1077" s="89" t="s">
        <v>52</v>
      </c>
      <c r="U1077" s="162">
        <f>IF($J$1="April",Y1076,Y1076)</f>
        <v>0</v>
      </c>
      <c r="V1077" s="91"/>
      <c r="W1077" s="162">
        <f t="shared" si="204"/>
        <v>0</v>
      </c>
      <c r="X1077" s="91"/>
      <c r="Y1077" s="162">
        <f t="shared" si="205"/>
        <v>0</v>
      </c>
      <c r="Z1077" s="94"/>
      <c r="AA1077" s="45"/>
    </row>
    <row r="1078" spans="1:27" s="43" customFormat="1" ht="21" hidden="1" customHeight="1" x14ac:dyDescent="0.25">
      <c r="A1078" s="44"/>
      <c r="B1078" s="367" t="s">
        <v>47</v>
      </c>
      <c r="C1078" s="368"/>
      <c r="D1078" s="45"/>
      <c r="E1078" s="45"/>
      <c r="F1078" s="63" t="s">
        <v>69</v>
      </c>
      <c r="G1078" s="58" t="str">
        <f>IF($J$1="January",U1074,IF($J$1="February",U1075,IF($J$1="March",U1076,IF($J$1="April",U1077,IF($J$1="May",U1078,IF($J$1="June",U1079,IF($J$1="July",U1080,IF($J$1="August",U1081,IF($J$1="August",U1081,IF($J$1="September",U1082,IF($J$1="October",U1083,IF($J$1="November",U1084,IF($J$1="December",U1085)))))))))))))</f>
        <v/>
      </c>
      <c r="H1078" s="62"/>
      <c r="I1078" s="64"/>
      <c r="J1078" s="65" t="s">
        <v>66</v>
      </c>
      <c r="K1078" s="66">
        <f>K1074/$K$2*I1078</f>
        <v>0</v>
      </c>
      <c r="L1078" s="67"/>
      <c r="M1078" s="45"/>
      <c r="N1078" s="88"/>
      <c r="O1078" s="89" t="s">
        <v>53</v>
      </c>
      <c r="P1078" s="89"/>
      <c r="Q1078" s="89"/>
      <c r="R1078" s="89">
        <v>0</v>
      </c>
      <c r="S1078" s="93"/>
      <c r="T1078" s="89" t="s">
        <v>53</v>
      </c>
      <c r="U1078" s="162">
        <f>IF($J$1="May",Y1077,Y1077)</f>
        <v>0</v>
      </c>
      <c r="V1078" s="91"/>
      <c r="W1078" s="162">
        <f t="shared" si="204"/>
        <v>0</v>
      </c>
      <c r="X1078" s="91"/>
      <c r="Y1078" s="162">
        <f t="shared" si="205"/>
        <v>0</v>
      </c>
      <c r="Z1078" s="94"/>
      <c r="AA1078" s="45"/>
    </row>
    <row r="1079" spans="1:27" s="43" customFormat="1" ht="21" hidden="1" customHeight="1" x14ac:dyDescent="0.25">
      <c r="A1079" s="44"/>
      <c r="B1079" s="54"/>
      <c r="C1079" s="54"/>
      <c r="D1079" s="45"/>
      <c r="E1079" s="45"/>
      <c r="F1079" s="63" t="s">
        <v>23</v>
      </c>
      <c r="G1079" s="58">
        <f>IF($J$1="January",V1074,IF($J$1="February",V1075,IF($J$1="March",V1076,IF($J$1="April",V1077,IF($J$1="May",V1078,IF($J$1="June",V1079,IF($J$1="July",V1080,IF($J$1="August",V1081,IF($J$1="August",V1081,IF($J$1="September",V1082,IF($J$1="October",V1083,IF($J$1="November",V1084,IF($J$1="December",V1085)))))))))))))</f>
        <v>0</v>
      </c>
      <c r="H1079" s="62"/>
      <c r="I1079" s="108"/>
      <c r="J1079" s="65" t="s">
        <v>67</v>
      </c>
      <c r="K1079" s="68">
        <f>K1074/$K$2/8*I1079</f>
        <v>0</v>
      </c>
      <c r="L1079" s="69"/>
      <c r="M1079" s="45"/>
      <c r="N1079" s="88"/>
      <c r="O1079" s="89" t="s">
        <v>54</v>
      </c>
      <c r="P1079" s="89"/>
      <c r="Q1079" s="89"/>
      <c r="R1079" s="89" t="str">
        <f t="shared" si="203"/>
        <v/>
      </c>
      <c r="S1079" s="93"/>
      <c r="T1079" s="89" t="s">
        <v>54</v>
      </c>
      <c r="U1079" s="162">
        <f>IF($J$1="May",Y1078,Y1078)</f>
        <v>0</v>
      </c>
      <c r="V1079" s="91"/>
      <c r="W1079" s="162">
        <f t="shared" si="204"/>
        <v>0</v>
      </c>
      <c r="X1079" s="91"/>
      <c r="Y1079" s="162">
        <f t="shared" si="205"/>
        <v>0</v>
      </c>
      <c r="Z1079" s="94"/>
      <c r="AA1079" s="45"/>
    </row>
    <row r="1080" spans="1:27" s="43" customFormat="1" ht="21" hidden="1" customHeight="1" x14ac:dyDescent="0.25">
      <c r="A1080" s="44"/>
      <c r="B1080" s="63" t="s">
        <v>7</v>
      </c>
      <c r="C1080" s="54">
        <f>IF($J$1="January",P1074,IF($J$1="February",P1075,IF($J$1="March",P1076,IF($J$1="April",P1077,IF($J$1="May",P1078,IF($J$1="June",P1079,IF($J$1="July",P1080,IF($J$1="August",P1081,IF($J$1="August",P1081,IF($J$1="September",P1082,IF($J$1="October",P1083,IF($J$1="November",P1084,IF($J$1="December",P1085)))))))))))))</f>
        <v>0</v>
      </c>
      <c r="D1080" s="45"/>
      <c r="E1080" s="45"/>
      <c r="F1080" s="63" t="s">
        <v>70</v>
      </c>
      <c r="G1080" s="58" t="str">
        <f>IF($J$1="January",W1074,IF($J$1="February",W1075,IF($J$1="March",W1076,IF($J$1="April",W1077,IF($J$1="May",W1078,IF($J$1="June",W1079,IF($J$1="July",W1080,IF($J$1="August",W1081,IF($J$1="August",W1081,IF($J$1="September",W1082,IF($J$1="October",W1083,IF($J$1="November",W1084,IF($J$1="December",W1085)))))))))))))</f>
        <v/>
      </c>
      <c r="H1080" s="62"/>
      <c r="I1080" s="361" t="s">
        <v>74</v>
      </c>
      <c r="J1080" s="362"/>
      <c r="K1080" s="68">
        <f>K1078+K1079</f>
        <v>0</v>
      </c>
      <c r="L1080" s="69"/>
      <c r="M1080" s="45"/>
      <c r="N1080" s="88"/>
      <c r="O1080" s="89" t="s">
        <v>55</v>
      </c>
      <c r="P1080" s="89"/>
      <c r="Q1080" s="89"/>
      <c r="R1080" s="89">
        <v>0</v>
      </c>
      <c r="S1080" s="93"/>
      <c r="T1080" s="89" t="s">
        <v>55</v>
      </c>
      <c r="U1080" s="162" t="str">
        <f>IF($J$1="July",Y1079,"")</f>
        <v/>
      </c>
      <c r="V1080" s="91"/>
      <c r="W1080" s="162" t="str">
        <f t="shared" si="204"/>
        <v/>
      </c>
      <c r="X1080" s="91"/>
      <c r="Y1080" s="162" t="str">
        <f t="shared" si="205"/>
        <v/>
      </c>
      <c r="Z1080" s="94"/>
      <c r="AA1080" s="45"/>
    </row>
    <row r="1081" spans="1:27" s="43" customFormat="1" ht="21" hidden="1" customHeight="1" x14ac:dyDescent="0.25">
      <c r="A1081" s="44"/>
      <c r="B1081" s="63" t="s">
        <v>6</v>
      </c>
      <c r="C1081" s="54">
        <f>IF($J$1="January",Q1074,IF($J$1="February",Q1075,IF($J$1="March",Q1076,IF($J$1="April",Q1077,IF($J$1="May",Q1078,IF($J$1="June",Q1079,IF($J$1="July",Q1080,IF($J$1="August",Q1081,IF($J$1="August",Q1081,IF($J$1="September",Q1082,IF($J$1="October",Q1083,IF($J$1="November",Q1084,IF($J$1="December",Q1085)))))))))))))</f>
        <v>0</v>
      </c>
      <c r="D1081" s="45"/>
      <c r="E1081" s="45"/>
      <c r="F1081" s="63" t="s">
        <v>24</v>
      </c>
      <c r="G1081" s="58">
        <f>IF($J$1="January",X1074,IF($J$1="February",X1075,IF($J$1="March",X1076,IF($J$1="April",X1077,IF($J$1="May",X1078,IF($J$1="June",X1079,IF($J$1="July",X1080,IF($J$1="August",X1081,IF($J$1="August",X1081,IF($J$1="September",X1082,IF($J$1="October",X1083,IF($J$1="November",X1084,IF($J$1="December",X1085)))))))))))))</f>
        <v>0</v>
      </c>
      <c r="H1081" s="62"/>
      <c r="I1081" s="361" t="s">
        <v>75</v>
      </c>
      <c r="J1081" s="362"/>
      <c r="K1081" s="58">
        <f>G1081</f>
        <v>0</v>
      </c>
      <c r="L1081" s="70"/>
      <c r="M1081" s="45"/>
      <c r="N1081" s="88"/>
      <c r="O1081" s="89" t="s">
        <v>56</v>
      </c>
      <c r="P1081" s="89"/>
      <c r="Q1081" s="89"/>
      <c r="R1081" s="89">
        <v>0</v>
      </c>
      <c r="S1081" s="93"/>
      <c r="T1081" s="89" t="s">
        <v>56</v>
      </c>
      <c r="U1081" s="162" t="str">
        <f>IF($J$1="August",Y1080,"")</f>
        <v/>
      </c>
      <c r="V1081" s="91"/>
      <c r="W1081" s="162" t="str">
        <f t="shared" si="204"/>
        <v/>
      </c>
      <c r="X1081" s="91"/>
      <c r="Y1081" s="162" t="str">
        <f t="shared" si="205"/>
        <v/>
      </c>
      <c r="Z1081" s="94"/>
      <c r="AA1081" s="45"/>
    </row>
    <row r="1082" spans="1:27" s="43" customFormat="1" ht="21" hidden="1" customHeight="1" x14ac:dyDescent="0.25">
      <c r="A1082" s="44"/>
      <c r="B1082" s="71" t="s">
        <v>73</v>
      </c>
      <c r="C1082" s="54">
        <f>IF($J$1="January",R1074,IF($J$1="February",R1075,IF($J$1="March",R1076,IF($J$1="April",R1077,IF($J$1="May",R1078,IF($J$1="June",R1079,IF($J$1="July",R1080,IF($J$1="August",R1081,IF($J$1="August",R1081,IF($J$1="September",R1082,IF($J$1="October",R1083,IF($J$1="November",R1084,IF($J$1="December",R1085)))))))))))))</f>
        <v>0</v>
      </c>
      <c r="D1082" s="45"/>
      <c r="E1082" s="45"/>
      <c r="F1082" s="63" t="s">
        <v>72</v>
      </c>
      <c r="G1082" s="58" t="str">
        <f>IF($J$1="January",Y1074,IF($J$1="February",Y1075,IF($J$1="March",Y1076,IF($J$1="April",Y1077,IF($J$1="May",Y1078,IF($J$1="June",Y1079,IF($J$1="July",Y1080,IF($J$1="August",Y1081,IF($J$1="August",Y1081,IF($J$1="September",Y1082,IF($J$1="October",Y1083,IF($J$1="November",Y1084,IF($J$1="December",Y1085)))))))))))))</f>
        <v/>
      </c>
      <c r="H1082" s="45"/>
      <c r="I1082" s="363" t="s">
        <v>68</v>
      </c>
      <c r="J1082" s="364"/>
      <c r="K1082" s="72">
        <f>K1080-K1081</f>
        <v>0</v>
      </c>
      <c r="L1082" s="73"/>
      <c r="M1082" s="45"/>
      <c r="N1082" s="88"/>
      <c r="O1082" s="89" t="s">
        <v>61</v>
      </c>
      <c r="P1082" s="89"/>
      <c r="Q1082" s="89"/>
      <c r="R1082" s="89" t="str">
        <f t="shared" si="203"/>
        <v/>
      </c>
      <c r="S1082" s="93"/>
      <c r="T1082" s="89" t="s">
        <v>61</v>
      </c>
      <c r="U1082" s="162" t="str">
        <f>IF($J$1="May",Y1081,Y1081)</f>
        <v/>
      </c>
      <c r="V1082" s="91"/>
      <c r="W1082" s="162" t="str">
        <f t="shared" si="204"/>
        <v/>
      </c>
      <c r="X1082" s="91"/>
      <c r="Y1082" s="162" t="str">
        <f t="shared" si="205"/>
        <v/>
      </c>
      <c r="Z1082" s="94"/>
      <c r="AA1082" s="45"/>
    </row>
    <row r="1083" spans="1:27" s="43" customFormat="1" ht="21" hidden="1" customHeight="1" x14ac:dyDescent="0.25">
      <c r="A1083" s="44"/>
      <c r="B1083" s="45"/>
      <c r="C1083" s="45"/>
      <c r="D1083" s="45"/>
      <c r="E1083" s="45"/>
      <c r="F1083" s="45"/>
      <c r="G1083" s="45"/>
      <c r="H1083" s="45"/>
      <c r="I1083" s="45"/>
      <c r="J1083" s="45"/>
      <c r="K1083" s="45"/>
      <c r="L1083" s="61"/>
      <c r="M1083" s="45"/>
      <c r="N1083" s="88"/>
      <c r="O1083" s="89" t="s">
        <v>57</v>
      </c>
      <c r="P1083" s="89"/>
      <c r="Q1083" s="89"/>
      <c r="R1083" s="89">
        <v>0</v>
      </c>
      <c r="S1083" s="93"/>
      <c r="T1083" s="89" t="s">
        <v>57</v>
      </c>
      <c r="U1083" s="162" t="str">
        <f t="shared" ref="U1083:U1085" si="206">Y1082</f>
        <v/>
      </c>
      <c r="V1083" s="91"/>
      <c r="W1083" s="162" t="str">
        <f t="shared" si="204"/>
        <v/>
      </c>
      <c r="X1083" s="91"/>
      <c r="Y1083" s="162" t="str">
        <f t="shared" si="205"/>
        <v/>
      </c>
      <c r="Z1083" s="94"/>
      <c r="AA1083" s="45"/>
    </row>
    <row r="1084" spans="1:27" s="43" customFormat="1" ht="21" hidden="1" customHeight="1" x14ac:dyDescent="0.25">
      <c r="A1084" s="44"/>
      <c r="B1084" s="365" t="s">
        <v>103</v>
      </c>
      <c r="C1084" s="365"/>
      <c r="D1084" s="365"/>
      <c r="E1084" s="365"/>
      <c r="F1084" s="365"/>
      <c r="G1084" s="365"/>
      <c r="H1084" s="365"/>
      <c r="I1084" s="365"/>
      <c r="J1084" s="365"/>
      <c r="K1084" s="365"/>
      <c r="L1084" s="61"/>
      <c r="M1084" s="45"/>
      <c r="N1084" s="88"/>
      <c r="O1084" s="89" t="s">
        <v>62</v>
      </c>
      <c r="P1084" s="89"/>
      <c r="Q1084" s="89"/>
      <c r="R1084" s="89">
        <v>0</v>
      </c>
      <c r="S1084" s="93"/>
      <c r="T1084" s="89" t="s">
        <v>62</v>
      </c>
      <c r="U1084" s="162" t="str">
        <f t="shared" si="206"/>
        <v/>
      </c>
      <c r="V1084" s="91"/>
      <c r="W1084" s="162"/>
      <c r="X1084" s="91"/>
      <c r="Y1084" s="162" t="str">
        <f t="shared" si="205"/>
        <v/>
      </c>
      <c r="Z1084" s="94"/>
      <c r="AA1084" s="45"/>
    </row>
    <row r="1085" spans="1:27" s="43" customFormat="1" ht="21" hidden="1" customHeight="1" x14ac:dyDescent="0.25">
      <c r="A1085" s="44"/>
      <c r="B1085" s="365"/>
      <c r="C1085" s="365"/>
      <c r="D1085" s="365"/>
      <c r="E1085" s="365"/>
      <c r="F1085" s="365"/>
      <c r="G1085" s="365"/>
      <c r="H1085" s="365"/>
      <c r="I1085" s="365"/>
      <c r="J1085" s="365"/>
      <c r="K1085" s="365"/>
      <c r="L1085" s="61"/>
      <c r="M1085" s="45"/>
      <c r="N1085" s="88"/>
      <c r="O1085" s="89" t="s">
        <v>63</v>
      </c>
      <c r="P1085" s="89"/>
      <c r="Q1085" s="89"/>
      <c r="R1085" s="89">
        <v>0</v>
      </c>
      <c r="S1085" s="93"/>
      <c r="T1085" s="89" t="s">
        <v>63</v>
      </c>
      <c r="U1085" s="162" t="str">
        <f t="shared" si="206"/>
        <v/>
      </c>
      <c r="V1085" s="91"/>
      <c r="W1085" s="162" t="str">
        <f t="shared" si="204"/>
        <v/>
      </c>
      <c r="X1085" s="91"/>
      <c r="Y1085" s="162" t="str">
        <f t="shared" si="205"/>
        <v/>
      </c>
      <c r="Z1085" s="94"/>
      <c r="AA1085" s="45"/>
    </row>
    <row r="1086" spans="1:27" s="43" customFormat="1" ht="21" hidden="1" customHeight="1" thickBot="1" x14ac:dyDescent="0.3">
      <c r="A1086" s="74"/>
      <c r="B1086" s="75"/>
      <c r="C1086" s="75"/>
      <c r="D1086" s="75"/>
      <c r="E1086" s="75"/>
      <c r="F1086" s="75"/>
      <c r="G1086" s="75"/>
      <c r="H1086" s="75"/>
      <c r="I1086" s="75"/>
      <c r="J1086" s="75"/>
      <c r="K1086" s="75"/>
      <c r="L1086" s="76"/>
      <c r="N1086" s="95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7"/>
    </row>
    <row r="1087" spans="1:27" s="45" customFormat="1" ht="21" hidden="1" customHeight="1" thickBot="1" x14ac:dyDescent="0.3">
      <c r="N1087" s="93"/>
      <c r="O1087" s="93"/>
      <c r="P1087" s="93"/>
      <c r="Q1087" s="93"/>
      <c r="R1087" s="93"/>
      <c r="S1087" s="93"/>
      <c r="T1087" s="93"/>
      <c r="U1087" s="93"/>
      <c r="V1087" s="93"/>
      <c r="W1087" s="93"/>
      <c r="X1087" s="93"/>
      <c r="Y1087" s="93"/>
      <c r="Z1087" s="93"/>
    </row>
    <row r="1088" spans="1:27" s="43" customFormat="1" ht="21" hidden="1" customHeight="1" x14ac:dyDescent="0.25">
      <c r="A1088" s="383" t="s">
        <v>45</v>
      </c>
      <c r="B1088" s="384"/>
      <c r="C1088" s="384"/>
      <c r="D1088" s="384"/>
      <c r="E1088" s="384"/>
      <c r="F1088" s="384"/>
      <c r="G1088" s="384"/>
      <c r="H1088" s="384"/>
      <c r="I1088" s="384"/>
      <c r="J1088" s="384"/>
      <c r="K1088" s="384"/>
      <c r="L1088" s="385"/>
      <c r="M1088" s="42"/>
      <c r="N1088" s="81"/>
      <c r="O1088" s="372" t="s">
        <v>47</v>
      </c>
      <c r="P1088" s="373"/>
      <c r="Q1088" s="373"/>
      <c r="R1088" s="374"/>
      <c r="S1088" s="82"/>
      <c r="T1088" s="372" t="s">
        <v>48</v>
      </c>
      <c r="U1088" s="373"/>
      <c r="V1088" s="373"/>
      <c r="W1088" s="373"/>
      <c r="X1088" s="373"/>
      <c r="Y1088" s="374"/>
      <c r="Z1088" s="83"/>
      <c r="AA1088" s="42"/>
    </row>
    <row r="1089" spans="1:27" s="43" customFormat="1" ht="21" hidden="1" customHeight="1" x14ac:dyDescent="0.25">
      <c r="A1089" s="44"/>
      <c r="B1089" s="45"/>
      <c r="C1089" s="375" t="s">
        <v>101</v>
      </c>
      <c r="D1089" s="375"/>
      <c r="E1089" s="375"/>
      <c r="F1089" s="375"/>
      <c r="G1089" s="46" t="str">
        <f>$J$1</f>
        <v>October</v>
      </c>
      <c r="H1089" s="376">
        <f>$K$1</f>
        <v>2020</v>
      </c>
      <c r="I1089" s="376"/>
      <c r="J1089" s="45"/>
      <c r="K1089" s="47"/>
      <c r="L1089" s="48"/>
      <c r="M1089" s="47"/>
      <c r="N1089" s="84"/>
      <c r="O1089" s="85" t="s">
        <v>58</v>
      </c>
      <c r="P1089" s="85" t="s">
        <v>7</v>
      </c>
      <c r="Q1089" s="85" t="s">
        <v>6</v>
      </c>
      <c r="R1089" s="85" t="s">
        <v>59</v>
      </c>
      <c r="S1089" s="86"/>
      <c r="T1089" s="85" t="s">
        <v>58</v>
      </c>
      <c r="U1089" s="85" t="s">
        <v>60</v>
      </c>
      <c r="V1089" s="85" t="s">
        <v>23</v>
      </c>
      <c r="W1089" s="85" t="s">
        <v>22</v>
      </c>
      <c r="X1089" s="85" t="s">
        <v>24</v>
      </c>
      <c r="Y1089" s="85" t="s">
        <v>64</v>
      </c>
      <c r="Z1089" s="87"/>
      <c r="AA1089" s="47"/>
    </row>
    <row r="1090" spans="1:27" s="43" customFormat="1" ht="21" hidden="1" customHeight="1" x14ac:dyDescent="0.25">
      <c r="A1090" s="44"/>
      <c r="B1090" s="45"/>
      <c r="C1090" s="45"/>
      <c r="D1090" s="50"/>
      <c r="E1090" s="50"/>
      <c r="F1090" s="50"/>
      <c r="G1090" s="50"/>
      <c r="H1090" s="50"/>
      <c r="I1090" s="45"/>
      <c r="J1090" s="51" t="s">
        <v>1</v>
      </c>
      <c r="K1090" s="52"/>
      <c r="L1090" s="53"/>
      <c r="M1090" s="45"/>
      <c r="N1090" s="88"/>
      <c r="O1090" s="89" t="s">
        <v>50</v>
      </c>
      <c r="P1090" s="89"/>
      <c r="Q1090" s="89"/>
      <c r="R1090" s="89"/>
      <c r="S1090" s="90"/>
      <c r="T1090" s="89" t="s">
        <v>50</v>
      </c>
      <c r="U1090" s="91"/>
      <c r="V1090" s="91"/>
      <c r="W1090" s="91">
        <f>V1090+U1090</f>
        <v>0</v>
      </c>
      <c r="X1090" s="91"/>
      <c r="Y1090" s="91">
        <f>W1090-X1090</f>
        <v>0</v>
      </c>
      <c r="Z1090" s="87"/>
      <c r="AA1090" s="45"/>
    </row>
    <row r="1091" spans="1:27" s="43" customFormat="1" ht="21" hidden="1" customHeight="1" x14ac:dyDescent="0.25">
      <c r="A1091" s="44"/>
      <c r="B1091" s="45" t="s">
        <v>0</v>
      </c>
      <c r="C1091" s="55"/>
      <c r="D1091" s="45"/>
      <c r="E1091" s="45"/>
      <c r="F1091" s="45"/>
      <c r="G1091" s="45"/>
      <c r="H1091" s="56"/>
      <c r="I1091" s="50"/>
      <c r="J1091" s="45"/>
      <c r="K1091" s="45"/>
      <c r="L1091" s="57"/>
      <c r="M1091" s="42"/>
      <c r="N1091" s="92"/>
      <c r="O1091" s="89" t="s">
        <v>76</v>
      </c>
      <c r="P1091" s="89"/>
      <c r="Q1091" s="89"/>
      <c r="R1091" s="89" t="str">
        <f>IF(Q1091="","",R1090-Q1091)</f>
        <v/>
      </c>
      <c r="S1091" s="93"/>
      <c r="T1091" s="89" t="s">
        <v>76</v>
      </c>
      <c r="U1091" s="162">
        <f>Y1090</f>
        <v>0</v>
      </c>
      <c r="V1091" s="91"/>
      <c r="W1091" s="162">
        <f>IF(U1091="","",U1091+V1091)</f>
        <v>0</v>
      </c>
      <c r="X1091" s="91"/>
      <c r="Y1091" s="162">
        <f>IF(W1091="","",W1091-X1091)</f>
        <v>0</v>
      </c>
      <c r="Z1091" s="94"/>
      <c r="AA1091" s="42"/>
    </row>
    <row r="1092" spans="1:27" s="43" customFormat="1" ht="21" hidden="1" customHeight="1" x14ac:dyDescent="0.25">
      <c r="A1092" s="44"/>
      <c r="B1092" s="59" t="s">
        <v>46</v>
      </c>
      <c r="C1092" s="60"/>
      <c r="D1092" s="45"/>
      <c r="E1092" s="45"/>
      <c r="F1092" s="366" t="s">
        <v>48</v>
      </c>
      <c r="G1092" s="366"/>
      <c r="H1092" s="45"/>
      <c r="I1092" s="366" t="s">
        <v>49</v>
      </c>
      <c r="J1092" s="366"/>
      <c r="K1092" s="366"/>
      <c r="L1092" s="61"/>
      <c r="M1092" s="45"/>
      <c r="N1092" s="88"/>
      <c r="O1092" s="89" t="s">
        <v>51</v>
      </c>
      <c r="P1092" s="89"/>
      <c r="Q1092" s="89"/>
      <c r="R1092" s="89" t="str">
        <f t="shared" ref="R1092:R1101" si="207">IF(Q1092="","",R1091-Q1092)</f>
        <v/>
      </c>
      <c r="S1092" s="93"/>
      <c r="T1092" s="89" t="s">
        <v>51</v>
      </c>
      <c r="U1092" s="162">
        <f>IF($J$1="April",Y1091,Y1091)</f>
        <v>0</v>
      </c>
      <c r="V1092" s="91"/>
      <c r="W1092" s="162">
        <f t="shared" ref="W1092:W1101" si="208">IF(U1092="","",U1092+V1092)</f>
        <v>0</v>
      </c>
      <c r="X1092" s="91"/>
      <c r="Y1092" s="162">
        <f t="shared" ref="Y1092:Y1101" si="209">IF(W1092="","",W1092-X1092)</f>
        <v>0</v>
      </c>
      <c r="Z1092" s="94"/>
      <c r="AA1092" s="45"/>
    </row>
    <row r="1093" spans="1:27" s="43" customFormat="1" ht="21" hidden="1" customHeight="1" x14ac:dyDescent="0.25">
      <c r="A1093" s="44"/>
      <c r="B1093" s="45"/>
      <c r="C1093" s="45"/>
      <c r="D1093" s="45"/>
      <c r="E1093" s="45"/>
      <c r="F1093" s="45"/>
      <c r="G1093" s="45"/>
      <c r="H1093" s="62"/>
      <c r="L1093" s="49"/>
      <c r="M1093" s="45"/>
      <c r="N1093" s="88"/>
      <c r="O1093" s="89" t="s">
        <v>52</v>
      </c>
      <c r="P1093" s="89"/>
      <c r="Q1093" s="89"/>
      <c r="R1093" s="89" t="str">
        <f t="shared" si="207"/>
        <v/>
      </c>
      <c r="S1093" s="93"/>
      <c r="T1093" s="89" t="s">
        <v>52</v>
      </c>
      <c r="U1093" s="162">
        <f>IF($J$1="April",Y1092,Y1092)</f>
        <v>0</v>
      </c>
      <c r="V1093" s="91"/>
      <c r="W1093" s="162">
        <f t="shared" si="208"/>
        <v>0</v>
      </c>
      <c r="X1093" s="91"/>
      <c r="Y1093" s="162">
        <f t="shared" si="209"/>
        <v>0</v>
      </c>
      <c r="Z1093" s="94"/>
      <c r="AA1093" s="45"/>
    </row>
    <row r="1094" spans="1:27" s="43" customFormat="1" ht="21" hidden="1" customHeight="1" x14ac:dyDescent="0.25">
      <c r="A1094" s="44"/>
      <c r="B1094" s="367" t="s">
        <v>47</v>
      </c>
      <c r="C1094" s="368"/>
      <c r="D1094" s="45"/>
      <c r="E1094" s="45"/>
      <c r="F1094" s="63" t="s">
        <v>69</v>
      </c>
      <c r="G1094" s="58" t="str">
        <f>IF($J$1="January",U1090,IF($J$1="February",U1091,IF($J$1="March",U1092,IF($J$1="April",U1093,IF($J$1="May",U1094,IF($J$1="June",U1095,IF($J$1="July",U1096,IF($J$1="August",U1097,IF($J$1="August",U1097,IF($J$1="September",U1098,IF($J$1="October",U1099,IF($J$1="November",U1100,IF($J$1="December",U1101)))))))))))))</f>
        <v/>
      </c>
      <c r="H1094" s="62"/>
      <c r="I1094" s="64"/>
      <c r="J1094" s="65" t="s">
        <v>66</v>
      </c>
      <c r="K1094" s="66">
        <f>K1090/$K$2*I1094</f>
        <v>0</v>
      </c>
      <c r="L1094" s="67"/>
      <c r="M1094" s="45"/>
      <c r="N1094" s="88"/>
      <c r="O1094" s="89" t="s">
        <v>53</v>
      </c>
      <c r="P1094" s="89"/>
      <c r="Q1094" s="89"/>
      <c r="R1094" s="89" t="str">
        <f t="shared" si="207"/>
        <v/>
      </c>
      <c r="S1094" s="93"/>
      <c r="T1094" s="89" t="s">
        <v>53</v>
      </c>
      <c r="U1094" s="162">
        <f>IF($J$1="May",Y1093,Y1093)</f>
        <v>0</v>
      </c>
      <c r="V1094" s="91"/>
      <c r="W1094" s="162">
        <f t="shared" si="208"/>
        <v>0</v>
      </c>
      <c r="X1094" s="91"/>
      <c r="Y1094" s="162">
        <f t="shared" si="209"/>
        <v>0</v>
      </c>
      <c r="Z1094" s="94"/>
      <c r="AA1094" s="45"/>
    </row>
    <row r="1095" spans="1:27" s="43" customFormat="1" ht="21" hidden="1" customHeight="1" x14ac:dyDescent="0.25">
      <c r="A1095" s="44"/>
      <c r="B1095" s="54"/>
      <c r="C1095" s="54"/>
      <c r="D1095" s="45"/>
      <c r="E1095" s="45"/>
      <c r="F1095" s="63" t="s">
        <v>23</v>
      </c>
      <c r="G1095" s="58">
        <f>IF($J$1="January",V1090,IF($J$1="February",V1091,IF($J$1="March",V1092,IF($J$1="April",V1093,IF($J$1="May",V1094,IF($J$1="June",V1095,IF($J$1="July",V1096,IF($J$1="August",V1097,IF($J$1="August",V1097,IF($J$1="September",V1098,IF($J$1="October",V1099,IF($J$1="November",V1100,IF($J$1="December",V1101)))))))))))))</f>
        <v>0</v>
      </c>
      <c r="H1095" s="62"/>
      <c r="I1095" s="108"/>
      <c r="J1095" s="65" t="s">
        <v>67</v>
      </c>
      <c r="K1095" s="68">
        <f>K1090/$K$2/8*I1095</f>
        <v>0</v>
      </c>
      <c r="L1095" s="69"/>
      <c r="M1095" s="45"/>
      <c r="N1095" s="88"/>
      <c r="O1095" s="89" t="s">
        <v>54</v>
      </c>
      <c r="P1095" s="89"/>
      <c r="Q1095" s="89"/>
      <c r="R1095" s="89" t="str">
        <f t="shared" si="207"/>
        <v/>
      </c>
      <c r="S1095" s="93"/>
      <c r="T1095" s="89" t="s">
        <v>54</v>
      </c>
      <c r="U1095" s="162">
        <f>IF($J$1="May",Y1094,Y1094)</f>
        <v>0</v>
      </c>
      <c r="V1095" s="91"/>
      <c r="W1095" s="162">
        <f t="shared" si="208"/>
        <v>0</v>
      </c>
      <c r="X1095" s="91"/>
      <c r="Y1095" s="162">
        <f t="shared" si="209"/>
        <v>0</v>
      </c>
      <c r="Z1095" s="94"/>
      <c r="AA1095" s="45"/>
    </row>
    <row r="1096" spans="1:27" s="43" customFormat="1" ht="21" hidden="1" customHeight="1" x14ac:dyDescent="0.25">
      <c r="A1096" s="44"/>
      <c r="B1096" s="63" t="s">
        <v>7</v>
      </c>
      <c r="C1096" s="54">
        <f>IF($J$1="January",P1090,IF($J$1="February",P1091,IF($J$1="March",P1092,IF($J$1="April",P1093,IF($J$1="May",P1094,IF($J$1="June",P1095,IF($J$1="July",P1096,IF($J$1="August",P1097,IF($J$1="August",P1097,IF($J$1="September",P1098,IF($J$1="October",P1099,IF($J$1="November",P1100,IF($J$1="December",P1101)))))))))))))</f>
        <v>0</v>
      </c>
      <c r="D1096" s="45"/>
      <c r="E1096" s="45"/>
      <c r="F1096" s="63" t="s">
        <v>70</v>
      </c>
      <c r="G1096" s="58" t="str">
        <f>IF($J$1="January",W1090,IF($J$1="February",W1091,IF($J$1="March",W1092,IF($J$1="April",W1093,IF($J$1="May",W1094,IF($J$1="June",W1095,IF($J$1="July",W1096,IF($J$1="August",W1097,IF($J$1="August",W1097,IF($J$1="September",W1098,IF($J$1="October",W1099,IF($J$1="November",W1100,IF($J$1="December",W1101)))))))))))))</f>
        <v/>
      </c>
      <c r="H1096" s="62"/>
      <c r="I1096" s="361" t="s">
        <v>74</v>
      </c>
      <c r="J1096" s="362"/>
      <c r="K1096" s="68">
        <f>K1094+K1095</f>
        <v>0</v>
      </c>
      <c r="L1096" s="69"/>
      <c r="M1096" s="45"/>
      <c r="N1096" s="88"/>
      <c r="O1096" s="89" t="s">
        <v>55</v>
      </c>
      <c r="P1096" s="89"/>
      <c r="Q1096" s="89"/>
      <c r="R1096" s="89" t="str">
        <f t="shared" si="207"/>
        <v/>
      </c>
      <c r="S1096" s="93"/>
      <c r="T1096" s="89" t="s">
        <v>55</v>
      </c>
      <c r="U1096" s="162" t="str">
        <f>IF($J$1="July",Y1095,"")</f>
        <v/>
      </c>
      <c r="V1096" s="91"/>
      <c r="W1096" s="162" t="str">
        <f t="shared" si="208"/>
        <v/>
      </c>
      <c r="X1096" s="91"/>
      <c r="Y1096" s="162" t="str">
        <f t="shared" si="209"/>
        <v/>
      </c>
      <c r="Z1096" s="94"/>
      <c r="AA1096" s="45"/>
    </row>
    <row r="1097" spans="1:27" s="43" customFormat="1" ht="21" hidden="1" customHeight="1" x14ac:dyDescent="0.25">
      <c r="A1097" s="44"/>
      <c r="B1097" s="63" t="s">
        <v>6</v>
      </c>
      <c r="C1097" s="54">
        <f>IF($J$1="January",Q1090,IF($J$1="February",Q1091,IF($J$1="March",Q1092,IF($J$1="April",Q1093,IF($J$1="May",Q1094,IF($J$1="June",Q1095,IF($J$1="July",Q1096,IF($J$1="August",Q1097,IF($J$1="August",Q1097,IF($J$1="September",Q1098,IF($J$1="October",Q1099,IF($J$1="November",Q1100,IF($J$1="December",Q1101)))))))))))))</f>
        <v>0</v>
      </c>
      <c r="D1097" s="45"/>
      <c r="E1097" s="45"/>
      <c r="F1097" s="63" t="s">
        <v>24</v>
      </c>
      <c r="G1097" s="58">
        <f>IF($J$1="January",X1090,IF($J$1="February",X1091,IF($J$1="March",X1092,IF($J$1="April",X1093,IF($J$1="May",X1094,IF($J$1="June",X1095,IF($J$1="July",X1096,IF($J$1="August",X1097,IF($J$1="August",X1097,IF($J$1="September",X1098,IF($J$1="October",X1099,IF($J$1="November",X1100,IF($J$1="December",X1101)))))))))))))</f>
        <v>0</v>
      </c>
      <c r="H1097" s="62"/>
      <c r="I1097" s="361" t="s">
        <v>75</v>
      </c>
      <c r="J1097" s="362"/>
      <c r="K1097" s="58">
        <f>G1097</f>
        <v>0</v>
      </c>
      <c r="L1097" s="70"/>
      <c r="M1097" s="45"/>
      <c r="N1097" s="88"/>
      <c r="O1097" s="89" t="s">
        <v>56</v>
      </c>
      <c r="P1097" s="89"/>
      <c r="Q1097" s="89"/>
      <c r="R1097" s="89" t="str">
        <f t="shared" si="207"/>
        <v/>
      </c>
      <c r="S1097" s="93"/>
      <c r="T1097" s="89" t="s">
        <v>56</v>
      </c>
      <c r="U1097" s="162" t="str">
        <f>IF($J$1="August",Y1096,"")</f>
        <v/>
      </c>
      <c r="V1097" s="91"/>
      <c r="W1097" s="162" t="str">
        <f t="shared" si="208"/>
        <v/>
      </c>
      <c r="X1097" s="91"/>
      <c r="Y1097" s="162" t="str">
        <f t="shared" si="209"/>
        <v/>
      </c>
      <c r="Z1097" s="94"/>
      <c r="AA1097" s="45"/>
    </row>
    <row r="1098" spans="1:27" s="43" customFormat="1" ht="21" hidden="1" customHeight="1" x14ac:dyDescent="0.25">
      <c r="A1098" s="44"/>
      <c r="B1098" s="71" t="s">
        <v>73</v>
      </c>
      <c r="C1098" s="54" t="str">
        <f>IF($J$1="January",R1090,IF($J$1="February",R1091,IF($J$1="March",R1092,IF($J$1="April",R1093,IF($J$1="May",R1094,IF($J$1="June",R1095,IF($J$1="July",R1096,IF($J$1="August",R1097,IF($J$1="August",R1097,IF($J$1="September",R1098,IF($J$1="October",R1099,IF($J$1="November",R1100,IF($J$1="December",R1101)))))))))))))</f>
        <v/>
      </c>
      <c r="D1098" s="45"/>
      <c r="E1098" s="45"/>
      <c r="F1098" s="63" t="s">
        <v>72</v>
      </c>
      <c r="G1098" s="58" t="str">
        <f>IF($J$1="January",Y1090,IF($J$1="February",Y1091,IF($J$1="March",Y1092,IF($J$1="April",Y1093,IF($J$1="May",Y1094,IF($J$1="June",Y1095,IF($J$1="July",Y1096,IF($J$1="August",Y1097,IF($J$1="August",Y1097,IF($J$1="September",Y1098,IF($J$1="October",Y1099,IF($J$1="November",Y1100,IF($J$1="December",Y1101)))))))))))))</f>
        <v/>
      </c>
      <c r="H1098" s="45"/>
      <c r="I1098" s="363" t="s">
        <v>68</v>
      </c>
      <c r="J1098" s="364"/>
      <c r="K1098" s="72">
        <f>K1096-K1097</f>
        <v>0</v>
      </c>
      <c r="L1098" s="73"/>
      <c r="M1098" s="45"/>
      <c r="N1098" s="88"/>
      <c r="O1098" s="89" t="s">
        <v>61</v>
      </c>
      <c r="P1098" s="89"/>
      <c r="Q1098" s="89"/>
      <c r="R1098" s="89" t="str">
        <f t="shared" si="207"/>
        <v/>
      </c>
      <c r="S1098" s="93"/>
      <c r="T1098" s="89" t="s">
        <v>61</v>
      </c>
      <c r="U1098" s="162" t="str">
        <f>IF($J$1="Sept",Y1097,"")</f>
        <v/>
      </c>
      <c r="V1098" s="91"/>
      <c r="W1098" s="162" t="str">
        <f t="shared" si="208"/>
        <v/>
      </c>
      <c r="X1098" s="91"/>
      <c r="Y1098" s="162" t="str">
        <f t="shared" si="209"/>
        <v/>
      </c>
      <c r="Z1098" s="94"/>
      <c r="AA1098" s="45"/>
    </row>
    <row r="1099" spans="1:27" s="43" customFormat="1" ht="21" hidden="1" customHeight="1" x14ac:dyDescent="0.25">
      <c r="A1099" s="44"/>
      <c r="B1099" s="45"/>
      <c r="C1099" s="45"/>
      <c r="D1099" s="45"/>
      <c r="E1099" s="45"/>
      <c r="F1099" s="45"/>
      <c r="G1099" s="45"/>
      <c r="H1099" s="45"/>
      <c r="I1099" s="45"/>
      <c r="J1099" s="45"/>
      <c r="K1099" s="45"/>
      <c r="L1099" s="61"/>
      <c r="M1099" s="45"/>
      <c r="N1099" s="88"/>
      <c r="O1099" s="89" t="s">
        <v>57</v>
      </c>
      <c r="P1099" s="89"/>
      <c r="Q1099" s="89"/>
      <c r="R1099" s="89" t="str">
        <f t="shared" si="207"/>
        <v/>
      </c>
      <c r="S1099" s="93"/>
      <c r="T1099" s="89" t="s">
        <v>57</v>
      </c>
      <c r="U1099" s="162" t="str">
        <f>IF($J$1="October",Y1098,"")</f>
        <v/>
      </c>
      <c r="V1099" s="91"/>
      <c r="W1099" s="162" t="str">
        <f t="shared" si="208"/>
        <v/>
      </c>
      <c r="X1099" s="91"/>
      <c r="Y1099" s="162" t="str">
        <f t="shared" si="209"/>
        <v/>
      </c>
      <c r="Z1099" s="94"/>
      <c r="AA1099" s="45"/>
    </row>
    <row r="1100" spans="1:27" s="43" customFormat="1" ht="21" hidden="1" customHeight="1" x14ac:dyDescent="0.25">
      <c r="A1100" s="44"/>
      <c r="B1100" s="365" t="s">
        <v>103</v>
      </c>
      <c r="C1100" s="365"/>
      <c r="D1100" s="365"/>
      <c r="E1100" s="365"/>
      <c r="F1100" s="365"/>
      <c r="G1100" s="365"/>
      <c r="H1100" s="365"/>
      <c r="I1100" s="365"/>
      <c r="J1100" s="365"/>
      <c r="K1100" s="365"/>
      <c r="L1100" s="61"/>
      <c r="M1100" s="45"/>
      <c r="N1100" s="88"/>
      <c r="O1100" s="89" t="s">
        <v>62</v>
      </c>
      <c r="P1100" s="89"/>
      <c r="Q1100" s="89"/>
      <c r="R1100" s="89" t="str">
        <f t="shared" si="207"/>
        <v/>
      </c>
      <c r="S1100" s="93"/>
      <c r="T1100" s="89" t="s">
        <v>62</v>
      </c>
      <c r="U1100" s="162" t="str">
        <f>IF($J$1="November",Y1099,"")</f>
        <v/>
      </c>
      <c r="V1100" s="91"/>
      <c r="W1100" s="162" t="str">
        <f t="shared" si="208"/>
        <v/>
      </c>
      <c r="X1100" s="91"/>
      <c r="Y1100" s="162" t="str">
        <f t="shared" si="209"/>
        <v/>
      </c>
      <c r="Z1100" s="94"/>
      <c r="AA1100" s="45"/>
    </row>
    <row r="1101" spans="1:27" s="43" customFormat="1" ht="21" hidden="1" customHeight="1" x14ac:dyDescent="0.25">
      <c r="A1101" s="44"/>
      <c r="B1101" s="365"/>
      <c r="C1101" s="365"/>
      <c r="D1101" s="365"/>
      <c r="E1101" s="365"/>
      <c r="F1101" s="365"/>
      <c r="G1101" s="365"/>
      <c r="H1101" s="365"/>
      <c r="I1101" s="365"/>
      <c r="J1101" s="365"/>
      <c r="K1101" s="365"/>
      <c r="L1101" s="61"/>
      <c r="M1101" s="45"/>
      <c r="N1101" s="88"/>
      <c r="O1101" s="89" t="s">
        <v>63</v>
      </c>
      <c r="P1101" s="89"/>
      <c r="Q1101" s="89"/>
      <c r="R1101" s="89" t="str">
        <f t="shared" si="207"/>
        <v/>
      </c>
      <c r="S1101" s="93"/>
      <c r="T1101" s="89" t="s">
        <v>63</v>
      </c>
      <c r="U1101" s="162" t="str">
        <f>IF($J$1="Dec",Y1100,"")</f>
        <v/>
      </c>
      <c r="V1101" s="91"/>
      <c r="W1101" s="162" t="str">
        <f t="shared" si="208"/>
        <v/>
      </c>
      <c r="X1101" s="91"/>
      <c r="Y1101" s="162" t="str">
        <f t="shared" si="209"/>
        <v/>
      </c>
      <c r="Z1101" s="94"/>
      <c r="AA1101" s="45"/>
    </row>
    <row r="1102" spans="1:27" s="43" customFormat="1" ht="21" hidden="1" customHeight="1" thickBot="1" x14ac:dyDescent="0.3">
      <c r="A1102" s="74"/>
      <c r="B1102" s="75"/>
      <c r="C1102" s="75"/>
      <c r="D1102" s="75"/>
      <c r="E1102" s="75"/>
      <c r="F1102" s="75"/>
      <c r="G1102" s="75"/>
      <c r="H1102" s="75"/>
      <c r="I1102" s="75"/>
      <c r="J1102" s="75"/>
      <c r="K1102" s="75"/>
      <c r="L1102" s="76"/>
      <c r="N1102" s="95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7"/>
    </row>
    <row r="1103" spans="1:27" s="45" customFormat="1" ht="21" hidden="1" customHeight="1" thickBot="1" x14ac:dyDescent="0.3">
      <c r="N1103" s="93"/>
      <c r="O1103" s="93"/>
      <c r="P1103" s="93"/>
      <c r="Q1103" s="93"/>
      <c r="R1103" s="93"/>
      <c r="S1103" s="93"/>
      <c r="T1103" s="93"/>
      <c r="U1103" s="93"/>
      <c r="V1103" s="93"/>
      <c r="W1103" s="93"/>
      <c r="X1103" s="93"/>
      <c r="Y1103" s="93"/>
      <c r="Z1103" s="93"/>
    </row>
    <row r="1104" spans="1:27" s="43" customFormat="1" ht="21" hidden="1" customHeight="1" x14ac:dyDescent="0.25">
      <c r="A1104" s="410" t="s">
        <v>45</v>
      </c>
      <c r="B1104" s="411"/>
      <c r="C1104" s="411"/>
      <c r="D1104" s="411"/>
      <c r="E1104" s="411"/>
      <c r="F1104" s="411"/>
      <c r="G1104" s="411"/>
      <c r="H1104" s="411"/>
      <c r="I1104" s="411"/>
      <c r="J1104" s="411"/>
      <c r="K1104" s="411"/>
      <c r="L1104" s="412"/>
      <c r="M1104" s="42"/>
      <c r="N1104" s="81"/>
      <c r="O1104" s="372" t="s">
        <v>47</v>
      </c>
      <c r="P1104" s="373"/>
      <c r="Q1104" s="373"/>
      <c r="R1104" s="374"/>
      <c r="S1104" s="82"/>
      <c r="T1104" s="372" t="s">
        <v>48</v>
      </c>
      <c r="U1104" s="373"/>
      <c r="V1104" s="373"/>
      <c r="W1104" s="373"/>
      <c r="X1104" s="373"/>
      <c r="Y1104" s="374"/>
      <c r="Z1104" s="83"/>
      <c r="AA1104" s="42"/>
    </row>
    <row r="1105" spans="1:27" s="43" customFormat="1" ht="21" hidden="1" customHeight="1" x14ac:dyDescent="0.25">
      <c r="A1105" s="44"/>
      <c r="B1105" s="45"/>
      <c r="C1105" s="375" t="s">
        <v>101</v>
      </c>
      <c r="D1105" s="375"/>
      <c r="E1105" s="375"/>
      <c r="F1105" s="375"/>
      <c r="G1105" s="46" t="str">
        <f>$J$1</f>
        <v>October</v>
      </c>
      <c r="H1105" s="376">
        <f>$K$1</f>
        <v>2020</v>
      </c>
      <c r="I1105" s="376"/>
      <c r="J1105" s="45"/>
      <c r="K1105" s="47"/>
      <c r="L1105" s="48"/>
      <c r="M1105" s="47"/>
      <c r="N1105" s="84"/>
      <c r="O1105" s="85" t="s">
        <v>58</v>
      </c>
      <c r="P1105" s="85" t="s">
        <v>7</v>
      </c>
      <c r="Q1105" s="85" t="s">
        <v>6</v>
      </c>
      <c r="R1105" s="85" t="s">
        <v>59</v>
      </c>
      <c r="S1105" s="86"/>
      <c r="T1105" s="85" t="s">
        <v>58</v>
      </c>
      <c r="U1105" s="85" t="s">
        <v>60</v>
      </c>
      <c r="V1105" s="85" t="s">
        <v>23</v>
      </c>
      <c r="W1105" s="85" t="s">
        <v>22</v>
      </c>
      <c r="X1105" s="85" t="s">
        <v>24</v>
      </c>
      <c r="Y1105" s="85" t="s">
        <v>64</v>
      </c>
      <c r="Z1105" s="87"/>
      <c r="AA1105" s="47"/>
    </row>
    <row r="1106" spans="1:27" s="43" customFormat="1" ht="21" hidden="1" customHeight="1" x14ac:dyDescent="0.25">
      <c r="A1106" s="44"/>
      <c r="B1106" s="45"/>
      <c r="C1106" s="45"/>
      <c r="D1106" s="50"/>
      <c r="E1106" s="50"/>
      <c r="F1106" s="50"/>
      <c r="G1106" s="50"/>
      <c r="H1106" s="50"/>
      <c r="I1106" s="45"/>
      <c r="J1106" s="51" t="s">
        <v>1</v>
      </c>
      <c r="K1106" s="52">
        <v>800</v>
      </c>
      <c r="L1106" s="53"/>
      <c r="M1106" s="45"/>
      <c r="N1106" s="88"/>
      <c r="O1106" s="89" t="s">
        <v>50</v>
      </c>
      <c r="P1106" s="89"/>
      <c r="Q1106" s="89"/>
      <c r="R1106" s="89">
        <v>0</v>
      </c>
      <c r="S1106" s="90"/>
      <c r="T1106" s="89" t="s">
        <v>50</v>
      </c>
      <c r="U1106" s="91"/>
      <c r="V1106" s="91"/>
      <c r="W1106" s="91">
        <f>V1106+U1106</f>
        <v>0</v>
      </c>
      <c r="X1106" s="91"/>
      <c r="Y1106" s="91">
        <f>W1106-X1106</f>
        <v>0</v>
      </c>
      <c r="Z1106" s="87"/>
      <c r="AA1106" s="45"/>
    </row>
    <row r="1107" spans="1:27" s="43" customFormat="1" ht="21" hidden="1" customHeight="1" x14ac:dyDescent="0.25">
      <c r="A1107" s="44"/>
      <c r="B1107" s="45" t="s">
        <v>0</v>
      </c>
      <c r="C1107" s="55"/>
      <c r="D1107" s="45"/>
      <c r="E1107" s="45"/>
      <c r="F1107" s="45"/>
      <c r="G1107" s="45"/>
      <c r="H1107" s="56"/>
      <c r="I1107" s="50"/>
      <c r="J1107" s="45"/>
      <c r="K1107" s="45"/>
      <c r="L1107" s="57"/>
      <c r="M1107" s="42"/>
      <c r="N1107" s="92"/>
      <c r="O1107" s="89" t="s">
        <v>76</v>
      </c>
      <c r="P1107" s="89"/>
      <c r="Q1107" s="89"/>
      <c r="R1107" s="89" t="str">
        <f>IF(Q1107="","",R1106-Q1107)</f>
        <v/>
      </c>
      <c r="S1107" s="93"/>
      <c r="T1107" s="89" t="s">
        <v>76</v>
      </c>
      <c r="U1107" s="162"/>
      <c r="V1107" s="91"/>
      <c r="W1107" s="162" t="str">
        <f>IF(U1107="","",U1107+V1107)</f>
        <v/>
      </c>
      <c r="X1107" s="91"/>
      <c r="Y1107" s="162" t="str">
        <f>IF(W1107="","",W1107-X1107)</f>
        <v/>
      </c>
      <c r="Z1107" s="94"/>
      <c r="AA1107" s="42"/>
    </row>
    <row r="1108" spans="1:27" s="43" customFormat="1" ht="21" hidden="1" customHeight="1" x14ac:dyDescent="0.25">
      <c r="A1108" s="44"/>
      <c r="B1108" s="59" t="s">
        <v>46</v>
      </c>
      <c r="C1108" s="60"/>
      <c r="D1108" s="45"/>
      <c r="E1108" s="45"/>
      <c r="F1108" s="366" t="s">
        <v>48</v>
      </c>
      <c r="G1108" s="366"/>
      <c r="H1108" s="45"/>
      <c r="I1108" s="366" t="s">
        <v>49</v>
      </c>
      <c r="J1108" s="366"/>
      <c r="K1108" s="366"/>
      <c r="L1108" s="61"/>
      <c r="M1108" s="45"/>
      <c r="N1108" s="88"/>
      <c r="O1108" s="89" t="s">
        <v>51</v>
      </c>
      <c r="P1108" s="89"/>
      <c r="Q1108" s="89"/>
      <c r="R1108" s="89" t="str">
        <f t="shared" ref="R1108:R1117" si="210">IF(Q1108="","",R1107-Q1108)</f>
        <v/>
      </c>
      <c r="S1108" s="93"/>
      <c r="T1108" s="89" t="s">
        <v>51</v>
      </c>
      <c r="U1108" s="162"/>
      <c r="V1108" s="91"/>
      <c r="W1108" s="162" t="str">
        <f t="shared" ref="W1108:W1117" si="211">IF(U1108="","",U1108+V1108)</f>
        <v/>
      </c>
      <c r="X1108" s="91"/>
      <c r="Y1108" s="162" t="str">
        <f t="shared" ref="Y1108:Y1117" si="212">IF(W1108="","",W1108-X1108)</f>
        <v/>
      </c>
      <c r="Z1108" s="94"/>
      <c r="AA1108" s="45"/>
    </row>
    <row r="1109" spans="1:27" s="43" customFormat="1" ht="21" hidden="1" customHeight="1" x14ac:dyDescent="0.25">
      <c r="A1109" s="44"/>
      <c r="B1109" s="45"/>
      <c r="C1109" s="45"/>
      <c r="D1109" s="45"/>
      <c r="E1109" s="45"/>
      <c r="F1109" s="45"/>
      <c r="G1109" s="45"/>
      <c r="H1109" s="62"/>
      <c r="L1109" s="49"/>
      <c r="M1109" s="45"/>
      <c r="N1109" s="88"/>
      <c r="O1109" s="89" t="s">
        <v>52</v>
      </c>
      <c r="P1109" s="89"/>
      <c r="Q1109" s="89"/>
      <c r="R1109" s="89" t="str">
        <f t="shared" si="210"/>
        <v/>
      </c>
      <c r="S1109" s="93"/>
      <c r="T1109" s="89" t="s">
        <v>52</v>
      </c>
      <c r="U1109" s="162"/>
      <c r="V1109" s="91"/>
      <c r="W1109" s="162" t="str">
        <f t="shared" si="211"/>
        <v/>
      </c>
      <c r="X1109" s="91"/>
      <c r="Y1109" s="162" t="str">
        <f t="shared" si="212"/>
        <v/>
      </c>
      <c r="Z1109" s="94"/>
      <c r="AA1109" s="45"/>
    </row>
    <row r="1110" spans="1:27" s="43" customFormat="1" ht="21" hidden="1" customHeight="1" x14ac:dyDescent="0.25">
      <c r="A1110" s="44"/>
      <c r="B1110" s="367" t="s">
        <v>47</v>
      </c>
      <c r="C1110" s="368"/>
      <c r="D1110" s="45"/>
      <c r="E1110" s="45"/>
      <c r="F1110" s="63" t="s">
        <v>69</v>
      </c>
      <c r="G1110" s="58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62"/>
      <c r="I1110" s="64">
        <v>31</v>
      </c>
      <c r="J1110" s="65" t="s">
        <v>66</v>
      </c>
      <c r="K1110" s="66">
        <f>K1106*I1110</f>
        <v>24800</v>
      </c>
      <c r="L1110" s="67"/>
      <c r="M1110" s="45"/>
      <c r="N1110" s="88"/>
      <c r="O1110" s="89" t="s">
        <v>53</v>
      </c>
      <c r="P1110" s="89"/>
      <c r="Q1110" s="89"/>
      <c r="R1110" s="89" t="str">
        <f t="shared" si="210"/>
        <v/>
      </c>
      <c r="S1110" s="93"/>
      <c r="T1110" s="89" t="s">
        <v>53</v>
      </c>
      <c r="U1110" s="162"/>
      <c r="V1110" s="91"/>
      <c r="W1110" s="162" t="str">
        <f t="shared" si="211"/>
        <v/>
      </c>
      <c r="X1110" s="91"/>
      <c r="Y1110" s="162" t="str">
        <f t="shared" si="212"/>
        <v/>
      </c>
      <c r="Z1110" s="94"/>
      <c r="AA1110" s="45"/>
    </row>
    <row r="1111" spans="1:27" s="43" customFormat="1" ht="21" hidden="1" customHeight="1" x14ac:dyDescent="0.25">
      <c r="A1111" s="44"/>
      <c r="B1111" s="54"/>
      <c r="C1111" s="54"/>
      <c r="D1111" s="45"/>
      <c r="E1111" s="45"/>
      <c r="F1111" s="63" t="s">
        <v>23</v>
      </c>
      <c r="G1111" s="58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62"/>
      <c r="I1111" s="64"/>
      <c r="J1111" s="65" t="s">
        <v>67</v>
      </c>
      <c r="K1111" s="68">
        <f>K1106/8*I1111</f>
        <v>0</v>
      </c>
      <c r="L1111" s="69"/>
      <c r="M1111" s="45"/>
      <c r="N1111" s="88"/>
      <c r="O1111" s="89" t="s">
        <v>54</v>
      </c>
      <c r="P1111" s="89"/>
      <c r="Q1111" s="89"/>
      <c r="R1111" s="89" t="str">
        <f t="shared" si="210"/>
        <v/>
      </c>
      <c r="S1111" s="93"/>
      <c r="T1111" s="89" t="s">
        <v>54</v>
      </c>
      <c r="U1111" s="162"/>
      <c r="V1111" s="91"/>
      <c r="W1111" s="162" t="str">
        <f t="shared" si="211"/>
        <v/>
      </c>
      <c r="X1111" s="91"/>
      <c r="Y1111" s="162" t="str">
        <f t="shared" si="212"/>
        <v/>
      </c>
      <c r="Z1111" s="94"/>
      <c r="AA1111" s="45"/>
    </row>
    <row r="1112" spans="1:27" s="43" customFormat="1" ht="21" hidden="1" customHeight="1" x14ac:dyDescent="0.25">
      <c r="A1112" s="44"/>
      <c r="B1112" s="63" t="s">
        <v>7</v>
      </c>
      <c r="C1112" s="54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45"/>
      <c r="E1112" s="45"/>
      <c r="F1112" s="63" t="s">
        <v>70</v>
      </c>
      <c r="G1112" s="58" t="str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/>
      </c>
      <c r="H1112" s="62"/>
      <c r="I1112" s="361" t="s">
        <v>74</v>
      </c>
      <c r="J1112" s="362"/>
      <c r="K1112" s="68">
        <f>K1110+K1111</f>
        <v>24800</v>
      </c>
      <c r="L1112" s="69"/>
      <c r="M1112" s="45"/>
      <c r="N1112" s="88"/>
      <c r="O1112" s="89" t="s">
        <v>55</v>
      </c>
      <c r="P1112" s="89"/>
      <c r="Q1112" s="89"/>
      <c r="R1112" s="89" t="str">
        <f t="shared" si="210"/>
        <v/>
      </c>
      <c r="S1112" s="93"/>
      <c r="T1112" s="89" t="s">
        <v>55</v>
      </c>
      <c r="U1112" s="162"/>
      <c r="V1112" s="91"/>
      <c r="W1112" s="162" t="str">
        <f t="shared" si="211"/>
        <v/>
      </c>
      <c r="X1112" s="91"/>
      <c r="Y1112" s="162" t="str">
        <f t="shared" si="212"/>
        <v/>
      </c>
      <c r="Z1112" s="94"/>
      <c r="AA1112" s="45"/>
    </row>
    <row r="1113" spans="1:27" s="43" customFormat="1" ht="21" hidden="1" customHeight="1" x14ac:dyDescent="0.25">
      <c r="A1113" s="44"/>
      <c r="B1113" s="63" t="s">
        <v>6</v>
      </c>
      <c r="C1113" s="54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45"/>
      <c r="E1113" s="45"/>
      <c r="F1113" s="63" t="s">
        <v>24</v>
      </c>
      <c r="G1113" s="58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62"/>
      <c r="I1113" s="361" t="s">
        <v>75</v>
      </c>
      <c r="J1113" s="362"/>
      <c r="K1113" s="58">
        <f>G1113</f>
        <v>0</v>
      </c>
      <c r="L1113" s="70"/>
      <c r="M1113" s="45"/>
      <c r="N1113" s="88"/>
      <c r="O1113" s="89" t="s">
        <v>56</v>
      </c>
      <c r="P1113" s="89"/>
      <c r="Q1113" s="89"/>
      <c r="R1113" s="89" t="str">
        <f t="shared" si="210"/>
        <v/>
      </c>
      <c r="S1113" s="93"/>
      <c r="T1113" s="89" t="s">
        <v>56</v>
      </c>
      <c r="U1113" s="162"/>
      <c r="V1113" s="91"/>
      <c r="W1113" s="162" t="str">
        <f t="shared" si="211"/>
        <v/>
      </c>
      <c r="X1113" s="91"/>
      <c r="Y1113" s="162" t="str">
        <f t="shared" si="212"/>
        <v/>
      </c>
      <c r="Z1113" s="94"/>
      <c r="AA1113" s="45"/>
    </row>
    <row r="1114" spans="1:27" s="43" customFormat="1" ht="21" hidden="1" customHeight="1" x14ac:dyDescent="0.25">
      <c r="A1114" s="44"/>
      <c r="B1114" s="71" t="s">
        <v>73</v>
      </c>
      <c r="C1114" s="54" t="str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/>
      </c>
      <c r="D1114" s="45"/>
      <c r="E1114" s="45"/>
      <c r="F1114" s="63" t="s">
        <v>72</v>
      </c>
      <c r="G1114" s="58" t="str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/>
      </c>
      <c r="H1114" s="45"/>
      <c r="I1114" s="363" t="s">
        <v>68</v>
      </c>
      <c r="J1114" s="364"/>
      <c r="K1114" s="72"/>
      <c r="L1114" s="73"/>
      <c r="M1114" s="45"/>
      <c r="N1114" s="88"/>
      <c r="O1114" s="89" t="s">
        <v>61</v>
      </c>
      <c r="P1114" s="89"/>
      <c r="Q1114" s="89"/>
      <c r="R1114" s="89" t="str">
        <f t="shared" si="210"/>
        <v/>
      </c>
      <c r="S1114" s="93"/>
      <c r="T1114" s="89" t="s">
        <v>61</v>
      </c>
      <c r="U1114" s="162"/>
      <c r="V1114" s="91"/>
      <c r="W1114" s="162" t="str">
        <f t="shared" si="211"/>
        <v/>
      </c>
      <c r="X1114" s="91"/>
      <c r="Y1114" s="162" t="str">
        <f t="shared" si="212"/>
        <v/>
      </c>
      <c r="Z1114" s="94"/>
      <c r="AA1114" s="45"/>
    </row>
    <row r="1115" spans="1:27" s="43" customFormat="1" ht="21" hidden="1" customHeight="1" x14ac:dyDescent="0.25">
      <c r="A1115" s="44"/>
      <c r="B1115" s="45"/>
      <c r="C1115" s="45"/>
      <c r="D1115" s="45"/>
      <c r="E1115" s="45"/>
      <c r="F1115" s="45"/>
      <c r="G1115" s="45"/>
      <c r="H1115" s="45"/>
      <c r="I1115" s="45"/>
      <c r="J1115" s="45"/>
      <c r="K1115" s="45"/>
      <c r="L1115" s="61"/>
      <c r="M1115" s="45"/>
      <c r="N1115" s="88"/>
      <c r="O1115" s="89" t="s">
        <v>57</v>
      </c>
      <c r="P1115" s="89"/>
      <c r="Q1115" s="89"/>
      <c r="R1115" s="89" t="str">
        <f t="shared" si="210"/>
        <v/>
      </c>
      <c r="S1115" s="93"/>
      <c r="T1115" s="89" t="s">
        <v>57</v>
      </c>
      <c r="U1115" s="162"/>
      <c r="V1115" s="91"/>
      <c r="W1115" s="162" t="str">
        <f t="shared" si="211"/>
        <v/>
      </c>
      <c r="X1115" s="91"/>
      <c r="Y1115" s="162" t="str">
        <f t="shared" si="212"/>
        <v/>
      </c>
      <c r="Z1115" s="94"/>
      <c r="AA1115" s="45"/>
    </row>
    <row r="1116" spans="1:27" s="43" customFormat="1" ht="21" hidden="1" customHeight="1" x14ac:dyDescent="0.25">
      <c r="A1116" s="44"/>
      <c r="B1116" s="365" t="s">
        <v>103</v>
      </c>
      <c r="C1116" s="365"/>
      <c r="D1116" s="365"/>
      <c r="E1116" s="365"/>
      <c r="F1116" s="365"/>
      <c r="G1116" s="365"/>
      <c r="H1116" s="365"/>
      <c r="I1116" s="365"/>
      <c r="J1116" s="365"/>
      <c r="K1116" s="365"/>
      <c r="L1116" s="61"/>
      <c r="M1116" s="45"/>
      <c r="N1116" s="88"/>
      <c r="O1116" s="89" t="s">
        <v>62</v>
      </c>
      <c r="P1116" s="89"/>
      <c r="Q1116" s="89"/>
      <c r="R1116" s="89" t="str">
        <f t="shared" si="210"/>
        <v/>
      </c>
      <c r="S1116" s="93"/>
      <c r="T1116" s="89" t="s">
        <v>62</v>
      </c>
      <c r="U1116" s="162"/>
      <c r="V1116" s="91"/>
      <c r="W1116" s="162" t="str">
        <f t="shared" si="211"/>
        <v/>
      </c>
      <c r="X1116" s="91"/>
      <c r="Y1116" s="162" t="str">
        <f t="shared" si="212"/>
        <v/>
      </c>
      <c r="Z1116" s="94"/>
      <c r="AA1116" s="45"/>
    </row>
    <row r="1117" spans="1:27" s="43" customFormat="1" ht="21" hidden="1" customHeight="1" x14ac:dyDescent="0.25">
      <c r="A1117" s="44"/>
      <c r="B1117" s="365"/>
      <c r="C1117" s="365"/>
      <c r="D1117" s="365"/>
      <c r="E1117" s="365"/>
      <c r="F1117" s="365"/>
      <c r="G1117" s="365"/>
      <c r="H1117" s="365"/>
      <c r="I1117" s="365"/>
      <c r="J1117" s="365"/>
      <c r="K1117" s="365"/>
      <c r="L1117" s="61"/>
      <c r="M1117" s="45"/>
      <c r="N1117" s="88"/>
      <c r="O1117" s="89" t="s">
        <v>63</v>
      </c>
      <c r="P1117" s="89"/>
      <c r="Q1117" s="89"/>
      <c r="R1117" s="89" t="str">
        <f t="shared" si="210"/>
        <v/>
      </c>
      <c r="S1117" s="93"/>
      <c r="T1117" s="89" t="s">
        <v>63</v>
      </c>
      <c r="U1117" s="162"/>
      <c r="V1117" s="91"/>
      <c r="W1117" s="162" t="str">
        <f t="shared" si="211"/>
        <v/>
      </c>
      <c r="X1117" s="91"/>
      <c r="Y1117" s="162" t="str">
        <f t="shared" si="212"/>
        <v/>
      </c>
      <c r="Z1117" s="94"/>
      <c r="AA1117" s="45"/>
    </row>
    <row r="1118" spans="1:27" s="43" customFormat="1" ht="21" hidden="1" customHeight="1" thickBot="1" x14ac:dyDescent="0.3">
      <c r="A1118" s="74"/>
      <c r="B1118" s="75"/>
      <c r="C1118" s="75"/>
      <c r="D1118" s="75"/>
      <c r="E1118" s="75"/>
      <c r="F1118" s="75"/>
      <c r="G1118" s="75"/>
      <c r="H1118" s="75"/>
      <c r="I1118" s="75"/>
      <c r="J1118" s="75"/>
      <c r="K1118" s="75"/>
      <c r="L1118" s="76"/>
      <c r="N1118" s="95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7"/>
    </row>
    <row r="1119" spans="1:27" s="43" customFormat="1" ht="21" customHeight="1" x14ac:dyDescent="0.25"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</row>
    <row r="1120" spans="1:27" s="43" customFormat="1" ht="21" customHeight="1" thickBot="1" x14ac:dyDescent="0.3"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</row>
    <row r="1121" spans="1:26" s="43" customFormat="1" ht="21" customHeight="1" x14ac:dyDescent="0.25">
      <c r="A1121" s="377" t="s">
        <v>45</v>
      </c>
      <c r="B1121" s="378"/>
      <c r="C1121" s="378"/>
      <c r="D1121" s="378"/>
      <c r="E1121" s="378"/>
      <c r="F1121" s="378"/>
      <c r="G1121" s="378"/>
      <c r="H1121" s="378"/>
      <c r="I1121" s="378"/>
      <c r="J1121" s="378"/>
      <c r="K1121" s="378"/>
      <c r="L1121" s="379"/>
      <c r="M1121" s="131"/>
      <c r="N1121" s="81"/>
      <c r="O1121" s="372" t="s">
        <v>47</v>
      </c>
      <c r="P1121" s="373"/>
      <c r="Q1121" s="373"/>
      <c r="R1121" s="374"/>
      <c r="S1121" s="82"/>
      <c r="T1121" s="372" t="s">
        <v>48</v>
      </c>
      <c r="U1121" s="373"/>
      <c r="V1121" s="373"/>
      <c r="W1121" s="373"/>
      <c r="X1121" s="373"/>
      <c r="Y1121" s="374"/>
      <c r="Z1121" s="80"/>
    </row>
    <row r="1122" spans="1:26" s="43" customFormat="1" ht="21" customHeight="1" x14ac:dyDescent="0.25">
      <c r="A1122" s="44"/>
      <c r="B1122" s="45"/>
      <c r="C1122" s="375" t="s">
        <v>101</v>
      </c>
      <c r="D1122" s="375"/>
      <c r="E1122" s="375"/>
      <c r="F1122" s="375"/>
      <c r="G1122" s="46" t="str">
        <f>$J$1</f>
        <v>October</v>
      </c>
      <c r="H1122" s="376">
        <f>$K$1</f>
        <v>2020</v>
      </c>
      <c r="I1122" s="376"/>
      <c r="J1122" s="45"/>
      <c r="K1122" s="47"/>
      <c r="L1122" s="48"/>
      <c r="M1122" s="47"/>
      <c r="N1122" s="84"/>
      <c r="O1122" s="85" t="s">
        <v>58</v>
      </c>
      <c r="P1122" s="85" t="s">
        <v>7</v>
      </c>
      <c r="Q1122" s="85" t="s">
        <v>6</v>
      </c>
      <c r="R1122" s="85" t="s">
        <v>59</v>
      </c>
      <c r="S1122" s="86"/>
      <c r="T1122" s="85" t="s">
        <v>58</v>
      </c>
      <c r="U1122" s="85" t="s">
        <v>60</v>
      </c>
      <c r="V1122" s="85" t="s">
        <v>23</v>
      </c>
      <c r="W1122" s="85" t="s">
        <v>22</v>
      </c>
      <c r="X1122" s="85" t="s">
        <v>24</v>
      </c>
      <c r="Y1122" s="85" t="s">
        <v>64</v>
      </c>
      <c r="Z1122" s="80"/>
    </row>
    <row r="1123" spans="1:26" s="43" customFormat="1" ht="21" customHeight="1" x14ac:dyDescent="0.25">
      <c r="A1123" s="44"/>
      <c r="B1123" s="45"/>
      <c r="C1123" s="45"/>
      <c r="D1123" s="50"/>
      <c r="E1123" s="50"/>
      <c r="F1123" s="50"/>
      <c r="G1123" s="50"/>
      <c r="H1123" s="50"/>
      <c r="I1123" s="45"/>
      <c r="J1123" s="51" t="s">
        <v>1</v>
      </c>
      <c r="K1123" s="52">
        <v>30000</v>
      </c>
      <c r="L1123" s="53"/>
      <c r="M1123" s="45"/>
      <c r="N1123" s="88"/>
      <c r="O1123" s="89" t="s">
        <v>50</v>
      </c>
      <c r="P1123" s="89">
        <v>30</v>
      </c>
      <c r="Q1123" s="89">
        <v>1</v>
      </c>
      <c r="R1123" s="89">
        <f>15-Q1123</f>
        <v>14</v>
      </c>
      <c r="S1123" s="90"/>
      <c r="T1123" s="89" t="s">
        <v>50</v>
      </c>
      <c r="U1123" s="91"/>
      <c r="V1123" s="91"/>
      <c r="W1123" s="91">
        <f>V1123+U1123</f>
        <v>0</v>
      </c>
      <c r="X1123" s="91"/>
      <c r="Y1123" s="91">
        <f>W1123-X1123</f>
        <v>0</v>
      </c>
      <c r="Z1123" s="80"/>
    </row>
    <row r="1124" spans="1:26" s="43" customFormat="1" ht="21" customHeight="1" x14ac:dyDescent="0.25">
      <c r="A1124" s="44"/>
      <c r="B1124" s="45" t="s">
        <v>0</v>
      </c>
      <c r="C1124" s="100" t="s">
        <v>120</v>
      </c>
      <c r="D1124" s="45"/>
      <c r="E1124" s="45"/>
      <c r="F1124" s="45"/>
      <c r="G1124" s="45"/>
      <c r="H1124" s="56"/>
      <c r="I1124" s="50"/>
      <c r="J1124" s="45"/>
      <c r="K1124" s="45"/>
      <c r="L1124" s="57"/>
      <c r="M1124" s="131"/>
      <c r="N1124" s="92"/>
      <c r="O1124" s="89" t="s">
        <v>76</v>
      </c>
      <c r="P1124" s="89">
        <v>27</v>
      </c>
      <c r="Q1124" s="89">
        <v>2</v>
      </c>
      <c r="R1124" s="89">
        <f>IF(Q1124="","",R1123-Q1124)</f>
        <v>12</v>
      </c>
      <c r="S1124" s="93"/>
      <c r="T1124" s="89" t="s">
        <v>76</v>
      </c>
      <c r="U1124" s="162">
        <f>IF($J$1="January","",Y1123)</f>
        <v>0</v>
      </c>
      <c r="V1124" s="91"/>
      <c r="W1124" s="162">
        <f>IF(U1124="","",U1124+V1124)</f>
        <v>0</v>
      </c>
      <c r="X1124" s="91"/>
      <c r="Y1124" s="162">
        <f>IF(W1124="","",W1124-X1124)</f>
        <v>0</v>
      </c>
      <c r="Z1124" s="80"/>
    </row>
    <row r="1125" spans="1:26" s="43" customFormat="1" ht="21" customHeight="1" x14ac:dyDescent="0.25">
      <c r="A1125" s="44"/>
      <c r="B1125" s="59" t="s">
        <v>46</v>
      </c>
      <c r="C1125" s="77"/>
      <c r="D1125" s="45"/>
      <c r="E1125" s="45"/>
      <c r="F1125" s="366" t="s">
        <v>48</v>
      </c>
      <c r="G1125" s="366"/>
      <c r="H1125" s="45"/>
      <c r="I1125" s="366" t="s">
        <v>49</v>
      </c>
      <c r="J1125" s="366"/>
      <c r="K1125" s="366"/>
      <c r="L1125" s="61"/>
      <c r="M1125" s="45"/>
      <c r="N1125" s="88"/>
      <c r="O1125" s="89" t="s">
        <v>51</v>
      </c>
      <c r="P1125" s="89">
        <v>29</v>
      </c>
      <c r="Q1125" s="89">
        <v>2</v>
      </c>
      <c r="R1125" s="89">
        <f>IF(Q1125="","",R1124-Q1125)</f>
        <v>10</v>
      </c>
      <c r="S1125" s="93"/>
      <c r="T1125" s="89" t="s">
        <v>51</v>
      </c>
      <c r="U1125" s="162">
        <f>IF($J$1="February","",Y1124)</f>
        <v>0</v>
      </c>
      <c r="V1125" s="91"/>
      <c r="W1125" s="162">
        <f t="shared" ref="W1125:W1134" si="213">IF(U1125="","",U1125+V1125)</f>
        <v>0</v>
      </c>
      <c r="X1125" s="91"/>
      <c r="Y1125" s="162">
        <f t="shared" ref="Y1125:Y1134" si="214">IF(W1125="","",W1125-X1125)</f>
        <v>0</v>
      </c>
      <c r="Z1125" s="80"/>
    </row>
    <row r="1126" spans="1:26" s="43" customFormat="1" ht="21" customHeight="1" x14ac:dyDescent="0.25">
      <c r="A1126" s="44"/>
      <c r="B1126" s="45"/>
      <c r="C1126" s="45"/>
      <c r="D1126" s="45"/>
      <c r="E1126" s="45"/>
      <c r="F1126" s="45"/>
      <c r="G1126" s="45"/>
      <c r="H1126" s="62"/>
      <c r="L1126" s="49"/>
      <c r="M1126" s="45"/>
      <c r="N1126" s="88"/>
      <c r="O1126" s="89" t="s">
        <v>52</v>
      </c>
      <c r="P1126" s="89">
        <v>26</v>
      </c>
      <c r="Q1126" s="89">
        <v>4</v>
      </c>
      <c r="R1126" s="89">
        <f t="shared" ref="R1126:R1134" si="215">IF(Q1126="","",R1125-Q1126)</f>
        <v>6</v>
      </c>
      <c r="S1126" s="93"/>
      <c r="T1126" s="89" t="s">
        <v>52</v>
      </c>
      <c r="U1126" s="162">
        <f>IF($J$1="March","",Y1125)</f>
        <v>0</v>
      </c>
      <c r="V1126" s="91"/>
      <c r="W1126" s="162">
        <f t="shared" si="213"/>
        <v>0</v>
      </c>
      <c r="X1126" s="91"/>
      <c r="Y1126" s="162">
        <f t="shared" si="214"/>
        <v>0</v>
      </c>
      <c r="Z1126" s="80"/>
    </row>
    <row r="1127" spans="1:26" s="43" customFormat="1" ht="21" customHeight="1" x14ac:dyDescent="0.25">
      <c r="A1127" s="44"/>
      <c r="B1127" s="367" t="s">
        <v>47</v>
      </c>
      <c r="C1127" s="368"/>
      <c r="D1127" s="45"/>
      <c r="E1127" s="45"/>
      <c r="F1127" s="63" t="s">
        <v>69</v>
      </c>
      <c r="G1127" s="58">
        <f>IF($J$1="January",U1123,IF($J$1="February",U1124,IF($J$1="March",U1125,IF($J$1="April",U1126,IF($J$1="May",U1127,IF($J$1="June",U1128,IF($J$1="July",U1129,IF($J$1="August",U1130,IF($J$1="August",U1130,IF($J$1="September",U1131,IF($J$1="October",U1132,IF($J$1="November",U1133,IF($J$1="December",U1134)))))))))))))</f>
        <v>0</v>
      </c>
      <c r="H1127" s="62"/>
      <c r="I1127" s="64">
        <f>IF(C1131&gt;0,$K$2,C1129)</f>
        <v>29</v>
      </c>
      <c r="J1127" s="65" t="s">
        <v>66</v>
      </c>
      <c r="K1127" s="66">
        <f>K1123/$K$2*I1127</f>
        <v>28064.516129032258</v>
      </c>
      <c r="L1127" s="67"/>
      <c r="M1127" s="45"/>
      <c r="N1127" s="88"/>
      <c r="O1127" s="89" t="s">
        <v>53</v>
      </c>
      <c r="P1127" s="89">
        <v>30</v>
      </c>
      <c r="Q1127" s="89">
        <v>1</v>
      </c>
      <c r="R1127" s="89">
        <f t="shared" si="215"/>
        <v>5</v>
      </c>
      <c r="S1127" s="93"/>
      <c r="T1127" s="89" t="s">
        <v>53</v>
      </c>
      <c r="U1127" s="162">
        <f>IF($J$1="April","",Y1126)</f>
        <v>0</v>
      </c>
      <c r="V1127" s="91"/>
      <c r="W1127" s="162">
        <f t="shared" si="213"/>
        <v>0</v>
      </c>
      <c r="X1127" s="91"/>
      <c r="Y1127" s="162">
        <f t="shared" si="214"/>
        <v>0</v>
      </c>
      <c r="Z1127" s="80"/>
    </row>
    <row r="1128" spans="1:26" s="43" customFormat="1" ht="21" customHeight="1" x14ac:dyDescent="0.25">
      <c r="A1128" s="44"/>
      <c r="B1128" s="54"/>
      <c r="C1128" s="54"/>
      <c r="D1128" s="45"/>
      <c r="E1128" s="45"/>
      <c r="F1128" s="63" t="s">
        <v>23</v>
      </c>
      <c r="G1128" s="58">
        <f>IF($J$1="January",V1123,IF($J$1="February",V1124,IF($J$1="March",V1125,IF($J$1="April",V1126,IF($J$1="May",V1127,IF($J$1="June",V1128,IF($J$1="July",V1129,IF($J$1="August",V1130,IF($J$1="August",V1130,IF($J$1="September",V1131,IF($J$1="October",V1132,IF($J$1="November",V1133,IF($J$1="December",V1134)))))))))))))</f>
        <v>0</v>
      </c>
      <c r="H1128" s="62"/>
      <c r="I1128" s="64"/>
      <c r="J1128" s="65" t="s">
        <v>67</v>
      </c>
      <c r="K1128" s="68">
        <f>K1123/$K$2/8*I1128</f>
        <v>0</v>
      </c>
      <c r="L1128" s="69"/>
      <c r="M1128" s="45"/>
      <c r="N1128" s="88"/>
      <c r="O1128" s="89" t="s">
        <v>54</v>
      </c>
      <c r="P1128" s="89">
        <v>28</v>
      </c>
      <c r="Q1128" s="89">
        <v>2</v>
      </c>
      <c r="R1128" s="89">
        <f t="shared" si="215"/>
        <v>3</v>
      </c>
      <c r="S1128" s="93"/>
      <c r="T1128" s="89" t="s">
        <v>54</v>
      </c>
      <c r="U1128" s="162">
        <f>IF($J$1="May","",Y1127)</f>
        <v>0</v>
      </c>
      <c r="V1128" s="91"/>
      <c r="W1128" s="162">
        <f t="shared" si="213"/>
        <v>0</v>
      </c>
      <c r="X1128" s="91"/>
      <c r="Y1128" s="162">
        <f t="shared" si="214"/>
        <v>0</v>
      </c>
      <c r="Z1128" s="80"/>
    </row>
    <row r="1129" spans="1:26" s="43" customFormat="1" ht="21" customHeight="1" x14ac:dyDescent="0.25">
      <c r="A1129" s="44"/>
      <c r="B1129" s="63" t="s">
        <v>7</v>
      </c>
      <c r="C1129" s="54">
        <f>IF($J$1="January",P1123,IF($J$1="February",P1124,IF($J$1="March",P1125,IF($J$1="April",P1126,IF($J$1="May",P1127,IF($J$1="June",P1128,IF($J$1="July",P1129,IF($J$1="August",P1130,IF($J$1="August",P1130,IF($J$1="September",P1131,IF($J$1="October",P1132,IF($J$1="November",P1133,IF($J$1="December",P1134)))))))))))))</f>
        <v>29</v>
      </c>
      <c r="D1129" s="45"/>
      <c r="E1129" s="45"/>
      <c r="F1129" s="63" t="s">
        <v>70</v>
      </c>
      <c r="G1129" s="58">
        <f>IF($J$1="January",W1123,IF($J$1="February",W1124,IF($J$1="March",W1125,IF($J$1="April",W1126,IF($J$1="May",W1127,IF($J$1="June",W1128,IF($J$1="July",W1129,IF($J$1="August",W1130,IF($J$1="August",W1130,IF($J$1="September",W1131,IF($J$1="October",W1132,IF($J$1="November",W1133,IF($J$1="December",W1134)))))))))))))</f>
        <v>0</v>
      </c>
      <c r="H1129" s="62"/>
      <c r="I1129" s="361" t="s">
        <v>74</v>
      </c>
      <c r="J1129" s="362"/>
      <c r="K1129" s="68">
        <f>K1127+K1128</f>
        <v>28064.516129032258</v>
      </c>
      <c r="L1129" s="69"/>
      <c r="M1129" s="45"/>
      <c r="N1129" s="88"/>
      <c r="O1129" s="89" t="s">
        <v>55</v>
      </c>
      <c r="P1129" s="89">
        <v>30</v>
      </c>
      <c r="Q1129" s="89">
        <v>1</v>
      </c>
      <c r="R1129" s="89">
        <f t="shared" si="215"/>
        <v>2</v>
      </c>
      <c r="S1129" s="93"/>
      <c r="T1129" s="89" t="s">
        <v>55</v>
      </c>
      <c r="U1129" s="162">
        <f>IF($J$1="June","",Y1128)</f>
        <v>0</v>
      </c>
      <c r="V1129" s="91"/>
      <c r="W1129" s="162">
        <f t="shared" si="213"/>
        <v>0</v>
      </c>
      <c r="X1129" s="91"/>
      <c r="Y1129" s="162">
        <f t="shared" si="214"/>
        <v>0</v>
      </c>
      <c r="Z1129" s="80"/>
    </row>
    <row r="1130" spans="1:26" s="43" customFormat="1" ht="21" customHeight="1" x14ac:dyDescent="0.25">
      <c r="A1130" s="44"/>
      <c r="B1130" s="63" t="s">
        <v>6</v>
      </c>
      <c r="C1130" s="54">
        <f>IF($J$1="January",Q1123,IF($J$1="February",Q1124,IF($J$1="March",Q1125,IF($J$1="April",Q1126,IF($J$1="May",Q1127,IF($J$1="June",Q1128,IF($J$1="July",Q1129,IF($J$1="August",Q1130,IF($J$1="August",Q1130,IF($J$1="September",Q1131,IF($J$1="October",Q1132,IF($J$1="November",Q1133,IF($J$1="December",Q1134)))))))))))))</f>
        <v>2</v>
      </c>
      <c r="D1130" s="45"/>
      <c r="E1130" s="45"/>
      <c r="F1130" s="63" t="s">
        <v>24</v>
      </c>
      <c r="G1130" s="58">
        <f>IF($J$1="January",X1123,IF($J$1="February",X1124,IF($J$1="March",X1125,IF($J$1="April",X1126,IF($J$1="May",X1127,IF($J$1="June",X1128,IF($J$1="July",X1129,IF($J$1="August",X1130,IF($J$1="August",X1130,IF($J$1="September",X1131,IF($J$1="October",X1132,IF($J$1="November",X1133,IF($J$1="December",X1134)))))))))))))</f>
        <v>0</v>
      </c>
      <c r="H1130" s="62"/>
      <c r="I1130" s="361" t="s">
        <v>75</v>
      </c>
      <c r="J1130" s="362"/>
      <c r="K1130" s="58">
        <f>G1130</f>
        <v>0</v>
      </c>
      <c r="L1130" s="70"/>
      <c r="M1130" s="45"/>
      <c r="N1130" s="88"/>
      <c r="O1130" s="89" t="s">
        <v>56</v>
      </c>
      <c r="P1130" s="89">
        <v>22</v>
      </c>
      <c r="Q1130" s="89">
        <v>0</v>
      </c>
      <c r="R1130" s="89">
        <v>0</v>
      </c>
      <c r="S1130" s="93"/>
      <c r="T1130" s="89" t="s">
        <v>56</v>
      </c>
      <c r="U1130" s="162">
        <f>IF($J$1="July","",Y1129)</f>
        <v>0</v>
      </c>
      <c r="V1130" s="91"/>
      <c r="W1130" s="162">
        <f t="shared" si="213"/>
        <v>0</v>
      </c>
      <c r="X1130" s="91"/>
      <c r="Y1130" s="162">
        <f t="shared" si="214"/>
        <v>0</v>
      </c>
      <c r="Z1130" s="80"/>
    </row>
    <row r="1131" spans="1:26" s="43" customFormat="1" ht="21" customHeight="1" x14ac:dyDescent="0.25">
      <c r="A1131" s="44"/>
      <c r="B1131" s="71" t="s">
        <v>73</v>
      </c>
      <c r="C1131" s="54">
        <f>IF($J$1="January",R1123,IF($J$1="February",R1124,IF($J$1="March",R1125,IF($J$1="April",R1126,IF($J$1="May",R1127,IF($J$1="June",R1128,IF($J$1="July",R1129,IF($J$1="August",R1130,IF($J$1="August",R1130,IF($J$1="September",R1131,IF($J$1="October",R1132,IF($J$1="November",R1133,IF($J$1="December",R1134)))))))))))))</f>
        <v>0</v>
      </c>
      <c r="D1131" s="45"/>
      <c r="E1131" s="45"/>
      <c r="F1131" s="63" t="s">
        <v>72</v>
      </c>
      <c r="G1131" s="58">
        <f>IF($J$1="January",Y1123,IF($J$1="February",Y1124,IF($J$1="March",Y1125,IF($J$1="April",Y1126,IF($J$1="May",Y1127,IF($J$1="June",Y1128,IF($J$1="July",Y1129,IF($J$1="August",Y1130,IF($J$1="August",Y1130,IF($J$1="September",Y1131,IF($J$1="October",Y1132,IF($J$1="November",Y1133,IF($J$1="December",Y1134)))))))))))))</f>
        <v>0</v>
      </c>
      <c r="H1131" s="45"/>
      <c r="I1131" s="363" t="s">
        <v>68</v>
      </c>
      <c r="J1131" s="364"/>
      <c r="K1131" s="72">
        <f>K1129-K1130</f>
        <v>28064.516129032258</v>
      </c>
      <c r="L1131" s="73"/>
      <c r="M1131" s="45"/>
      <c r="N1131" s="88"/>
      <c r="O1131" s="89" t="s">
        <v>61</v>
      </c>
      <c r="P1131" s="89">
        <v>24</v>
      </c>
      <c r="Q1131" s="89">
        <v>6</v>
      </c>
      <c r="R1131" s="89">
        <v>0</v>
      </c>
      <c r="S1131" s="93"/>
      <c r="T1131" s="89" t="s">
        <v>61</v>
      </c>
      <c r="U1131" s="162">
        <f>IF($J$1="August","",Y1130)</f>
        <v>0</v>
      </c>
      <c r="V1131" s="91"/>
      <c r="W1131" s="162">
        <f t="shared" si="213"/>
        <v>0</v>
      </c>
      <c r="X1131" s="91"/>
      <c r="Y1131" s="162">
        <f t="shared" si="214"/>
        <v>0</v>
      </c>
      <c r="Z1131" s="80"/>
    </row>
    <row r="1132" spans="1:26" s="43" customFormat="1" ht="21" customHeight="1" x14ac:dyDescent="0.25">
      <c r="A1132" s="44"/>
      <c r="B1132" s="45"/>
      <c r="C1132" s="45"/>
      <c r="D1132" s="45"/>
      <c r="E1132" s="45"/>
      <c r="F1132" s="45"/>
      <c r="G1132" s="45"/>
      <c r="H1132" s="45"/>
      <c r="I1132" s="45"/>
      <c r="J1132" s="45"/>
      <c r="K1132" s="45"/>
      <c r="L1132" s="61"/>
      <c r="M1132" s="45"/>
      <c r="N1132" s="88"/>
      <c r="O1132" s="89" t="s">
        <v>57</v>
      </c>
      <c r="P1132" s="89">
        <v>29</v>
      </c>
      <c r="Q1132" s="89">
        <v>2</v>
      </c>
      <c r="R1132" s="89">
        <v>0</v>
      </c>
      <c r="S1132" s="93"/>
      <c r="T1132" s="89" t="s">
        <v>57</v>
      </c>
      <c r="U1132" s="162">
        <f>IF($J$1="September","",Y1131)</f>
        <v>0</v>
      </c>
      <c r="V1132" s="91"/>
      <c r="W1132" s="162">
        <f t="shared" si="213"/>
        <v>0</v>
      </c>
      <c r="X1132" s="91"/>
      <c r="Y1132" s="162">
        <f t="shared" si="214"/>
        <v>0</v>
      </c>
      <c r="Z1132" s="80"/>
    </row>
    <row r="1133" spans="1:26" s="43" customFormat="1" ht="21" customHeight="1" x14ac:dyDescent="0.25">
      <c r="A1133" s="44"/>
      <c r="B1133" s="365" t="s">
        <v>103</v>
      </c>
      <c r="C1133" s="365"/>
      <c r="D1133" s="365"/>
      <c r="E1133" s="365"/>
      <c r="F1133" s="365"/>
      <c r="G1133" s="365"/>
      <c r="H1133" s="365"/>
      <c r="I1133" s="365"/>
      <c r="J1133" s="365"/>
      <c r="K1133" s="365"/>
      <c r="L1133" s="61"/>
      <c r="M1133" s="45"/>
      <c r="N1133" s="88"/>
      <c r="O1133" s="89" t="s">
        <v>62</v>
      </c>
      <c r="P1133" s="89"/>
      <c r="Q1133" s="89"/>
      <c r="R1133" s="89" t="str">
        <f t="shared" si="215"/>
        <v/>
      </c>
      <c r="S1133" s="93"/>
      <c r="T1133" s="89" t="s">
        <v>62</v>
      </c>
      <c r="U1133" s="162" t="str">
        <f>IF($J$1="October","",Y1132)</f>
        <v/>
      </c>
      <c r="V1133" s="91"/>
      <c r="W1133" s="162" t="str">
        <f t="shared" si="213"/>
        <v/>
      </c>
      <c r="X1133" s="91"/>
      <c r="Y1133" s="162" t="str">
        <f t="shared" si="214"/>
        <v/>
      </c>
      <c r="Z1133" s="80"/>
    </row>
    <row r="1134" spans="1:26" s="43" customFormat="1" ht="21" customHeight="1" x14ac:dyDescent="0.25">
      <c r="A1134" s="44"/>
      <c r="B1134" s="365"/>
      <c r="C1134" s="365"/>
      <c r="D1134" s="365"/>
      <c r="E1134" s="365"/>
      <c r="F1134" s="365"/>
      <c r="G1134" s="365"/>
      <c r="H1134" s="365"/>
      <c r="I1134" s="365"/>
      <c r="J1134" s="365"/>
      <c r="K1134" s="365"/>
      <c r="L1134" s="61"/>
      <c r="M1134" s="45"/>
      <c r="N1134" s="88"/>
      <c r="O1134" s="89" t="s">
        <v>63</v>
      </c>
      <c r="P1134" s="89"/>
      <c r="Q1134" s="89"/>
      <c r="R1134" s="89" t="str">
        <f t="shared" si="215"/>
        <v/>
      </c>
      <c r="S1134" s="93"/>
      <c r="T1134" s="89" t="s">
        <v>63</v>
      </c>
      <c r="U1134" s="162" t="str">
        <f>IF($J$1="November","",Y1133)</f>
        <v/>
      </c>
      <c r="V1134" s="91"/>
      <c r="W1134" s="162" t="str">
        <f t="shared" si="213"/>
        <v/>
      </c>
      <c r="X1134" s="91"/>
      <c r="Y1134" s="162" t="str">
        <f t="shared" si="214"/>
        <v/>
      </c>
      <c r="Z1134" s="80"/>
    </row>
    <row r="1135" spans="1:26" s="43" customFormat="1" ht="21" customHeight="1" thickBot="1" x14ac:dyDescent="0.3">
      <c r="A1135" s="74"/>
      <c r="B1135" s="75"/>
      <c r="C1135" s="75"/>
      <c r="D1135" s="75"/>
      <c r="E1135" s="75"/>
      <c r="F1135" s="75"/>
      <c r="G1135" s="75"/>
      <c r="H1135" s="75"/>
      <c r="I1135" s="75"/>
      <c r="J1135" s="75"/>
      <c r="K1135" s="75"/>
      <c r="L1135" s="76"/>
      <c r="N1135" s="95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80"/>
    </row>
    <row r="1136" spans="1:26" s="43" customFormat="1" ht="21" hidden="1" customHeight="1" x14ac:dyDescent="0.25">
      <c r="A1136" s="407" t="s">
        <v>45</v>
      </c>
      <c r="B1136" s="408"/>
      <c r="C1136" s="408"/>
      <c r="D1136" s="408"/>
      <c r="E1136" s="408"/>
      <c r="F1136" s="408"/>
      <c r="G1136" s="408"/>
      <c r="H1136" s="408"/>
      <c r="I1136" s="408"/>
      <c r="J1136" s="408"/>
      <c r="K1136" s="408"/>
      <c r="L1136" s="409"/>
      <c r="M1136" s="79"/>
      <c r="N1136" s="81"/>
      <c r="O1136" s="372" t="s">
        <v>47</v>
      </c>
      <c r="P1136" s="373"/>
      <c r="Q1136" s="373"/>
      <c r="R1136" s="374"/>
      <c r="S1136" s="82"/>
      <c r="T1136" s="372" t="s">
        <v>48</v>
      </c>
      <c r="U1136" s="373"/>
      <c r="V1136" s="373"/>
      <c r="W1136" s="373"/>
      <c r="X1136" s="373"/>
      <c r="Y1136" s="374"/>
      <c r="Z1136" s="80"/>
    </row>
    <row r="1137" spans="1:27" s="43" customFormat="1" ht="21" hidden="1" customHeight="1" x14ac:dyDescent="0.25">
      <c r="A1137" s="44"/>
      <c r="B1137" s="45"/>
      <c r="C1137" s="375" t="s">
        <v>101</v>
      </c>
      <c r="D1137" s="375"/>
      <c r="E1137" s="375"/>
      <c r="F1137" s="375"/>
      <c r="G1137" s="46" t="str">
        <f>$J$1</f>
        <v>October</v>
      </c>
      <c r="H1137" s="376">
        <f>$K$1</f>
        <v>2020</v>
      </c>
      <c r="I1137" s="376"/>
      <c r="J1137" s="45"/>
      <c r="K1137" s="47"/>
      <c r="L1137" s="48"/>
      <c r="M1137" s="47"/>
      <c r="N1137" s="84"/>
      <c r="O1137" s="85" t="s">
        <v>58</v>
      </c>
      <c r="P1137" s="85" t="s">
        <v>7</v>
      </c>
      <c r="Q1137" s="85" t="s">
        <v>6</v>
      </c>
      <c r="R1137" s="85" t="s">
        <v>59</v>
      </c>
      <c r="S1137" s="86"/>
      <c r="T1137" s="85" t="s">
        <v>58</v>
      </c>
      <c r="U1137" s="85" t="s">
        <v>60</v>
      </c>
      <c r="V1137" s="85" t="s">
        <v>23</v>
      </c>
      <c r="W1137" s="85" t="s">
        <v>22</v>
      </c>
      <c r="X1137" s="85" t="s">
        <v>24</v>
      </c>
      <c r="Y1137" s="85" t="s">
        <v>64</v>
      </c>
      <c r="Z1137" s="80"/>
    </row>
    <row r="1138" spans="1:27" s="43" customFormat="1" ht="21" hidden="1" customHeight="1" x14ac:dyDescent="0.25">
      <c r="A1138" s="44"/>
      <c r="B1138" s="45"/>
      <c r="C1138" s="45"/>
      <c r="D1138" s="50"/>
      <c r="E1138" s="50"/>
      <c r="F1138" s="50"/>
      <c r="G1138" s="50"/>
      <c r="H1138" s="50"/>
      <c r="I1138" s="45"/>
      <c r="J1138" s="51" t="s">
        <v>1</v>
      </c>
      <c r="K1138" s="52"/>
      <c r="L1138" s="53"/>
      <c r="M1138" s="45"/>
      <c r="N1138" s="88"/>
      <c r="O1138" s="89" t="s">
        <v>50</v>
      </c>
      <c r="P1138" s="89"/>
      <c r="Q1138" s="89"/>
      <c r="R1138" s="89">
        <v>0</v>
      </c>
      <c r="S1138" s="90"/>
      <c r="T1138" s="89" t="s">
        <v>50</v>
      </c>
      <c r="U1138" s="91"/>
      <c r="V1138" s="91"/>
      <c r="W1138" s="91">
        <f>V1138+U1138</f>
        <v>0</v>
      </c>
      <c r="X1138" s="91"/>
      <c r="Y1138" s="91">
        <f>W1138-X1138</f>
        <v>0</v>
      </c>
      <c r="Z1138" s="80"/>
    </row>
    <row r="1139" spans="1:27" s="43" customFormat="1" ht="21" hidden="1" customHeight="1" x14ac:dyDescent="0.25">
      <c r="A1139" s="44"/>
      <c r="B1139" s="45" t="s">
        <v>0</v>
      </c>
      <c r="C1139" s="78"/>
      <c r="D1139" s="45"/>
      <c r="E1139" s="45"/>
      <c r="F1139" s="45"/>
      <c r="G1139" s="45"/>
      <c r="H1139" s="56"/>
      <c r="I1139" s="50"/>
      <c r="J1139" s="45"/>
      <c r="K1139" s="45"/>
      <c r="L1139" s="57"/>
      <c r="M1139" s="79"/>
      <c r="N1139" s="92"/>
      <c r="O1139" s="89" t="s">
        <v>76</v>
      </c>
      <c r="P1139" s="89"/>
      <c r="Q1139" s="89"/>
      <c r="R1139" s="89">
        <v>0</v>
      </c>
      <c r="S1139" s="93"/>
      <c r="T1139" s="89" t="s">
        <v>76</v>
      </c>
      <c r="U1139" s="162">
        <f>Y1138</f>
        <v>0</v>
      </c>
      <c r="V1139" s="91"/>
      <c r="W1139" s="162">
        <f>IF(U1139="","",U1139+V1139)</f>
        <v>0</v>
      </c>
      <c r="X1139" s="91"/>
      <c r="Y1139" s="162">
        <f>IF(W1139="","",W1139-X1139)</f>
        <v>0</v>
      </c>
      <c r="Z1139" s="80"/>
    </row>
    <row r="1140" spans="1:27" s="43" customFormat="1" ht="21" hidden="1" customHeight="1" x14ac:dyDescent="0.25">
      <c r="A1140" s="44"/>
      <c r="B1140" s="59" t="s">
        <v>46</v>
      </c>
      <c r="C1140" s="60"/>
      <c r="D1140" s="45"/>
      <c r="E1140" s="45"/>
      <c r="F1140" s="366" t="s">
        <v>48</v>
      </c>
      <c r="G1140" s="366"/>
      <c r="H1140" s="45"/>
      <c r="I1140" s="366" t="s">
        <v>49</v>
      </c>
      <c r="J1140" s="366"/>
      <c r="K1140" s="366"/>
      <c r="L1140" s="61"/>
      <c r="M1140" s="45"/>
      <c r="N1140" s="88"/>
      <c r="O1140" s="89" t="s">
        <v>51</v>
      </c>
      <c r="P1140" s="89"/>
      <c r="Q1140" s="89"/>
      <c r="R1140" s="89">
        <v>0</v>
      </c>
      <c r="S1140" s="93"/>
      <c r="T1140" s="89" t="s">
        <v>51</v>
      </c>
      <c r="U1140" s="162">
        <f>IF($J$1="April",Y1139,Y1139)</f>
        <v>0</v>
      </c>
      <c r="V1140" s="91"/>
      <c r="W1140" s="162">
        <f t="shared" ref="W1140:W1149" si="216">IF(U1140="","",U1140+V1140)</f>
        <v>0</v>
      </c>
      <c r="X1140" s="91"/>
      <c r="Y1140" s="162">
        <f t="shared" ref="Y1140:Y1149" si="217">IF(W1140="","",W1140-X1140)</f>
        <v>0</v>
      </c>
      <c r="Z1140" s="80"/>
    </row>
    <row r="1141" spans="1:27" s="43" customFormat="1" ht="21" hidden="1" customHeight="1" x14ac:dyDescent="0.25">
      <c r="A1141" s="44"/>
      <c r="B1141" s="45"/>
      <c r="C1141" s="45"/>
      <c r="D1141" s="45"/>
      <c r="E1141" s="45"/>
      <c r="F1141" s="45"/>
      <c r="G1141" s="45"/>
      <c r="H1141" s="62"/>
      <c r="L1141" s="49"/>
      <c r="M1141" s="45"/>
      <c r="N1141" s="88"/>
      <c r="O1141" s="89" t="s">
        <v>52</v>
      </c>
      <c r="P1141" s="89"/>
      <c r="Q1141" s="89"/>
      <c r="R1141" s="89" t="str">
        <f t="shared" ref="R1141:R1149" si="218">IF(Q1141="","",R1140-Q1141)</f>
        <v/>
      </c>
      <c r="S1141" s="93"/>
      <c r="T1141" s="89" t="s">
        <v>52</v>
      </c>
      <c r="U1141" s="162">
        <f>IF($J$1="April",Y1140,Y1140)</f>
        <v>0</v>
      </c>
      <c r="V1141" s="91"/>
      <c r="W1141" s="162">
        <f t="shared" si="216"/>
        <v>0</v>
      </c>
      <c r="X1141" s="91"/>
      <c r="Y1141" s="162">
        <f t="shared" si="217"/>
        <v>0</v>
      </c>
      <c r="Z1141" s="80"/>
    </row>
    <row r="1142" spans="1:27" s="43" customFormat="1" ht="21" hidden="1" customHeight="1" x14ac:dyDescent="0.25">
      <c r="A1142" s="44"/>
      <c r="B1142" s="367" t="s">
        <v>47</v>
      </c>
      <c r="C1142" s="368"/>
      <c r="D1142" s="45"/>
      <c r="E1142" s="45"/>
      <c r="F1142" s="63" t="s">
        <v>69</v>
      </c>
      <c r="G1142" s="58" t="str">
        <f>IF($J$1="January",U1138,IF($J$1="February",U1139,IF($J$1="March",U1140,IF($J$1="April",U1141,IF($J$1="May",U1142,IF($J$1="June",U1143,IF($J$1="July",U1144,IF($J$1="August",U1145,IF($J$1="August",U1145,IF($J$1="September",U1146,IF($J$1="October",U1147,IF($J$1="November",U1148,IF($J$1="December",U1149)))))))))))))</f>
        <v/>
      </c>
      <c r="H1142" s="62"/>
      <c r="I1142" s="64"/>
      <c r="J1142" s="65" t="s">
        <v>66</v>
      </c>
      <c r="K1142" s="66">
        <f>K1138/$K$2*I1142</f>
        <v>0</v>
      </c>
      <c r="L1142" s="67"/>
      <c r="M1142" s="45"/>
      <c r="N1142" s="88"/>
      <c r="O1142" s="89" t="s">
        <v>53</v>
      </c>
      <c r="P1142" s="89"/>
      <c r="Q1142" s="89"/>
      <c r="R1142" s="89" t="str">
        <f t="shared" si="218"/>
        <v/>
      </c>
      <c r="S1142" s="93"/>
      <c r="T1142" s="89" t="s">
        <v>53</v>
      </c>
      <c r="U1142" s="162">
        <f>IF($J$1="May",Y1141,Y1141)</f>
        <v>0</v>
      </c>
      <c r="V1142" s="91"/>
      <c r="W1142" s="162">
        <f t="shared" si="216"/>
        <v>0</v>
      </c>
      <c r="X1142" s="91"/>
      <c r="Y1142" s="162">
        <f t="shared" si="217"/>
        <v>0</v>
      </c>
      <c r="Z1142" s="80"/>
    </row>
    <row r="1143" spans="1:27" s="43" customFormat="1" ht="21" hidden="1" customHeight="1" x14ac:dyDescent="0.25">
      <c r="A1143" s="44"/>
      <c r="B1143" s="54"/>
      <c r="C1143" s="54"/>
      <c r="D1143" s="45"/>
      <c r="E1143" s="45"/>
      <c r="F1143" s="63" t="s">
        <v>23</v>
      </c>
      <c r="G1143" s="58">
        <f>IF($J$1="January",V1138,IF($J$1="February",V1139,IF($J$1="March",V1140,IF($J$1="April",V1141,IF($J$1="May",V1142,IF($J$1="June",V1143,IF($J$1="July",V1144,IF($J$1="August",V1145,IF($J$1="August",V1145,IF($J$1="September",V1146,IF($J$1="October",V1147,IF($J$1="November",V1148,IF($J$1="December",V1149)))))))))))))</f>
        <v>0</v>
      </c>
      <c r="H1143" s="62"/>
      <c r="I1143" s="108"/>
      <c r="J1143" s="65" t="s">
        <v>67</v>
      </c>
      <c r="K1143" s="68">
        <f>K1138/$K$2/8*I1143</f>
        <v>0</v>
      </c>
      <c r="L1143" s="69"/>
      <c r="M1143" s="45"/>
      <c r="N1143" s="88"/>
      <c r="O1143" s="89" t="s">
        <v>54</v>
      </c>
      <c r="P1143" s="89"/>
      <c r="Q1143" s="89"/>
      <c r="R1143" s="89" t="str">
        <f t="shared" si="218"/>
        <v/>
      </c>
      <c r="S1143" s="93"/>
      <c r="T1143" s="89" t="s">
        <v>54</v>
      </c>
      <c r="U1143" s="162">
        <f>IF($J$1="May",Y1142,Y1142)</f>
        <v>0</v>
      </c>
      <c r="V1143" s="91"/>
      <c r="W1143" s="162">
        <f t="shared" si="216"/>
        <v>0</v>
      </c>
      <c r="X1143" s="91"/>
      <c r="Y1143" s="162">
        <f t="shared" si="217"/>
        <v>0</v>
      </c>
      <c r="Z1143" s="80"/>
    </row>
    <row r="1144" spans="1:27" s="43" customFormat="1" ht="21" hidden="1" customHeight="1" x14ac:dyDescent="0.25">
      <c r="A1144" s="44"/>
      <c r="B1144" s="63" t="s">
        <v>7</v>
      </c>
      <c r="C1144" s="54">
        <f>IF($J$1="January",P1138,IF($J$1="February",P1139,IF($J$1="March",P1140,IF($J$1="April",P1141,IF($J$1="May",P1142,IF($J$1="June",P1143,IF($J$1="July",P1144,IF($J$1="August",P1145,IF($J$1="August",P1145,IF($J$1="September",P1146,IF($J$1="October",P1147,IF($J$1="November",P1148,IF($J$1="December",P1149)))))))))))))</f>
        <v>0</v>
      </c>
      <c r="D1144" s="45"/>
      <c r="E1144" s="45"/>
      <c r="F1144" s="63" t="s">
        <v>70</v>
      </c>
      <c r="G1144" s="58" t="str">
        <f>IF($J$1="January",W1138,IF($J$1="February",W1139,IF($J$1="March",W1140,IF($J$1="April",W1141,IF($J$1="May",W1142,IF($J$1="June",W1143,IF($J$1="July",W1144,IF($J$1="August",W1145,IF($J$1="August",W1145,IF($J$1="September",W1146,IF($J$1="October",W1147,IF($J$1="November",W1148,IF($J$1="December",W1149)))))))))))))</f>
        <v/>
      </c>
      <c r="H1144" s="62"/>
      <c r="I1144" s="361" t="s">
        <v>74</v>
      </c>
      <c r="J1144" s="362"/>
      <c r="K1144" s="68">
        <f>K1142+K1143</f>
        <v>0</v>
      </c>
      <c r="L1144" s="69"/>
      <c r="M1144" s="45"/>
      <c r="N1144" s="88"/>
      <c r="O1144" s="89" t="s">
        <v>55</v>
      </c>
      <c r="P1144" s="89"/>
      <c r="Q1144" s="89"/>
      <c r="R1144" s="89" t="str">
        <f t="shared" si="218"/>
        <v/>
      </c>
      <c r="S1144" s="93"/>
      <c r="T1144" s="89" t="s">
        <v>55</v>
      </c>
      <c r="U1144" s="162" t="str">
        <f>IF($J$1="July",Y1143,"")</f>
        <v/>
      </c>
      <c r="V1144" s="91"/>
      <c r="W1144" s="162" t="str">
        <f t="shared" si="216"/>
        <v/>
      </c>
      <c r="X1144" s="91"/>
      <c r="Y1144" s="162" t="str">
        <f t="shared" si="217"/>
        <v/>
      </c>
      <c r="Z1144" s="80"/>
    </row>
    <row r="1145" spans="1:27" s="43" customFormat="1" ht="21" hidden="1" customHeight="1" x14ac:dyDescent="0.25">
      <c r="A1145" s="44"/>
      <c r="B1145" s="63" t="s">
        <v>6</v>
      </c>
      <c r="C1145" s="54">
        <f>IF($J$1="January",Q1138,IF($J$1="February",Q1139,IF($J$1="March",Q1140,IF($J$1="April",Q1141,IF($J$1="May",Q1142,IF($J$1="June",Q1143,IF($J$1="July",Q1144,IF($J$1="August",Q1145,IF($J$1="August",Q1145,IF($J$1="September",Q1146,IF($J$1="October",Q1147,IF($J$1="November",Q1148,IF($J$1="December",Q1149)))))))))))))</f>
        <v>0</v>
      </c>
      <c r="D1145" s="45"/>
      <c r="E1145" s="45"/>
      <c r="F1145" s="63" t="s">
        <v>24</v>
      </c>
      <c r="G1145" s="58">
        <f>IF($J$1="January",X1138,IF($J$1="February",X1139,IF($J$1="March",X1140,IF($J$1="April",X1141,IF($J$1="May",X1142,IF($J$1="June",X1143,IF($J$1="July",X1144,IF($J$1="August",X1145,IF($J$1="August",X1145,IF($J$1="September",X1146,IF($J$1="October",X1147,IF($J$1="November",X1148,IF($J$1="December",X1149)))))))))))))</f>
        <v>0</v>
      </c>
      <c r="H1145" s="62"/>
      <c r="I1145" s="361" t="s">
        <v>75</v>
      </c>
      <c r="J1145" s="362"/>
      <c r="K1145" s="58">
        <f>G1145</f>
        <v>0</v>
      </c>
      <c r="L1145" s="70"/>
      <c r="M1145" s="45"/>
      <c r="N1145" s="88"/>
      <c r="O1145" s="89" t="s">
        <v>56</v>
      </c>
      <c r="P1145" s="89"/>
      <c r="Q1145" s="89"/>
      <c r="R1145" s="89" t="str">
        <f t="shared" si="218"/>
        <v/>
      </c>
      <c r="S1145" s="93"/>
      <c r="T1145" s="89" t="s">
        <v>56</v>
      </c>
      <c r="U1145" s="162" t="str">
        <f>IF($J$1="August",Y1144,"")</f>
        <v/>
      </c>
      <c r="V1145" s="91"/>
      <c r="W1145" s="162" t="str">
        <f t="shared" si="216"/>
        <v/>
      </c>
      <c r="X1145" s="91"/>
      <c r="Y1145" s="162" t="str">
        <f t="shared" si="217"/>
        <v/>
      </c>
      <c r="Z1145" s="80"/>
    </row>
    <row r="1146" spans="1:27" s="43" customFormat="1" ht="21" hidden="1" customHeight="1" x14ac:dyDescent="0.25">
      <c r="A1146" s="44"/>
      <c r="B1146" s="71" t="s">
        <v>73</v>
      </c>
      <c r="C1146" s="54" t="str">
        <f>IF($J$1="January",R1138,IF($J$1="February",R1139,IF($J$1="March",R1140,IF($J$1="April",R1141,IF($J$1="May",R1142,IF($J$1="June",R1143,IF($J$1="July",R1144,IF($J$1="August",R1145,IF($J$1="August",R1145,IF($J$1="September",R1146,IF($J$1="October",R1147,IF($J$1="November",R1148,IF($J$1="December",R1149)))))))))))))</f>
        <v/>
      </c>
      <c r="D1146" s="45"/>
      <c r="E1146" s="45"/>
      <c r="F1146" s="63" t="s">
        <v>72</v>
      </c>
      <c r="G1146" s="58" t="str">
        <f>IF($J$1="January",Y1138,IF($J$1="February",Y1139,IF($J$1="March",Y1140,IF($J$1="April",Y1141,IF($J$1="May",Y1142,IF($J$1="June",Y1143,IF($J$1="July",Y1144,IF($J$1="August",Y1145,IF($J$1="August",Y1145,IF($J$1="September",Y1146,IF($J$1="October",Y1147,IF($J$1="November",Y1148,IF($J$1="December",Y1149)))))))))))))</f>
        <v/>
      </c>
      <c r="H1146" s="45"/>
      <c r="I1146" s="363" t="s">
        <v>68</v>
      </c>
      <c r="J1146" s="364"/>
      <c r="K1146" s="72">
        <f>K1144-K1145</f>
        <v>0</v>
      </c>
      <c r="L1146" s="73"/>
      <c r="M1146" s="45"/>
      <c r="N1146" s="88"/>
      <c r="O1146" s="89" t="s">
        <v>61</v>
      </c>
      <c r="P1146" s="89"/>
      <c r="Q1146" s="89"/>
      <c r="R1146" s="89" t="str">
        <f t="shared" si="218"/>
        <v/>
      </c>
      <c r="S1146" s="93"/>
      <c r="T1146" s="89" t="s">
        <v>61</v>
      </c>
      <c r="U1146" s="162" t="str">
        <f>IF($J$1="Sept",Y1145,"")</f>
        <v/>
      </c>
      <c r="V1146" s="91"/>
      <c r="W1146" s="162" t="str">
        <f t="shared" si="216"/>
        <v/>
      </c>
      <c r="X1146" s="91"/>
      <c r="Y1146" s="162" t="str">
        <f t="shared" si="217"/>
        <v/>
      </c>
      <c r="Z1146" s="80"/>
    </row>
    <row r="1147" spans="1:27" s="43" customFormat="1" ht="21" hidden="1" customHeight="1" x14ac:dyDescent="0.25">
      <c r="A1147" s="44"/>
      <c r="B1147" s="45"/>
      <c r="C1147" s="45"/>
      <c r="D1147" s="45"/>
      <c r="E1147" s="45"/>
      <c r="F1147" s="45"/>
      <c r="G1147" s="45"/>
      <c r="H1147" s="45"/>
      <c r="I1147" s="45"/>
      <c r="J1147" s="45"/>
      <c r="K1147" s="45"/>
      <c r="L1147" s="61"/>
      <c r="M1147" s="45"/>
      <c r="N1147" s="88"/>
      <c r="O1147" s="89" t="s">
        <v>57</v>
      </c>
      <c r="P1147" s="89"/>
      <c r="Q1147" s="89"/>
      <c r="R1147" s="89" t="str">
        <f t="shared" si="218"/>
        <v/>
      </c>
      <c r="S1147" s="93"/>
      <c r="T1147" s="89" t="s">
        <v>57</v>
      </c>
      <c r="U1147" s="162" t="str">
        <f>IF($J$1="October",Y1146,"")</f>
        <v/>
      </c>
      <c r="V1147" s="91"/>
      <c r="W1147" s="162" t="str">
        <f t="shared" si="216"/>
        <v/>
      </c>
      <c r="X1147" s="91"/>
      <c r="Y1147" s="162" t="str">
        <f t="shared" si="217"/>
        <v/>
      </c>
      <c r="Z1147" s="80"/>
    </row>
    <row r="1148" spans="1:27" s="43" customFormat="1" ht="21" hidden="1" customHeight="1" x14ac:dyDescent="0.25">
      <c r="A1148" s="44"/>
      <c r="B1148" s="365" t="s">
        <v>103</v>
      </c>
      <c r="C1148" s="365"/>
      <c r="D1148" s="365"/>
      <c r="E1148" s="365"/>
      <c r="F1148" s="365"/>
      <c r="G1148" s="365"/>
      <c r="H1148" s="365"/>
      <c r="I1148" s="365"/>
      <c r="J1148" s="365"/>
      <c r="K1148" s="365"/>
      <c r="L1148" s="61"/>
      <c r="M1148" s="45"/>
      <c r="N1148" s="88"/>
      <c r="O1148" s="89" t="s">
        <v>62</v>
      </c>
      <c r="P1148" s="89"/>
      <c r="Q1148" s="89"/>
      <c r="R1148" s="89" t="str">
        <f t="shared" si="218"/>
        <v/>
      </c>
      <c r="S1148" s="93"/>
      <c r="T1148" s="89" t="s">
        <v>62</v>
      </c>
      <c r="U1148" s="162" t="str">
        <f>IF($J$1="November",Y1147,"")</f>
        <v/>
      </c>
      <c r="V1148" s="91"/>
      <c r="W1148" s="162" t="str">
        <f t="shared" si="216"/>
        <v/>
      </c>
      <c r="X1148" s="91"/>
      <c r="Y1148" s="162" t="str">
        <f t="shared" si="217"/>
        <v/>
      </c>
      <c r="Z1148" s="80"/>
    </row>
    <row r="1149" spans="1:27" s="43" customFormat="1" ht="21" hidden="1" customHeight="1" x14ac:dyDescent="0.25">
      <c r="A1149" s="44"/>
      <c r="B1149" s="365"/>
      <c r="C1149" s="365"/>
      <c r="D1149" s="365"/>
      <c r="E1149" s="365"/>
      <c r="F1149" s="365"/>
      <c r="G1149" s="365"/>
      <c r="H1149" s="365"/>
      <c r="I1149" s="365"/>
      <c r="J1149" s="365"/>
      <c r="K1149" s="365"/>
      <c r="L1149" s="61"/>
      <c r="M1149" s="45"/>
      <c r="N1149" s="88"/>
      <c r="O1149" s="89" t="s">
        <v>63</v>
      </c>
      <c r="P1149" s="89"/>
      <c r="Q1149" s="89"/>
      <c r="R1149" s="89" t="str">
        <f t="shared" si="218"/>
        <v/>
      </c>
      <c r="S1149" s="93"/>
      <c r="T1149" s="89" t="s">
        <v>63</v>
      </c>
      <c r="U1149" s="162" t="str">
        <f>IF($J$1="Dec",Y1148,"")</f>
        <v/>
      </c>
      <c r="V1149" s="91"/>
      <c r="W1149" s="162" t="str">
        <f t="shared" si="216"/>
        <v/>
      </c>
      <c r="X1149" s="91"/>
      <c r="Y1149" s="162" t="str">
        <f t="shared" si="217"/>
        <v/>
      </c>
      <c r="Z1149" s="80"/>
    </row>
    <row r="1150" spans="1:27" s="43" customFormat="1" ht="21" hidden="1" customHeight="1" thickBot="1" x14ac:dyDescent="0.3">
      <c r="A1150" s="74"/>
      <c r="B1150" s="75"/>
      <c r="C1150" s="75"/>
      <c r="D1150" s="75"/>
      <c r="E1150" s="75"/>
      <c r="F1150" s="75"/>
      <c r="G1150" s="75"/>
      <c r="H1150" s="75"/>
      <c r="I1150" s="75"/>
      <c r="J1150" s="75"/>
      <c r="K1150" s="75"/>
      <c r="L1150" s="76"/>
      <c r="N1150" s="95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80"/>
    </row>
    <row r="1151" spans="1:27" ht="21" hidden="1" customHeight="1" thickBot="1" x14ac:dyDescent="0.35"/>
    <row r="1152" spans="1:27" s="43" customFormat="1" ht="21" hidden="1" customHeight="1" x14ac:dyDescent="0.25">
      <c r="A1152" s="380" t="s">
        <v>45</v>
      </c>
      <c r="B1152" s="381"/>
      <c r="C1152" s="381"/>
      <c r="D1152" s="381"/>
      <c r="E1152" s="381"/>
      <c r="F1152" s="381"/>
      <c r="G1152" s="381"/>
      <c r="H1152" s="381"/>
      <c r="I1152" s="381"/>
      <c r="J1152" s="381"/>
      <c r="K1152" s="381"/>
      <c r="L1152" s="382"/>
      <c r="M1152" s="131"/>
      <c r="N1152" s="81"/>
      <c r="O1152" s="372" t="s">
        <v>47</v>
      </c>
      <c r="P1152" s="373"/>
      <c r="Q1152" s="373"/>
      <c r="R1152" s="374"/>
      <c r="S1152" s="82"/>
      <c r="T1152" s="372" t="s">
        <v>48</v>
      </c>
      <c r="U1152" s="373"/>
      <c r="V1152" s="373"/>
      <c r="W1152" s="373"/>
      <c r="X1152" s="373"/>
      <c r="Y1152" s="374"/>
      <c r="Z1152" s="83"/>
      <c r="AA1152" s="131"/>
    </row>
    <row r="1153" spans="1:27" s="43" customFormat="1" ht="21" hidden="1" customHeight="1" x14ac:dyDescent="0.25">
      <c r="A1153" s="44"/>
      <c r="B1153" s="45"/>
      <c r="C1153" s="375" t="s">
        <v>101</v>
      </c>
      <c r="D1153" s="375"/>
      <c r="E1153" s="375"/>
      <c r="F1153" s="375"/>
      <c r="G1153" s="46" t="str">
        <f>$J$1</f>
        <v>October</v>
      </c>
      <c r="H1153" s="376">
        <f>$K$1</f>
        <v>2020</v>
      </c>
      <c r="I1153" s="376"/>
      <c r="J1153" s="45"/>
      <c r="K1153" s="47"/>
      <c r="L1153" s="48"/>
      <c r="M1153" s="47"/>
      <c r="N1153" s="84"/>
      <c r="O1153" s="85" t="s">
        <v>58</v>
      </c>
      <c r="P1153" s="85" t="s">
        <v>7</v>
      </c>
      <c r="Q1153" s="85" t="s">
        <v>6</v>
      </c>
      <c r="R1153" s="85" t="s">
        <v>59</v>
      </c>
      <c r="S1153" s="86"/>
      <c r="T1153" s="85" t="s">
        <v>58</v>
      </c>
      <c r="U1153" s="85" t="s">
        <v>60</v>
      </c>
      <c r="V1153" s="85" t="s">
        <v>23</v>
      </c>
      <c r="W1153" s="85" t="s">
        <v>22</v>
      </c>
      <c r="X1153" s="85" t="s">
        <v>24</v>
      </c>
      <c r="Y1153" s="85" t="s">
        <v>64</v>
      </c>
      <c r="Z1153" s="87"/>
      <c r="AA1153" s="47"/>
    </row>
    <row r="1154" spans="1:27" s="43" customFormat="1" ht="21" hidden="1" customHeight="1" x14ac:dyDescent="0.25">
      <c r="A1154" s="44"/>
      <c r="B1154" s="45"/>
      <c r="C1154" s="45"/>
      <c r="D1154" s="50"/>
      <c r="E1154" s="50"/>
      <c r="F1154" s="50"/>
      <c r="G1154" s="50"/>
      <c r="H1154" s="50"/>
      <c r="I1154" s="45"/>
      <c r="J1154" s="51" t="s">
        <v>1</v>
      </c>
      <c r="K1154" s="52"/>
      <c r="L1154" s="53"/>
      <c r="M1154" s="45"/>
      <c r="N1154" s="88"/>
      <c r="O1154" s="89" t="s">
        <v>50</v>
      </c>
      <c r="P1154" s="89"/>
      <c r="Q1154" s="89"/>
      <c r="R1154" s="89">
        <v>0</v>
      </c>
      <c r="S1154" s="90"/>
      <c r="T1154" s="89" t="s">
        <v>50</v>
      </c>
      <c r="U1154" s="91"/>
      <c r="V1154" s="91"/>
      <c r="W1154" s="91">
        <f>V1154+U1154</f>
        <v>0</v>
      </c>
      <c r="X1154" s="91"/>
      <c r="Y1154" s="91">
        <f>W1154-X1154</f>
        <v>0</v>
      </c>
      <c r="Z1154" s="87"/>
      <c r="AA1154" s="45"/>
    </row>
    <row r="1155" spans="1:27" s="43" customFormat="1" ht="21" hidden="1" customHeight="1" x14ac:dyDescent="0.25">
      <c r="A1155" s="44"/>
      <c r="B1155" s="45" t="s">
        <v>0</v>
      </c>
      <c r="C1155" s="100"/>
      <c r="D1155" s="45"/>
      <c r="E1155" s="45"/>
      <c r="F1155" s="45"/>
      <c r="G1155" s="45"/>
      <c r="H1155" s="56"/>
      <c r="I1155" s="50"/>
      <c r="J1155" s="45"/>
      <c r="K1155" s="45"/>
      <c r="L1155" s="57"/>
      <c r="M1155" s="131"/>
      <c r="N1155" s="92"/>
      <c r="O1155" s="89" t="s">
        <v>76</v>
      </c>
      <c r="P1155" s="89"/>
      <c r="Q1155" s="89"/>
      <c r="R1155" s="89">
        <v>0</v>
      </c>
      <c r="S1155" s="93"/>
      <c r="T1155" s="89" t="s">
        <v>76</v>
      </c>
      <c r="U1155" s="162">
        <f>Y1154</f>
        <v>0</v>
      </c>
      <c r="V1155" s="91"/>
      <c r="W1155" s="162">
        <f>IF(U1155="","",U1155+V1155)</f>
        <v>0</v>
      </c>
      <c r="X1155" s="91"/>
      <c r="Y1155" s="162">
        <f>IF(W1155="","",W1155-X1155)</f>
        <v>0</v>
      </c>
      <c r="Z1155" s="94"/>
      <c r="AA1155" s="131"/>
    </row>
    <row r="1156" spans="1:27" s="43" customFormat="1" ht="21" hidden="1" customHeight="1" x14ac:dyDescent="0.25">
      <c r="A1156" s="44"/>
      <c r="B1156" s="59" t="s">
        <v>46</v>
      </c>
      <c r="C1156" s="60"/>
      <c r="D1156" s="45"/>
      <c r="E1156" s="45"/>
      <c r="F1156" s="363" t="s">
        <v>48</v>
      </c>
      <c r="G1156" s="364"/>
      <c r="H1156" s="45"/>
      <c r="I1156" s="363" t="s">
        <v>49</v>
      </c>
      <c r="J1156" s="423"/>
      <c r="K1156" s="364"/>
      <c r="L1156" s="61"/>
      <c r="M1156" s="45"/>
      <c r="N1156" s="88"/>
      <c r="O1156" s="89" t="s">
        <v>51</v>
      </c>
      <c r="P1156" s="89"/>
      <c r="Q1156" s="89"/>
      <c r="R1156" s="89" t="str">
        <f>IF(Q1156="","",R1155-Q1156)</f>
        <v/>
      </c>
      <c r="S1156" s="93"/>
      <c r="T1156" s="89" t="s">
        <v>51</v>
      </c>
      <c r="U1156" s="162">
        <f>IF($J$1="April",Y1155,Y1155)</f>
        <v>0</v>
      </c>
      <c r="V1156" s="91"/>
      <c r="W1156" s="162">
        <f t="shared" ref="W1156:W1165" si="219">IF(U1156="","",U1156+V1156)</f>
        <v>0</v>
      </c>
      <c r="X1156" s="91"/>
      <c r="Y1156" s="162">
        <f t="shared" ref="Y1156:Y1165" si="220">IF(W1156="","",W1156-X1156)</f>
        <v>0</v>
      </c>
      <c r="Z1156" s="94"/>
      <c r="AA1156" s="45"/>
    </row>
    <row r="1157" spans="1:27" s="43" customFormat="1" ht="21" hidden="1" customHeight="1" x14ac:dyDescent="0.25">
      <c r="A1157" s="44"/>
      <c r="B1157" s="45"/>
      <c r="C1157" s="45"/>
      <c r="D1157" s="45"/>
      <c r="E1157" s="45"/>
      <c r="F1157" s="45"/>
      <c r="G1157" s="45"/>
      <c r="H1157" s="62"/>
      <c r="L1157" s="49"/>
      <c r="M1157" s="45"/>
      <c r="N1157" s="88"/>
      <c r="O1157" s="89" t="s">
        <v>52</v>
      </c>
      <c r="P1157" s="89"/>
      <c r="Q1157" s="89"/>
      <c r="R1157" s="89">
        <v>0</v>
      </c>
      <c r="S1157" s="93"/>
      <c r="T1157" s="89" t="s">
        <v>52</v>
      </c>
      <c r="U1157" s="162">
        <f>IF($J$1="April",Y1156,Y1156)</f>
        <v>0</v>
      </c>
      <c r="V1157" s="91"/>
      <c r="W1157" s="162">
        <f t="shared" si="219"/>
        <v>0</v>
      </c>
      <c r="X1157" s="91"/>
      <c r="Y1157" s="162">
        <f t="shared" si="220"/>
        <v>0</v>
      </c>
      <c r="Z1157" s="94"/>
      <c r="AA1157" s="45"/>
    </row>
    <row r="1158" spans="1:27" s="43" customFormat="1" ht="21" hidden="1" customHeight="1" x14ac:dyDescent="0.25">
      <c r="A1158" s="44"/>
      <c r="B1158" s="367" t="s">
        <v>47</v>
      </c>
      <c r="C1158" s="368"/>
      <c r="D1158" s="45"/>
      <c r="E1158" s="45"/>
      <c r="F1158" s="63" t="s">
        <v>69</v>
      </c>
      <c r="G1158" s="58" t="str">
        <f>IF($J$1="January",U1154,IF($J$1="February",U1155,IF($J$1="March",U1156,IF($J$1="April",U1157,IF($J$1="May",U1158,IF($J$1="June",U1159,IF($J$1="July",U1160,IF($J$1="August",U1161,IF($J$1="August",U1161,IF($J$1="September",U1162,IF($J$1="October",U1163,IF($J$1="November",U1164,IF($J$1="December",U1165)))))))))))))</f>
        <v/>
      </c>
      <c r="H1158" s="62"/>
      <c r="I1158" s="64"/>
      <c r="J1158" s="65" t="s">
        <v>66</v>
      </c>
      <c r="K1158" s="66">
        <f>K1154/$K$2*I1158</f>
        <v>0</v>
      </c>
      <c r="L1158" s="67"/>
      <c r="M1158" s="45"/>
      <c r="N1158" s="88"/>
      <c r="O1158" s="89" t="s">
        <v>53</v>
      </c>
      <c r="P1158" s="89"/>
      <c r="Q1158" s="89"/>
      <c r="R1158" s="89">
        <v>0</v>
      </c>
      <c r="S1158" s="93"/>
      <c r="T1158" s="89" t="s">
        <v>53</v>
      </c>
      <c r="U1158" s="162">
        <f>IF($J$1="May",Y1157,Y1157)</f>
        <v>0</v>
      </c>
      <c r="V1158" s="91"/>
      <c r="W1158" s="162">
        <f t="shared" si="219"/>
        <v>0</v>
      </c>
      <c r="X1158" s="91"/>
      <c r="Y1158" s="162">
        <f t="shared" si="220"/>
        <v>0</v>
      </c>
      <c r="Z1158" s="94"/>
      <c r="AA1158" s="45"/>
    </row>
    <row r="1159" spans="1:27" s="43" customFormat="1" ht="21" hidden="1" customHeight="1" x14ac:dyDescent="0.25">
      <c r="A1159" s="44"/>
      <c r="B1159" s="54"/>
      <c r="C1159" s="54"/>
      <c r="D1159" s="45"/>
      <c r="E1159" s="45"/>
      <c r="F1159" s="63" t="s">
        <v>23</v>
      </c>
      <c r="G1159" s="58">
        <f>IF($J$1="January",V1154,IF($J$1="February",V1155,IF($J$1="March",V1156,IF($J$1="April",V1157,IF($J$1="May",V1158,IF($J$1="June",V1159,IF($J$1="July",V1160,IF($J$1="August",V1161,IF($J$1="August",V1161,IF($J$1="September",V1162,IF($J$1="October",V1163,IF($J$1="November",V1164,IF($J$1="December",V1165)))))))))))))</f>
        <v>0</v>
      </c>
      <c r="H1159" s="62"/>
      <c r="I1159" s="178"/>
      <c r="J1159" s="65" t="s">
        <v>67</v>
      </c>
      <c r="K1159" s="68">
        <f>K1154/$K$2/8*I1159</f>
        <v>0</v>
      </c>
      <c r="L1159" s="69"/>
      <c r="M1159" s="45"/>
      <c r="N1159" s="88"/>
      <c r="O1159" s="89" t="s">
        <v>54</v>
      </c>
      <c r="P1159" s="89"/>
      <c r="Q1159" s="89"/>
      <c r="R1159" s="89">
        <v>0</v>
      </c>
      <c r="S1159" s="93"/>
      <c r="T1159" s="89" t="s">
        <v>54</v>
      </c>
      <c r="U1159" s="162">
        <f>IF($J$1="May",Y1158,Y1158)</f>
        <v>0</v>
      </c>
      <c r="V1159" s="91"/>
      <c r="W1159" s="162">
        <f t="shared" si="219"/>
        <v>0</v>
      </c>
      <c r="X1159" s="91"/>
      <c r="Y1159" s="162">
        <f t="shared" si="220"/>
        <v>0</v>
      </c>
      <c r="Z1159" s="94"/>
      <c r="AA1159" s="45"/>
    </row>
    <row r="1160" spans="1:27" s="43" customFormat="1" ht="21" hidden="1" customHeight="1" x14ac:dyDescent="0.25">
      <c r="A1160" s="44"/>
      <c r="B1160" s="63" t="s">
        <v>7</v>
      </c>
      <c r="C1160" s="54">
        <f>IF($J$1="January",P1154,IF($J$1="February",P1155,IF($J$1="March",P1156,IF($J$1="April",P1157,IF($J$1="May",P1158,IF($J$1="June",P1159,IF($J$1="July",P1160,IF($J$1="August",P1161,IF($J$1="August",P1161,IF($J$1="September",P1162,IF($J$1="October",P1163,IF($J$1="November",P1164,IF($J$1="December",P1165)))))))))))))</f>
        <v>0</v>
      </c>
      <c r="D1160" s="45"/>
      <c r="E1160" s="45"/>
      <c r="F1160" s="63" t="s">
        <v>70</v>
      </c>
      <c r="G1160" s="58" t="str">
        <f>IF($J$1="January",W1154,IF($J$1="February",W1155,IF($J$1="March",W1156,IF($J$1="April",W1157,IF($J$1="May",W1158,IF($J$1="June",W1159,IF($J$1="July",W1160,IF($J$1="August",W1161,IF($J$1="August",W1161,IF($J$1="September",W1162,IF($J$1="October",W1163,IF($J$1="November",W1164,IF($J$1="December",W1165)))))))))))))</f>
        <v/>
      </c>
      <c r="H1160" s="62"/>
      <c r="I1160" s="361" t="s">
        <v>74</v>
      </c>
      <c r="J1160" s="362"/>
      <c r="K1160" s="68">
        <f>K1158+K1159</f>
        <v>0</v>
      </c>
      <c r="L1160" s="69"/>
      <c r="M1160" s="45"/>
      <c r="N1160" s="88"/>
      <c r="O1160" s="89" t="s">
        <v>55</v>
      </c>
      <c r="P1160" s="89"/>
      <c r="Q1160" s="89"/>
      <c r="R1160" s="89">
        <v>0</v>
      </c>
      <c r="S1160" s="93"/>
      <c r="T1160" s="89" t="s">
        <v>55</v>
      </c>
      <c r="U1160" s="162" t="str">
        <f>IF($J$1="July",Y1159,"")</f>
        <v/>
      </c>
      <c r="V1160" s="91"/>
      <c r="W1160" s="162" t="str">
        <f t="shared" si="219"/>
        <v/>
      </c>
      <c r="X1160" s="91"/>
      <c r="Y1160" s="162" t="str">
        <f t="shared" si="220"/>
        <v/>
      </c>
      <c r="Z1160" s="94"/>
      <c r="AA1160" s="45"/>
    </row>
    <row r="1161" spans="1:27" s="43" customFormat="1" ht="21" hidden="1" customHeight="1" x14ac:dyDescent="0.25">
      <c r="A1161" s="44"/>
      <c r="B1161" s="63" t="s">
        <v>6</v>
      </c>
      <c r="C1161" s="54">
        <f>IF($J$1="January",Q1154,IF($J$1="February",Q1155,IF($J$1="March",Q1156,IF($J$1="April",Q1157,IF($J$1="May",Q1158,IF($J$1="June",Q1159,IF($J$1="July",Q1160,IF($J$1="August",Q1161,IF($J$1="August",Q1161,IF($J$1="September",Q1162,IF($J$1="October",Q1163,IF($J$1="November",Q1164,IF($J$1="December",Q1165)))))))))))))</f>
        <v>0</v>
      </c>
      <c r="D1161" s="45"/>
      <c r="E1161" s="45"/>
      <c r="F1161" s="63" t="s">
        <v>24</v>
      </c>
      <c r="G1161" s="58">
        <f>IF($J$1="January",X1154,IF($J$1="February",X1155,IF($J$1="March",X1156,IF($J$1="April",X1157,IF($J$1="May",X1158,IF($J$1="June",X1159,IF($J$1="July",X1160,IF($J$1="August",X1161,IF($J$1="August",X1161,IF($J$1="September",X1162,IF($J$1="October",X1163,IF($J$1="November",X1164,IF($J$1="December",X1165)))))))))))))</f>
        <v>0</v>
      </c>
      <c r="H1161" s="62"/>
      <c r="I1161" s="361" t="s">
        <v>75</v>
      </c>
      <c r="J1161" s="362"/>
      <c r="K1161" s="58">
        <f>G1161</f>
        <v>0</v>
      </c>
      <c r="L1161" s="70"/>
      <c r="M1161" s="45"/>
      <c r="N1161" s="88"/>
      <c r="O1161" s="89" t="s">
        <v>56</v>
      </c>
      <c r="P1161" s="89"/>
      <c r="Q1161" s="89"/>
      <c r="R1161" s="89" t="str">
        <f>IF(Q1161="","",R1160-Q1161)</f>
        <v/>
      </c>
      <c r="S1161" s="93"/>
      <c r="T1161" s="89" t="s">
        <v>56</v>
      </c>
      <c r="U1161" s="162" t="str">
        <f>IF($J$1="August",Y1160,"")</f>
        <v/>
      </c>
      <c r="V1161" s="91"/>
      <c r="W1161" s="162" t="str">
        <f t="shared" si="219"/>
        <v/>
      </c>
      <c r="X1161" s="91"/>
      <c r="Y1161" s="162" t="str">
        <f t="shared" si="220"/>
        <v/>
      </c>
      <c r="Z1161" s="94"/>
      <c r="AA1161" s="45"/>
    </row>
    <row r="1162" spans="1:27" s="43" customFormat="1" ht="21" hidden="1" customHeight="1" x14ac:dyDescent="0.25">
      <c r="A1162" s="44"/>
      <c r="B1162" s="71" t="s">
        <v>73</v>
      </c>
      <c r="C1162" s="54">
        <f>IF($J$1="January",R1154,IF($J$1="February",R1155,IF($J$1="March",R1156,IF($J$1="April",R1157,IF($J$1="May",R1158,IF($J$1="June",R1159,IF($J$1="July",R1160,IF($J$1="August",R1161,IF($J$1="August",R1161,IF($J$1="September",R1162,IF($J$1="October",R1163,IF($J$1="November",R1164,IF($J$1="December",R1165)))))))))))))</f>
        <v>0</v>
      </c>
      <c r="D1162" s="45"/>
      <c r="E1162" s="45"/>
      <c r="F1162" s="63" t="s">
        <v>72</v>
      </c>
      <c r="G1162" s="58" t="str">
        <f>IF($J$1="January",Y1154,IF($J$1="February",Y1155,IF($J$1="March",Y1156,IF($J$1="April",Y1157,IF($J$1="May",Y1158,IF($J$1="June",Y1159,IF($J$1="July",Y1160,IF($J$1="August",Y1161,IF($J$1="August",Y1161,IF($J$1="September",Y1162,IF($J$1="October",Y1163,IF($J$1="November",Y1164,IF($J$1="December",Y1165)))))))))))))</f>
        <v/>
      </c>
      <c r="H1162" s="45"/>
      <c r="I1162" s="363" t="s">
        <v>68</v>
      </c>
      <c r="J1162" s="364"/>
      <c r="K1162" s="72">
        <f>K1160-K1161</f>
        <v>0</v>
      </c>
      <c r="L1162" s="73"/>
      <c r="M1162" s="45"/>
      <c r="N1162" s="88"/>
      <c r="O1162" s="89" t="s">
        <v>61</v>
      </c>
      <c r="P1162" s="89"/>
      <c r="Q1162" s="89"/>
      <c r="R1162" s="89">
        <v>0</v>
      </c>
      <c r="S1162" s="93"/>
      <c r="T1162" s="89" t="s">
        <v>61</v>
      </c>
      <c r="U1162" s="162" t="str">
        <f>IF($J$1="Sept",Y1161,"")</f>
        <v/>
      </c>
      <c r="V1162" s="91"/>
      <c r="W1162" s="162" t="str">
        <f t="shared" si="219"/>
        <v/>
      </c>
      <c r="X1162" s="91"/>
      <c r="Y1162" s="162" t="str">
        <f t="shared" si="220"/>
        <v/>
      </c>
      <c r="Z1162" s="94"/>
      <c r="AA1162" s="45"/>
    </row>
    <row r="1163" spans="1:27" s="43" customFormat="1" ht="21" hidden="1" customHeight="1" x14ac:dyDescent="0.25">
      <c r="A1163" s="44"/>
      <c r="B1163" s="45"/>
      <c r="C1163" s="45"/>
      <c r="D1163" s="45"/>
      <c r="E1163" s="45"/>
      <c r="F1163" s="45"/>
      <c r="G1163" s="45"/>
      <c r="H1163" s="45"/>
      <c r="I1163" s="45"/>
      <c r="J1163" s="45"/>
      <c r="K1163" s="45"/>
      <c r="L1163" s="61"/>
      <c r="M1163" s="45"/>
      <c r="N1163" s="88"/>
      <c r="O1163" s="89" t="s">
        <v>57</v>
      </c>
      <c r="P1163" s="89"/>
      <c r="Q1163" s="89"/>
      <c r="R1163" s="89">
        <v>0</v>
      </c>
      <c r="S1163" s="93"/>
      <c r="T1163" s="89" t="s">
        <v>57</v>
      </c>
      <c r="U1163" s="162" t="str">
        <f>IF($J$1="October",Y1162,"")</f>
        <v/>
      </c>
      <c r="V1163" s="91"/>
      <c r="W1163" s="162" t="str">
        <f t="shared" si="219"/>
        <v/>
      </c>
      <c r="X1163" s="91"/>
      <c r="Y1163" s="162" t="str">
        <f t="shared" si="220"/>
        <v/>
      </c>
      <c r="Z1163" s="94"/>
      <c r="AA1163" s="45"/>
    </row>
    <row r="1164" spans="1:27" s="43" customFormat="1" ht="21" hidden="1" customHeight="1" x14ac:dyDescent="0.25">
      <c r="A1164" s="44"/>
      <c r="B1164" s="365" t="s">
        <v>103</v>
      </c>
      <c r="C1164" s="365"/>
      <c r="D1164" s="365"/>
      <c r="E1164" s="365"/>
      <c r="F1164" s="365"/>
      <c r="G1164" s="365"/>
      <c r="H1164" s="365"/>
      <c r="I1164" s="365"/>
      <c r="J1164" s="365"/>
      <c r="K1164" s="365"/>
      <c r="L1164" s="61"/>
      <c r="M1164" s="45"/>
      <c r="N1164" s="88"/>
      <c r="O1164" s="89" t="s">
        <v>62</v>
      </c>
      <c r="P1164" s="89"/>
      <c r="Q1164" s="89"/>
      <c r="R1164" s="89" t="str">
        <f>IF(Q1164="","",R1163-Q1164)</f>
        <v/>
      </c>
      <c r="S1164" s="93"/>
      <c r="T1164" s="89" t="s">
        <v>62</v>
      </c>
      <c r="U1164" s="162" t="str">
        <f>IF($J$1="November",Y1163,"")</f>
        <v/>
      </c>
      <c r="V1164" s="91"/>
      <c r="W1164" s="162" t="str">
        <f t="shared" si="219"/>
        <v/>
      </c>
      <c r="X1164" s="91"/>
      <c r="Y1164" s="162" t="str">
        <f t="shared" si="220"/>
        <v/>
      </c>
      <c r="Z1164" s="94"/>
      <c r="AA1164" s="45"/>
    </row>
    <row r="1165" spans="1:27" s="43" customFormat="1" ht="21" hidden="1" customHeight="1" x14ac:dyDescent="0.25">
      <c r="A1165" s="44"/>
      <c r="B1165" s="365"/>
      <c r="C1165" s="365"/>
      <c r="D1165" s="365"/>
      <c r="E1165" s="365"/>
      <c r="F1165" s="365"/>
      <c r="G1165" s="365"/>
      <c r="H1165" s="365"/>
      <c r="I1165" s="365"/>
      <c r="J1165" s="365"/>
      <c r="K1165" s="365"/>
      <c r="L1165" s="61"/>
      <c r="M1165" s="45"/>
      <c r="N1165" s="88"/>
      <c r="O1165" s="89" t="s">
        <v>63</v>
      </c>
      <c r="P1165" s="89"/>
      <c r="Q1165" s="89"/>
      <c r="R1165" s="89">
        <v>0</v>
      </c>
      <c r="S1165" s="93"/>
      <c r="T1165" s="89" t="s">
        <v>63</v>
      </c>
      <c r="U1165" s="162" t="str">
        <f>IF($J$1="Dec",Y1164,"")</f>
        <v/>
      </c>
      <c r="V1165" s="91"/>
      <c r="W1165" s="162" t="str">
        <f t="shared" si="219"/>
        <v/>
      </c>
      <c r="X1165" s="91"/>
      <c r="Y1165" s="162" t="str">
        <f t="shared" si="220"/>
        <v/>
      </c>
      <c r="Z1165" s="94"/>
      <c r="AA1165" s="45"/>
    </row>
    <row r="1166" spans="1:27" s="43" customFormat="1" ht="21" hidden="1" customHeight="1" thickBot="1" x14ac:dyDescent="0.3">
      <c r="A1166" s="74"/>
      <c r="B1166" s="75"/>
      <c r="C1166" s="75"/>
      <c r="D1166" s="75"/>
      <c r="E1166" s="75"/>
      <c r="F1166" s="75"/>
      <c r="G1166" s="75"/>
      <c r="H1166" s="75"/>
      <c r="I1166" s="75"/>
      <c r="J1166" s="75"/>
      <c r="K1166" s="75"/>
      <c r="L1166" s="76"/>
      <c r="N1166" s="95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7"/>
    </row>
    <row r="1167" spans="1:27" ht="21" customHeight="1" x14ac:dyDescent="0.3"/>
    <row r="1168" spans="1:27" s="43" customFormat="1" ht="21" hidden="1" customHeight="1" x14ac:dyDescent="0.25">
      <c r="A1168" s="416" t="s">
        <v>45</v>
      </c>
      <c r="B1168" s="417"/>
      <c r="C1168" s="417"/>
      <c r="D1168" s="417"/>
      <c r="E1168" s="417"/>
      <c r="F1168" s="417"/>
      <c r="G1168" s="417"/>
      <c r="H1168" s="417"/>
      <c r="I1168" s="417"/>
      <c r="J1168" s="417"/>
      <c r="K1168" s="417"/>
      <c r="L1168" s="418"/>
      <c r="M1168" s="42"/>
      <c r="N1168" s="81"/>
      <c r="O1168" s="372" t="s">
        <v>47</v>
      </c>
      <c r="P1168" s="373"/>
      <c r="Q1168" s="373"/>
      <c r="R1168" s="374"/>
      <c r="S1168" s="82"/>
      <c r="T1168" s="372" t="s">
        <v>48</v>
      </c>
      <c r="U1168" s="373"/>
      <c r="V1168" s="373"/>
      <c r="W1168" s="373"/>
      <c r="X1168" s="373"/>
      <c r="Y1168" s="374"/>
      <c r="Z1168" s="83"/>
      <c r="AA1168" s="42"/>
    </row>
    <row r="1169" spans="1:27" s="43" customFormat="1" ht="21" hidden="1" customHeight="1" x14ac:dyDescent="0.25">
      <c r="A1169" s="44"/>
      <c r="B1169" s="45"/>
      <c r="C1169" s="375" t="s">
        <v>101</v>
      </c>
      <c r="D1169" s="375"/>
      <c r="E1169" s="375"/>
      <c r="F1169" s="375"/>
      <c r="G1169" s="46" t="str">
        <f>$J$1</f>
        <v>October</v>
      </c>
      <c r="H1169" s="376">
        <f>$K$1</f>
        <v>2020</v>
      </c>
      <c r="I1169" s="376"/>
      <c r="J1169" s="45"/>
      <c r="K1169" s="47"/>
      <c r="L1169" s="48"/>
      <c r="M1169" s="47"/>
      <c r="N1169" s="84"/>
      <c r="O1169" s="85" t="s">
        <v>58</v>
      </c>
      <c r="P1169" s="85" t="s">
        <v>7</v>
      </c>
      <c r="Q1169" s="85" t="s">
        <v>6</v>
      </c>
      <c r="R1169" s="85" t="s">
        <v>59</v>
      </c>
      <c r="S1169" s="86"/>
      <c r="T1169" s="85" t="s">
        <v>58</v>
      </c>
      <c r="U1169" s="85" t="s">
        <v>60</v>
      </c>
      <c r="V1169" s="85" t="s">
        <v>23</v>
      </c>
      <c r="W1169" s="85" t="s">
        <v>22</v>
      </c>
      <c r="X1169" s="85" t="s">
        <v>24</v>
      </c>
      <c r="Y1169" s="85" t="s">
        <v>64</v>
      </c>
      <c r="Z1169" s="87"/>
      <c r="AA1169" s="47"/>
    </row>
    <row r="1170" spans="1:27" s="43" customFormat="1" ht="21" hidden="1" customHeight="1" x14ac:dyDescent="0.25">
      <c r="A1170" s="44"/>
      <c r="B1170" s="45"/>
      <c r="C1170" s="45"/>
      <c r="D1170" s="50"/>
      <c r="E1170" s="50"/>
      <c r="F1170" s="50"/>
      <c r="G1170" s="50"/>
      <c r="H1170" s="50"/>
      <c r="I1170" s="45"/>
      <c r="J1170" s="51" t="s">
        <v>1</v>
      </c>
      <c r="K1170" s="52">
        <v>9000</v>
      </c>
      <c r="L1170" s="53"/>
      <c r="M1170" s="45"/>
      <c r="N1170" s="88"/>
      <c r="O1170" s="89" t="s">
        <v>50</v>
      </c>
      <c r="P1170" s="89"/>
      <c r="Q1170" s="89"/>
      <c r="R1170" s="89">
        <v>0</v>
      </c>
      <c r="S1170" s="90"/>
      <c r="T1170" s="89" t="s">
        <v>50</v>
      </c>
      <c r="U1170" s="91"/>
      <c r="V1170" s="91"/>
      <c r="W1170" s="91">
        <f>V1170+U1170</f>
        <v>0</v>
      </c>
      <c r="X1170" s="91"/>
      <c r="Y1170" s="91">
        <f>W1170-X1170</f>
        <v>0</v>
      </c>
      <c r="Z1170" s="87"/>
      <c r="AA1170" s="45"/>
    </row>
    <row r="1171" spans="1:27" s="43" customFormat="1" ht="21" hidden="1" customHeight="1" x14ac:dyDescent="0.25">
      <c r="A1171" s="44"/>
      <c r="B1171" s="45" t="s">
        <v>0</v>
      </c>
      <c r="C1171" s="55" t="s">
        <v>109</v>
      </c>
      <c r="D1171" s="45"/>
      <c r="E1171" s="45"/>
      <c r="F1171" s="45"/>
      <c r="G1171" s="45"/>
      <c r="H1171" s="56"/>
      <c r="I1171" s="50"/>
      <c r="J1171" s="45"/>
      <c r="K1171" s="45"/>
      <c r="L1171" s="57"/>
      <c r="M1171" s="42"/>
      <c r="N1171" s="92"/>
      <c r="O1171" s="89" t="s">
        <v>76</v>
      </c>
      <c r="P1171" s="89"/>
      <c r="Q1171" s="89"/>
      <c r="R1171" s="89" t="str">
        <f>IF(Q1171="","",R1170-Q1171)</f>
        <v/>
      </c>
      <c r="S1171" s="93"/>
      <c r="T1171" s="89" t="s">
        <v>76</v>
      </c>
      <c r="U1171" s="162">
        <f>Y1170</f>
        <v>0</v>
      </c>
      <c r="V1171" s="91"/>
      <c r="W1171" s="162">
        <f>IF(U1171="","",U1171+V1171)</f>
        <v>0</v>
      </c>
      <c r="X1171" s="91"/>
      <c r="Y1171" s="162">
        <f>IF(W1171="","",W1171-X1171)</f>
        <v>0</v>
      </c>
      <c r="Z1171" s="94"/>
      <c r="AA1171" s="42"/>
    </row>
    <row r="1172" spans="1:27" s="43" customFormat="1" ht="21" hidden="1" customHeight="1" x14ac:dyDescent="0.25">
      <c r="A1172" s="44"/>
      <c r="B1172" s="59" t="s">
        <v>46</v>
      </c>
      <c r="C1172" s="77"/>
      <c r="D1172" s="45"/>
      <c r="E1172" s="45"/>
      <c r="F1172" s="366" t="s">
        <v>48</v>
      </c>
      <c r="G1172" s="366"/>
      <c r="H1172" s="45"/>
      <c r="I1172" s="366" t="s">
        <v>49</v>
      </c>
      <c r="J1172" s="366"/>
      <c r="K1172" s="366"/>
      <c r="L1172" s="61"/>
      <c r="M1172" s="45"/>
      <c r="N1172" s="88"/>
      <c r="O1172" s="89" t="s">
        <v>51</v>
      </c>
      <c r="P1172" s="89"/>
      <c r="Q1172" s="89"/>
      <c r="R1172" s="89" t="str">
        <f t="shared" ref="R1172:R1181" si="221">IF(Q1172="","",R1171-Q1172)</f>
        <v/>
      </c>
      <c r="S1172" s="93"/>
      <c r="T1172" s="89" t="s">
        <v>51</v>
      </c>
      <c r="U1172" s="162">
        <f>IF($J$1="April",Y1171,Y1171)</f>
        <v>0</v>
      </c>
      <c r="V1172" s="91"/>
      <c r="W1172" s="162">
        <f t="shared" ref="W1172:W1181" si="222">IF(U1172="","",U1172+V1172)</f>
        <v>0</v>
      </c>
      <c r="X1172" s="91"/>
      <c r="Y1172" s="162">
        <f t="shared" ref="Y1172:Y1181" si="223">IF(W1172="","",W1172-X1172)</f>
        <v>0</v>
      </c>
      <c r="Z1172" s="94"/>
      <c r="AA1172" s="45"/>
    </row>
    <row r="1173" spans="1:27" s="43" customFormat="1" ht="21" hidden="1" customHeight="1" x14ac:dyDescent="0.25">
      <c r="A1173" s="44"/>
      <c r="B1173" s="45"/>
      <c r="C1173" s="45"/>
      <c r="D1173" s="45"/>
      <c r="E1173" s="45"/>
      <c r="F1173" s="45"/>
      <c r="G1173" s="45"/>
      <c r="H1173" s="62"/>
      <c r="L1173" s="49"/>
      <c r="M1173" s="45"/>
      <c r="N1173" s="88"/>
      <c r="O1173" s="89" t="s">
        <v>52</v>
      </c>
      <c r="P1173" s="89"/>
      <c r="Q1173" s="89"/>
      <c r="R1173" s="89" t="str">
        <f t="shared" si="221"/>
        <v/>
      </c>
      <c r="S1173" s="93"/>
      <c r="T1173" s="89" t="s">
        <v>52</v>
      </c>
      <c r="U1173" s="162">
        <f>IF($J$1="April",Y1172,Y1172)</f>
        <v>0</v>
      </c>
      <c r="V1173" s="91"/>
      <c r="W1173" s="162">
        <f t="shared" si="222"/>
        <v>0</v>
      </c>
      <c r="X1173" s="91"/>
      <c r="Y1173" s="162">
        <f t="shared" si="223"/>
        <v>0</v>
      </c>
      <c r="Z1173" s="94"/>
      <c r="AA1173" s="45"/>
    </row>
    <row r="1174" spans="1:27" s="43" customFormat="1" ht="21" hidden="1" customHeight="1" x14ac:dyDescent="0.25">
      <c r="A1174" s="44"/>
      <c r="B1174" s="367" t="s">
        <v>47</v>
      </c>
      <c r="C1174" s="368"/>
      <c r="D1174" s="45"/>
      <c r="E1174" s="45"/>
      <c r="F1174" s="63" t="s">
        <v>69</v>
      </c>
      <c r="G1174" s="58" t="str">
        <f>IF($J$1="January",U1170,IF($J$1="February",U1171,IF($J$1="March",U1172,IF($J$1="April",U1173,IF($J$1="May",U1174,IF($J$1="June",U1175,IF($J$1="July",U1176,IF($J$1="August",U1177,IF($J$1="August",U1177,IF($J$1="September",U1178,IF($J$1="October",U1179,IF($J$1="November",U1180,IF($J$1="December",U1181)))))))))))))</f>
        <v/>
      </c>
      <c r="H1174" s="62"/>
      <c r="I1174" s="64"/>
      <c r="J1174" s="65" t="s">
        <v>66</v>
      </c>
      <c r="K1174" s="66">
        <f>K1170/$K$2*I1174</f>
        <v>0</v>
      </c>
      <c r="L1174" s="67"/>
      <c r="M1174" s="45"/>
      <c r="N1174" s="88"/>
      <c r="O1174" s="89" t="s">
        <v>53</v>
      </c>
      <c r="P1174" s="89"/>
      <c r="Q1174" s="89"/>
      <c r="R1174" s="89" t="str">
        <f t="shared" si="221"/>
        <v/>
      </c>
      <c r="S1174" s="93"/>
      <c r="T1174" s="89" t="s">
        <v>53</v>
      </c>
      <c r="U1174" s="162">
        <f>IF($J$1="May",Y1173,Y1173)</f>
        <v>0</v>
      </c>
      <c r="V1174" s="91"/>
      <c r="W1174" s="162">
        <f t="shared" si="222"/>
        <v>0</v>
      </c>
      <c r="X1174" s="91"/>
      <c r="Y1174" s="162">
        <f t="shared" si="223"/>
        <v>0</v>
      </c>
      <c r="Z1174" s="94"/>
      <c r="AA1174" s="45"/>
    </row>
    <row r="1175" spans="1:27" s="43" customFormat="1" ht="21" hidden="1" customHeight="1" x14ac:dyDescent="0.25">
      <c r="A1175" s="44"/>
      <c r="B1175" s="54"/>
      <c r="C1175" s="54"/>
      <c r="D1175" s="45"/>
      <c r="E1175" s="45"/>
      <c r="F1175" s="63" t="s">
        <v>23</v>
      </c>
      <c r="G1175" s="58">
        <f>IF($J$1="January",V1170,IF($J$1="February",V1171,IF($J$1="March",V1172,IF($J$1="April",V1173,IF($J$1="May",V1174,IF($J$1="June",V1175,IF($J$1="July",V1176,IF($J$1="August",V1177,IF($J$1="August",V1177,IF($J$1="September",V1178,IF($J$1="October",V1179,IF($J$1="November",V1180,IF($J$1="December",V1181)))))))))))))</f>
        <v>0</v>
      </c>
      <c r="H1175" s="62"/>
      <c r="I1175" s="64"/>
      <c r="J1175" s="65" t="s">
        <v>67</v>
      </c>
      <c r="K1175" s="68">
        <f>K1170/$K$2/8*I1175</f>
        <v>0</v>
      </c>
      <c r="L1175" s="69"/>
      <c r="M1175" s="45"/>
      <c r="N1175" s="88"/>
      <c r="O1175" s="89" t="s">
        <v>54</v>
      </c>
      <c r="P1175" s="89"/>
      <c r="Q1175" s="89"/>
      <c r="R1175" s="89" t="str">
        <f t="shared" si="221"/>
        <v/>
      </c>
      <c r="S1175" s="93"/>
      <c r="T1175" s="89" t="s">
        <v>54</v>
      </c>
      <c r="U1175" s="162">
        <f>IF($J$1="May",Y1174,Y1174)</f>
        <v>0</v>
      </c>
      <c r="V1175" s="91"/>
      <c r="W1175" s="162">
        <f t="shared" si="222"/>
        <v>0</v>
      </c>
      <c r="X1175" s="91"/>
      <c r="Y1175" s="162">
        <f t="shared" si="223"/>
        <v>0</v>
      </c>
      <c r="Z1175" s="94"/>
      <c r="AA1175" s="45"/>
    </row>
    <row r="1176" spans="1:27" s="43" customFormat="1" ht="21" hidden="1" customHeight="1" x14ac:dyDescent="0.25">
      <c r="A1176" s="44"/>
      <c r="B1176" s="63" t="s">
        <v>7</v>
      </c>
      <c r="C1176" s="54">
        <f>IF($J$1="January",P1170,IF($J$1="February",P1171,IF($J$1="March",P1172,IF($J$1="April",P1173,IF($J$1="May",P1174,IF($J$1="June",P1175,IF($J$1="July",P1176,IF($J$1="August",P1177,IF($J$1="August",P1177,IF($J$1="September",P1178,IF($J$1="October",P1179,IF($J$1="November",P1180,IF($J$1="December",P1181)))))))))))))</f>
        <v>0</v>
      </c>
      <c r="D1176" s="45"/>
      <c r="E1176" s="45"/>
      <c r="F1176" s="63" t="s">
        <v>70</v>
      </c>
      <c r="G1176" s="58" t="str">
        <f>IF($J$1="January",W1170,IF($J$1="February",W1171,IF($J$1="March",W1172,IF($J$1="April",W1173,IF($J$1="May",W1174,IF($J$1="June",W1175,IF($J$1="July",W1176,IF($J$1="August",W1177,IF($J$1="August",W1177,IF($J$1="September",W1178,IF($J$1="October",W1179,IF($J$1="November",W1180,IF($J$1="December",W1181)))))))))))))</f>
        <v/>
      </c>
      <c r="H1176" s="62"/>
      <c r="I1176" s="361" t="s">
        <v>74</v>
      </c>
      <c r="J1176" s="362"/>
      <c r="K1176" s="68">
        <f>K1174+K1175</f>
        <v>0</v>
      </c>
      <c r="L1176" s="69"/>
      <c r="M1176" s="45"/>
      <c r="N1176" s="88"/>
      <c r="O1176" s="89" t="s">
        <v>55</v>
      </c>
      <c r="P1176" s="89"/>
      <c r="Q1176" s="89"/>
      <c r="R1176" s="89" t="str">
        <f t="shared" si="221"/>
        <v/>
      </c>
      <c r="S1176" s="93"/>
      <c r="T1176" s="89" t="s">
        <v>55</v>
      </c>
      <c r="U1176" s="162" t="str">
        <f>IF($J$1="July",Y1175,"")</f>
        <v/>
      </c>
      <c r="V1176" s="91"/>
      <c r="W1176" s="162" t="str">
        <f t="shared" si="222"/>
        <v/>
      </c>
      <c r="X1176" s="91"/>
      <c r="Y1176" s="162" t="str">
        <f t="shared" si="223"/>
        <v/>
      </c>
      <c r="Z1176" s="94"/>
      <c r="AA1176" s="45"/>
    </row>
    <row r="1177" spans="1:27" s="43" customFormat="1" ht="21" hidden="1" customHeight="1" x14ac:dyDescent="0.25">
      <c r="A1177" s="44"/>
      <c r="B1177" s="63" t="s">
        <v>6</v>
      </c>
      <c r="C1177" s="54">
        <f>IF($J$1="January",Q1170,IF($J$1="February",Q1171,IF($J$1="March",Q1172,IF($J$1="April",Q1173,IF($J$1="May",Q1174,IF($J$1="June",Q1175,IF($J$1="July",Q1176,IF($J$1="August",Q1177,IF($J$1="August",Q1177,IF($J$1="September",Q1178,IF($J$1="October",Q1179,IF($J$1="November",Q1180,IF($J$1="December",Q1181)))))))))))))</f>
        <v>0</v>
      </c>
      <c r="D1177" s="45"/>
      <c r="E1177" s="45"/>
      <c r="F1177" s="63" t="s">
        <v>24</v>
      </c>
      <c r="G1177" s="58">
        <f>IF($J$1="January",X1170,IF($J$1="February",X1171,IF($J$1="March",X1172,IF($J$1="April",X1173,IF($J$1="May",X1174,IF($J$1="June",X1175,IF($J$1="July",X1176,IF($J$1="August",X1177,IF($J$1="August",X1177,IF($J$1="September",X1178,IF($J$1="October",X1179,IF($J$1="November",X1180,IF($J$1="December",X1181)))))))))))))</f>
        <v>0</v>
      </c>
      <c r="H1177" s="62"/>
      <c r="I1177" s="361" t="s">
        <v>75</v>
      </c>
      <c r="J1177" s="362"/>
      <c r="K1177" s="58">
        <f>G1177</f>
        <v>0</v>
      </c>
      <c r="L1177" s="70"/>
      <c r="M1177" s="45"/>
      <c r="N1177" s="88"/>
      <c r="O1177" s="89" t="s">
        <v>56</v>
      </c>
      <c r="P1177" s="89"/>
      <c r="Q1177" s="89"/>
      <c r="R1177" s="89" t="str">
        <f t="shared" si="221"/>
        <v/>
      </c>
      <c r="S1177" s="93"/>
      <c r="T1177" s="89" t="s">
        <v>56</v>
      </c>
      <c r="U1177" s="162" t="str">
        <f>IF($J$1="August",Y1176,"")</f>
        <v/>
      </c>
      <c r="V1177" s="91"/>
      <c r="W1177" s="162" t="str">
        <f t="shared" si="222"/>
        <v/>
      </c>
      <c r="X1177" s="91"/>
      <c r="Y1177" s="162" t="str">
        <f t="shared" si="223"/>
        <v/>
      </c>
      <c r="Z1177" s="94"/>
      <c r="AA1177" s="45"/>
    </row>
    <row r="1178" spans="1:27" s="43" customFormat="1" ht="21" hidden="1" customHeight="1" x14ac:dyDescent="0.25">
      <c r="A1178" s="44"/>
      <c r="B1178" s="71" t="s">
        <v>73</v>
      </c>
      <c r="C1178" s="54" t="str">
        <f>IF($J$1="January",R1170,IF($J$1="February",R1171,IF($J$1="March",R1172,IF($J$1="April",R1173,IF($J$1="May",R1174,IF($J$1="June",R1175,IF($J$1="July",R1176,IF($J$1="August",R1177,IF($J$1="August",R1177,IF($J$1="September",R1178,IF($J$1="October",R1179,IF($J$1="November",R1180,IF($J$1="December",R1181)))))))))))))</f>
        <v/>
      </c>
      <c r="D1178" s="45"/>
      <c r="E1178" s="45"/>
      <c r="F1178" s="63" t="s">
        <v>72</v>
      </c>
      <c r="G1178" s="58" t="str">
        <f>IF($J$1="January",Y1170,IF($J$1="February",Y1171,IF($J$1="March",Y1172,IF($J$1="April",Y1173,IF($J$1="May",Y1174,IF($J$1="June",Y1175,IF($J$1="July",Y1176,IF($J$1="August",Y1177,IF($J$1="August",Y1177,IF($J$1="September",Y1178,IF($J$1="October",Y1179,IF($J$1="November",Y1180,IF($J$1="December",Y1181)))))))))))))</f>
        <v/>
      </c>
      <c r="H1178" s="45"/>
      <c r="I1178" s="363" t="s">
        <v>68</v>
      </c>
      <c r="J1178" s="364"/>
      <c r="K1178" s="72">
        <f>K1176-K1177</f>
        <v>0</v>
      </c>
      <c r="L1178" s="73"/>
      <c r="M1178" s="45"/>
      <c r="N1178" s="88"/>
      <c r="O1178" s="89" t="s">
        <v>61</v>
      </c>
      <c r="P1178" s="89"/>
      <c r="Q1178" s="89"/>
      <c r="R1178" s="89" t="str">
        <f t="shared" si="221"/>
        <v/>
      </c>
      <c r="S1178" s="93"/>
      <c r="T1178" s="89" t="s">
        <v>61</v>
      </c>
      <c r="U1178" s="162" t="str">
        <f>IF($J$1="Sept",Y1177,"")</f>
        <v/>
      </c>
      <c r="V1178" s="91"/>
      <c r="W1178" s="162" t="str">
        <f t="shared" si="222"/>
        <v/>
      </c>
      <c r="X1178" s="91"/>
      <c r="Y1178" s="162" t="str">
        <f t="shared" si="223"/>
        <v/>
      </c>
      <c r="Z1178" s="94"/>
      <c r="AA1178" s="45"/>
    </row>
    <row r="1179" spans="1:27" s="43" customFormat="1" ht="21" hidden="1" customHeight="1" x14ac:dyDescent="0.25">
      <c r="A1179" s="44"/>
      <c r="B1179" s="45"/>
      <c r="C1179" s="45"/>
      <c r="D1179" s="45"/>
      <c r="E1179" s="45"/>
      <c r="F1179" s="45"/>
      <c r="G1179" s="45"/>
      <c r="H1179" s="45"/>
      <c r="I1179" s="45"/>
      <c r="J1179" s="45"/>
      <c r="K1179" s="45"/>
      <c r="L1179" s="61"/>
      <c r="M1179" s="45"/>
      <c r="N1179" s="88"/>
      <c r="O1179" s="89" t="s">
        <v>57</v>
      </c>
      <c r="P1179" s="89"/>
      <c r="Q1179" s="89"/>
      <c r="R1179" s="89" t="str">
        <f t="shared" si="221"/>
        <v/>
      </c>
      <c r="S1179" s="93"/>
      <c r="T1179" s="89" t="s">
        <v>57</v>
      </c>
      <c r="U1179" s="162" t="str">
        <f>IF($J$1="October",Y1178,"")</f>
        <v/>
      </c>
      <c r="V1179" s="91"/>
      <c r="W1179" s="162" t="str">
        <f t="shared" si="222"/>
        <v/>
      </c>
      <c r="X1179" s="91"/>
      <c r="Y1179" s="162" t="str">
        <f t="shared" si="223"/>
        <v/>
      </c>
      <c r="Z1179" s="94"/>
      <c r="AA1179" s="45"/>
    </row>
    <row r="1180" spans="1:27" s="43" customFormat="1" ht="21" hidden="1" customHeight="1" x14ac:dyDescent="0.25">
      <c r="A1180" s="44"/>
      <c r="B1180" s="365" t="s">
        <v>103</v>
      </c>
      <c r="C1180" s="365"/>
      <c r="D1180" s="365"/>
      <c r="E1180" s="365"/>
      <c r="F1180" s="365"/>
      <c r="G1180" s="365"/>
      <c r="H1180" s="365"/>
      <c r="I1180" s="365"/>
      <c r="J1180" s="365"/>
      <c r="K1180" s="365"/>
      <c r="L1180" s="61"/>
      <c r="M1180" s="45"/>
      <c r="N1180" s="88"/>
      <c r="O1180" s="89" t="s">
        <v>62</v>
      </c>
      <c r="P1180" s="89"/>
      <c r="Q1180" s="89"/>
      <c r="R1180" s="89" t="str">
        <f t="shared" si="221"/>
        <v/>
      </c>
      <c r="S1180" s="93"/>
      <c r="T1180" s="89" t="s">
        <v>62</v>
      </c>
      <c r="U1180" s="162" t="str">
        <f>IF($J$1="November",Y1179,"")</f>
        <v/>
      </c>
      <c r="V1180" s="91"/>
      <c r="W1180" s="162" t="str">
        <f t="shared" si="222"/>
        <v/>
      </c>
      <c r="X1180" s="91"/>
      <c r="Y1180" s="162" t="str">
        <f t="shared" si="223"/>
        <v/>
      </c>
      <c r="Z1180" s="94"/>
      <c r="AA1180" s="45"/>
    </row>
    <row r="1181" spans="1:27" s="43" customFormat="1" ht="21" hidden="1" customHeight="1" x14ac:dyDescent="0.25">
      <c r="A1181" s="44"/>
      <c r="B1181" s="365"/>
      <c r="C1181" s="365"/>
      <c r="D1181" s="365"/>
      <c r="E1181" s="365"/>
      <c r="F1181" s="365"/>
      <c r="G1181" s="365"/>
      <c r="H1181" s="365"/>
      <c r="I1181" s="365"/>
      <c r="J1181" s="365"/>
      <c r="K1181" s="365"/>
      <c r="L1181" s="61"/>
      <c r="M1181" s="45"/>
      <c r="N1181" s="88"/>
      <c r="O1181" s="89" t="s">
        <v>63</v>
      </c>
      <c r="P1181" s="89"/>
      <c r="Q1181" s="89"/>
      <c r="R1181" s="89" t="str">
        <f t="shared" si="221"/>
        <v/>
      </c>
      <c r="S1181" s="93"/>
      <c r="T1181" s="89" t="s">
        <v>63</v>
      </c>
      <c r="U1181" s="162" t="str">
        <f>IF($J$1="Dec",Y1180,"")</f>
        <v/>
      </c>
      <c r="V1181" s="91"/>
      <c r="W1181" s="162" t="str">
        <f t="shared" si="222"/>
        <v/>
      </c>
      <c r="X1181" s="91"/>
      <c r="Y1181" s="162" t="str">
        <f t="shared" si="223"/>
        <v/>
      </c>
      <c r="Z1181" s="94"/>
      <c r="AA1181" s="45"/>
    </row>
    <row r="1182" spans="1:27" s="43" customFormat="1" ht="21" hidden="1" customHeight="1" thickBot="1" x14ac:dyDescent="0.3">
      <c r="A1182" s="74"/>
      <c r="B1182" s="75"/>
      <c r="C1182" s="75"/>
      <c r="D1182" s="75"/>
      <c r="E1182" s="75"/>
      <c r="F1182" s="75"/>
      <c r="G1182" s="75"/>
      <c r="H1182" s="75"/>
      <c r="I1182" s="75"/>
      <c r="J1182" s="75"/>
      <c r="K1182" s="75"/>
      <c r="L1182" s="76"/>
      <c r="N1182" s="95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7"/>
    </row>
    <row r="1183" spans="1:27" ht="21" hidden="1" customHeight="1" x14ac:dyDescent="0.3"/>
    <row r="1184" spans="1:27" ht="21" hidden="1" customHeight="1" x14ac:dyDescent="0.3"/>
    <row r="1185" spans="1:26" ht="21" hidden="1" customHeight="1" x14ac:dyDescent="0.3"/>
    <row r="1186" spans="1:26" ht="21" hidden="1" customHeight="1" x14ac:dyDescent="0.3"/>
    <row r="1187" spans="1:26" ht="21" hidden="1" customHeight="1" thickBot="1" x14ac:dyDescent="0.35"/>
    <row r="1188" spans="1:26" s="43" customFormat="1" ht="21" hidden="1" customHeight="1" x14ac:dyDescent="0.25">
      <c r="A1188" s="383" t="s">
        <v>45</v>
      </c>
      <c r="B1188" s="384"/>
      <c r="C1188" s="384"/>
      <c r="D1188" s="384"/>
      <c r="E1188" s="384"/>
      <c r="F1188" s="384"/>
      <c r="G1188" s="384"/>
      <c r="H1188" s="384"/>
      <c r="I1188" s="384"/>
      <c r="J1188" s="384"/>
      <c r="K1188" s="384"/>
      <c r="L1188" s="385"/>
      <c r="M1188" s="134"/>
      <c r="N1188" s="81"/>
      <c r="O1188" s="372" t="s">
        <v>47</v>
      </c>
      <c r="P1188" s="373"/>
      <c r="Q1188" s="373"/>
      <c r="R1188" s="374"/>
      <c r="S1188" s="82"/>
      <c r="T1188" s="372" t="s">
        <v>48</v>
      </c>
      <c r="U1188" s="373"/>
      <c r="V1188" s="373"/>
      <c r="W1188" s="373"/>
      <c r="X1188" s="373"/>
      <c r="Y1188" s="374"/>
      <c r="Z1188" s="83"/>
    </row>
    <row r="1189" spans="1:26" s="43" customFormat="1" ht="21" hidden="1" customHeight="1" x14ac:dyDescent="0.25">
      <c r="A1189" s="44"/>
      <c r="B1189" s="45"/>
      <c r="C1189" s="375" t="s">
        <v>101</v>
      </c>
      <c r="D1189" s="375"/>
      <c r="E1189" s="375"/>
      <c r="F1189" s="375"/>
      <c r="G1189" s="46" t="str">
        <f>$J$1</f>
        <v>October</v>
      </c>
      <c r="H1189" s="376">
        <f>$K$1</f>
        <v>2020</v>
      </c>
      <c r="I1189" s="376"/>
      <c r="J1189" s="45"/>
      <c r="K1189" s="47"/>
      <c r="L1189" s="48"/>
      <c r="M1189" s="47"/>
      <c r="N1189" s="84"/>
      <c r="O1189" s="85" t="s">
        <v>58</v>
      </c>
      <c r="P1189" s="85" t="s">
        <v>7</v>
      </c>
      <c r="Q1189" s="85" t="s">
        <v>6</v>
      </c>
      <c r="R1189" s="85" t="s">
        <v>59</v>
      </c>
      <c r="S1189" s="86"/>
      <c r="T1189" s="85" t="s">
        <v>58</v>
      </c>
      <c r="U1189" s="85" t="s">
        <v>60</v>
      </c>
      <c r="V1189" s="85" t="s">
        <v>23</v>
      </c>
      <c r="W1189" s="85" t="s">
        <v>22</v>
      </c>
      <c r="X1189" s="85" t="s">
        <v>24</v>
      </c>
      <c r="Y1189" s="85" t="s">
        <v>64</v>
      </c>
      <c r="Z1189" s="87"/>
    </row>
    <row r="1190" spans="1:26" s="43" customFormat="1" ht="21" hidden="1" customHeight="1" x14ac:dyDescent="0.25">
      <c r="A1190" s="44"/>
      <c r="B1190" s="45"/>
      <c r="C1190" s="45"/>
      <c r="D1190" s="50"/>
      <c r="E1190" s="50"/>
      <c r="F1190" s="50"/>
      <c r="G1190" s="50"/>
      <c r="H1190" s="50"/>
      <c r="I1190" s="45"/>
      <c r="J1190" s="51" t="s">
        <v>1</v>
      </c>
      <c r="K1190" s="52">
        <f>17000+2000</f>
        <v>19000</v>
      </c>
      <c r="L1190" s="53"/>
      <c r="M1190" s="45"/>
      <c r="N1190" s="88"/>
      <c r="O1190" s="89" t="s">
        <v>50</v>
      </c>
      <c r="P1190" s="89">
        <v>29</v>
      </c>
      <c r="Q1190" s="89">
        <v>2</v>
      </c>
      <c r="R1190" s="89">
        <f>15-Q1190</f>
        <v>13</v>
      </c>
      <c r="S1190" s="90"/>
      <c r="T1190" s="89" t="s">
        <v>50</v>
      </c>
      <c r="U1190" s="91">
        <v>10100</v>
      </c>
      <c r="V1190" s="91">
        <v>1000</v>
      </c>
      <c r="W1190" s="91">
        <f>V1190+U1190</f>
        <v>11100</v>
      </c>
      <c r="X1190" s="91">
        <v>2000</v>
      </c>
      <c r="Y1190" s="91">
        <f>W1190-X1190</f>
        <v>9100</v>
      </c>
      <c r="Z1190" s="87"/>
    </row>
    <row r="1191" spans="1:26" s="43" customFormat="1" ht="21" hidden="1" customHeight="1" x14ac:dyDescent="0.25">
      <c r="A1191" s="44"/>
      <c r="B1191" s="45" t="s">
        <v>0</v>
      </c>
      <c r="C1191" s="100" t="s">
        <v>118</v>
      </c>
      <c r="D1191" s="45"/>
      <c r="E1191" s="45"/>
      <c r="F1191" s="45"/>
      <c r="G1191" s="45"/>
      <c r="H1191" s="56"/>
      <c r="I1191" s="50"/>
      <c r="J1191" s="45"/>
      <c r="K1191" s="45"/>
      <c r="L1191" s="57"/>
      <c r="M1191" s="134"/>
      <c r="N1191" s="92"/>
      <c r="O1191" s="89" t="s">
        <v>76</v>
      </c>
      <c r="P1191" s="89">
        <v>28</v>
      </c>
      <c r="Q1191" s="89">
        <v>1</v>
      </c>
      <c r="R1191" s="89">
        <f>IF(Q1191="","",R1190-Q1191)</f>
        <v>12</v>
      </c>
      <c r="S1191" s="93"/>
      <c r="T1191" s="89" t="s">
        <v>76</v>
      </c>
      <c r="U1191" s="162">
        <f>IF($J$1="January","",Y1190)</f>
        <v>9100</v>
      </c>
      <c r="V1191" s="91">
        <f>3000+500</f>
        <v>3500</v>
      </c>
      <c r="W1191" s="162">
        <f>IF(U1191="","",U1191+V1191)</f>
        <v>12600</v>
      </c>
      <c r="X1191" s="91">
        <v>3600</v>
      </c>
      <c r="Y1191" s="162">
        <f>IF(W1191="","",W1191-X1191)</f>
        <v>9000</v>
      </c>
      <c r="Z1191" s="94"/>
    </row>
    <row r="1192" spans="1:26" s="43" customFormat="1" ht="21" hidden="1" customHeight="1" x14ac:dyDescent="0.25">
      <c r="A1192" s="44"/>
      <c r="B1192" s="59" t="s">
        <v>46</v>
      </c>
      <c r="C1192" s="100"/>
      <c r="D1192" s="45"/>
      <c r="E1192" s="45"/>
      <c r="F1192" s="366" t="s">
        <v>48</v>
      </c>
      <c r="G1192" s="366"/>
      <c r="H1192" s="45"/>
      <c r="I1192" s="366" t="s">
        <v>49</v>
      </c>
      <c r="J1192" s="366"/>
      <c r="K1192" s="366"/>
      <c r="L1192" s="61"/>
      <c r="M1192" s="45"/>
      <c r="N1192" s="88"/>
      <c r="O1192" s="89" t="s">
        <v>51</v>
      </c>
      <c r="P1192" s="89">
        <v>31</v>
      </c>
      <c r="Q1192" s="89">
        <v>0</v>
      </c>
      <c r="R1192" s="89">
        <f t="shared" ref="R1192:R1198" si="224">IF(Q1192="","",R1191-Q1192)</f>
        <v>12</v>
      </c>
      <c r="S1192" s="93"/>
      <c r="T1192" s="89" t="s">
        <v>51</v>
      </c>
      <c r="U1192" s="162">
        <f>IF($J$1="February","",Y1191)</f>
        <v>9000</v>
      </c>
      <c r="V1192" s="91"/>
      <c r="W1192" s="162">
        <f t="shared" ref="W1192:W1201" si="225">IF(U1192="","",U1192+V1192)</f>
        <v>9000</v>
      </c>
      <c r="X1192" s="91">
        <v>2000</v>
      </c>
      <c r="Y1192" s="162">
        <f t="shared" ref="Y1192:Y1201" si="226">IF(W1192="","",W1192-X1192)</f>
        <v>7000</v>
      </c>
      <c r="Z1192" s="94"/>
    </row>
    <row r="1193" spans="1:26" s="43" customFormat="1" ht="21" hidden="1" customHeight="1" x14ac:dyDescent="0.25">
      <c r="A1193" s="44"/>
      <c r="B1193" s="45"/>
      <c r="C1193" s="45"/>
      <c r="D1193" s="45"/>
      <c r="E1193" s="45"/>
      <c r="F1193" s="45"/>
      <c r="G1193" s="45"/>
      <c r="H1193" s="62"/>
      <c r="L1193" s="49"/>
      <c r="M1193" s="45"/>
      <c r="N1193" s="88"/>
      <c r="O1193" s="89" t="s">
        <v>52</v>
      </c>
      <c r="P1193" s="89"/>
      <c r="Q1193" s="89"/>
      <c r="R1193" s="89" t="str">
        <f t="shared" si="224"/>
        <v/>
      </c>
      <c r="S1193" s="93"/>
      <c r="T1193" s="89" t="s">
        <v>52</v>
      </c>
      <c r="U1193" s="162">
        <f>IF($J$1="March","",Y1192)</f>
        <v>7000</v>
      </c>
      <c r="V1193" s="91"/>
      <c r="W1193" s="162">
        <f t="shared" si="225"/>
        <v>7000</v>
      </c>
      <c r="X1193" s="91"/>
      <c r="Y1193" s="162">
        <f t="shared" si="226"/>
        <v>7000</v>
      </c>
      <c r="Z1193" s="94"/>
    </row>
    <row r="1194" spans="1:26" s="43" customFormat="1" ht="21" hidden="1" customHeight="1" x14ac:dyDescent="0.25">
      <c r="A1194" s="44"/>
      <c r="B1194" s="367" t="s">
        <v>47</v>
      </c>
      <c r="C1194" s="368"/>
      <c r="D1194" s="45"/>
      <c r="E1194" s="45"/>
      <c r="F1194" s="63" t="s">
        <v>69</v>
      </c>
      <c r="G1194" s="58">
        <f>IF($J$1="January",U1190,IF($J$1="February",U1191,IF($J$1="March",U1192,IF($J$1="April",U1193,IF($J$1="May",U1194,IF($J$1="June",U1195,IF($J$1="July",U1196,IF($J$1="August",U1197,IF($J$1="August",U1197,IF($J$1="September",U1198,IF($J$1="October",U1199,IF($J$1="November",U1200,IF($J$1="December",U1201)))))))))))))</f>
        <v>7000</v>
      </c>
      <c r="H1194" s="62"/>
      <c r="I1194" s="64">
        <f>IF(C1198&gt;0,$K$2,C1196)</f>
        <v>0</v>
      </c>
      <c r="J1194" s="65" t="s">
        <v>66</v>
      </c>
      <c r="K1194" s="66">
        <f>K1190/$K$2*I1194</f>
        <v>0</v>
      </c>
      <c r="L1194" s="67"/>
      <c r="M1194" s="45"/>
      <c r="N1194" s="88"/>
      <c r="O1194" s="89" t="s">
        <v>53</v>
      </c>
      <c r="P1194" s="89"/>
      <c r="Q1194" s="89"/>
      <c r="R1194" s="89" t="str">
        <f t="shared" si="224"/>
        <v/>
      </c>
      <c r="S1194" s="93"/>
      <c r="T1194" s="89" t="s">
        <v>53</v>
      </c>
      <c r="U1194" s="162">
        <f>IF($J$1="April","",Y1193)</f>
        <v>7000</v>
      </c>
      <c r="V1194" s="91"/>
      <c r="W1194" s="162">
        <f t="shared" si="225"/>
        <v>7000</v>
      </c>
      <c r="X1194" s="91"/>
      <c r="Y1194" s="162">
        <f t="shared" si="226"/>
        <v>7000</v>
      </c>
      <c r="Z1194" s="94"/>
    </row>
    <row r="1195" spans="1:26" s="43" customFormat="1" ht="21" hidden="1" customHeight="1" x14ac:dyDescent="0.25">
      <c r="A1195" s="44"/>
      <c r="B1195" s="54"/>
      <c r="C1195" s="54"/>
      <c r="D1195" s="45"/>
      <c r="E1195" s="45"/>
      <c r="F1195" s="63" t="s">
        <v>23</v>
      </c>
      <c r="G1195" s="58">
        <f>IF($J$1="January",V1190,IF($J$1="February",V1191,IF($J$1="March",V1192,IF($J$1="April",V1193,IF($J$1="May",V1194,IF($J$1="June",V1195,IF($J$1="July",V1196,IF($J$1="August",V1197,IF($J$1="August",V1197,IF($J$1="September",V1198,IF($J$1="October",V1199,IF($J$1="November",V1200,IF($J$1="December",V1201)))))))))))))</f>
        <v>0</v>
      </c>
      <c r="H1195" s="62"/>
      <c r="I1195" s="108"/>
      <c r="J1195" s="65" t="s">
        <v>67</v>
      </c>
      <c r="K1195" s="68">
        <f>K1190/$K$2/8*I1195</f>
        <v>0</v>
      </c>
      <c r="L1195" s="69"/>
      <c r="M1195" s="45"/>
      <c r="N1195" s="88"/>
      <c r="O1195" s="89" t="s">
        <v>54</v>
      </c>
      <c r="P1195" s="89"/>
      <c r="Q1195" s="89"/>
      <c r="R1195" s="89" t="str">
        <f t="shared" si="224"/>
        <v/>
      </c>
      <c r="S1195" s="93"/>
      <c r="T1195" s="89" t="s">
        <v>54</v>
      </c>
      <c r="U1195" s="162">
        <f>IF($J$1="May","",Y1194)</f>
        <v>7000</v>
      </c>
      <c r="V1195" s="91"/>
      <c r="W1195" s="162">
        <f t="shared" si="225"/>
        <v>7000</v>
      </c>
      <c r="X1195" s="91"/>
      <c r="Y1195" s="162">
        <f t="shared" si="226"/>
        <v>7000</v>
      </c>
      <c r="Z1195" s="94"/>
    </row>
    <row r="1196" spans="1:26" s="43" customFormat="1" ht="21" hidden="1" customHeight="1" x14ac:dyDescent="0.25">
      <c r="A1196" s="44"/>
      <c r="B1196" s="63" t="s">
        <v>7</v>
      </c>
      <c r="C1196" s="54">
        <f>IF($J$1="January",P1190,IF($J$1="February",P1191,IF($J$1="March",P1192,IF($J$1="April",P1193,IF($J$1="May",P1194,IF($J$1="June",P1195,IF($J$1="July",P1196,IF($J$1="August",P1197,IF($J$1="August",P1197,IF($J$1="September",P1198,IF($J$1="October",P1199,IF($J$1="November",P1200,IF($J$1="December",P1201)))))))))))))</f>
        <v>0</v>
      </c>
      <c r="D1196" s="45"/>
      <c r="E1196" s="45"/>
      <c r="F1196" s="63" t="s">
        <v>70</v>
      </c>
      <c r="G1196" s="58">
        <f>IF($J$1="January",W1190,IF($J$1="February",W1191,IF($J$1="March",W1192,IF($J$1="April",W1193,IF($J$1="May",W1194,IF($J$1="June",W1195,IF($J$1="July",W1196,IF($J$1="August",W1197,IF($J$1="August",W1197,IF($J$1="September",W1198,IF($J$1="October",W1199,IF($J$1="November",W1200,IF($J$1="December",W1201)))))))))))))</f>
        <v>7000</v>
      </c>
      <c r="H1196" s="62"/>
      <c r="I1196" s="361" t="s">
        <v>74</v>
      </c>
      <c r="J1196" s="362"/>
      <c r="K1196" s="68">
        <f>K1194+K1195</f>
        <v>0</v>
      </c>
      <c r="L1196" s="69"/>
      <c r="M1196" s="45"/>
      <c r="N1196" s="88"/>
      <c r="O1196" s="89" t="s">
        <v>55</v>
      </c>
      <c r="P1196" s="89"/>
      <c r="Q1196" s="89"/>
      <c r="R1196" s="89" t="str">
        <f t="shared" si="224"/>
        <v/>
      </c>
      <c r="S1196" s="93"/>
      <c r="T1196" s="89" t="s">
        <v>55</v>
      </c>
      <c r="U1196" s="162">
        <f>IF($J$1="June","",Y1195)</f>
        <v>7000</v>
      </c>
      <c r="V1196" s="91"/>
      <c r="W1196" s="162">
        <f t="shared" si="225"/>
        <v>7000</v>
      </c>
      <c r="X1196" s="91"/>
      <c r="Y1196" s="162">
        <f t="shared" si="226"/>
        <v>7000</v>
      </c>
      <c r="Z1196" s="94"/>
    </row>
    <row r="1197" spans="1:26" s="43" customFormat="1" ht="21" hidden="1" customHeight="1" x14ac:dyDescent="0.25">
      <c r="A1197" s="44"/>
      <c r="B1197" s="63" t="s">
        <v>6</v>
      </c>
      <c r="C1197" s="54">
        <f>IF($J$1="January",Q1190,IF($J$1="February",Q1191,IF($J$1="March",Q1192,IF($J$1="April",Q1193,IF($J$1="May",Q1194,IF($J$1="June",Q1195,IF($J$1="July",Q1196,IF($J$1="August",Q1197,IF($J$1="August",Q1197,IF($J$1="September",Q1198,IF($J$1="October",Q1199,IF($J$1="November",Q1200,IF($J$1="December",Q1201)))))))))))))</f>
        <v>0</v>
      </c>
      <c r="D1197" s="45"/>
      <c r="E1197" s="45"/>
      <c r="F1197" s="63" t="s">
        <v>24</v>
      </c>
      <c r="G1197" s="58">
        <f>IF($J$1="January",X1190,IF($J$1="February",X1191,IF($J$1="March",X1192,IF($J$1="April",X1193,IF($J$1="May",X1194,IF($J$1="June",X1195,IF($J$1="July",X1196,IF($J$1="August",X1197,IF($J$1="August",X1197,IF($J$1="September",X1198,IF($J$1="October",X1199,IF($J$1="November",X1200,IF($J$1="December",X1201)))))))))))))</f>
        <v>0</v>
      </c>
      <c r="H1197" s="62"/>
      <c r="I1197" s="361" t="s">
        <v>75</v>
      </c>
      <c r="J1197" s="362"/>
      <c r="K1197" s="58">
        <f>G1197</f>
        <v>0</v>
      </c>
      <c r="L1197" s="70"/>
      <c r="M1197" s="45"/>
      <c r="N1197" s="88"/>
      <c r="O1197" s="89" t="s">
        <v>56</v>
      </c>
      <c r="P1197" s="89"/>
      <c r="Q1197" s="89"/>
      <c r="R1197" s="89" t="str">
        <f t="shared" si="224"/>
        <v/>
      </c>
      <c r="S1197" s="93"/>
      <c r="T1197" s="89" t="s">
        <v>56</v>
      </c>
      <c r="U1197" s="162">
        <f>IF($J$1="July","",Y1196)</f>
        <v>7000</v>
      </c>
      <c r="V1197" s="91"/>
      <c r="W1197" s="162">
        <f t="shared" si="225"/>
        <v>7000</v>
      </c>
      <c r="X1197" s="91"/>
      <c r="Y1197" s="162">
        <f t="shared" si="226"/>
        <v>7000</v>
      </c>
      <c r="Z1197" s="94"/>
    </row>
    <row r="1198" spans="1:26" s="43" customFormat="1" ht="21" hidden="1" customHeight="1" x14ac:dyDescent="0.25">
      <c r="A1198" s="44"/>
      <c r="B1198" s="71" t="s">
        <v>73</v>
      </c>
      <c r="C1198" s="54">
        <f>IF($J$1="January",R1190,IF($J$1="February",R1191,IF($J$1="March",R1192,IF($J$1="April",R1193,IF($J$1="May",R1194,IF($J$1="June",R1195,IF($J$1="July",R1196,IF($J$1="August",R1197,IF($J$1="August",R1197,IF($J$1="September",R1198,IF($J$1="October",R1199,IF($J$1="November",R1200,IF($J$1="December",R1201)))))))))))))</f>
        <v>0</v>
      </c>
      <c r="D1198" s="45"/>
      <c r="E1198" s="45"/>
      <c r="F1198" s="63" t="s">
        <v>72</v>
      </c>
      <c r="G1198" s="58">
        <f>IF($J$1="January",Y1190,IF($J$1="February",Y1191,IF($J$1="March",Y1192,IF($J$1="April",Y1193,IF($J$1="May",Y1194,IF($J$1="June",Y1195,IF($J$1="July",Y1196,IF($J$1="August",Y1197,IF($J$1="August",Y1197,IF($J$1="September",Y1198,IF($J$1="October",Y1199,IF($J$1="November",Y1200,IF($J$1="December",Y1201)))))))))))))</f>
        <v>7000</v>
      </c>
      <c r="H1198" s="45"/>
      <c r="I1198" s="363" t="s">
        <v>68</v>
      </c>
      <c r="J1198" s="364"/>
      <c r="K1198" s="72"/>
      <c r="L1198" s="73"/>
      <c r="M1198" s="45"/>
      <c r="N1198" s="88"/>
      <c r="O1198" s="89" t="s">
        <v>61</v>
      </c>
      <c r="P1198" s="89"/>
      <c r="Q1198" s="89"/>
      <c r="R1198" s="89" t="str">
        <f t="shared" si="224"/>
        <v/>
      </c>
      <c r="S1198" s="93"/>
      <c r="T1198" s="89" t="s">
        <v>61</v>
      </c>
      <c r="U1198" s="162">
        <f>IF($J$1="August","",Y1197)</f>
        <v>7000</v>
      </c>
      <c r="V1198" s="91"/>
      <c r="W1198" s="162">
        <f t="shared" si="225"/>
        <v>7000</v>
      </c>
      <c r="X1198" s="91"/>
      <c r="Y1198" s="162">
        <f t="shared" si="226"/>
        <v>7000</v>
      </c>
      <c r="Z1198" s="94"/>
    </row>
    <row r="1199" spans="1:26" s="43" customFormat="1" ht="21" hidden="1" customHeight="1" x14ac:dyDescent="0.25">
      <c r="A1199" s="44"/>
      <c r="B1199" s="45"/>
      <c r="C1199" s="45"/>
      <c r="D1199" s="45"/>
      <c r="E1199" s="45"/>
      <c r="F1199" s="45"/>
      <c r="G1199" s="45"/>
      <c r="H1199" s="45"/>
      <c r="I1199" s="45"/>
      <c r="J1199" s="177"/>
      <c r="K1199" s="45"/>
      <c r="L1199" s="61"/>
      <c r="M1199" s="45"/>
      <c r="N1199" s="88"/>
      <c r="O1199" s="89" t="s">
        <v>57</v>
      </c>
      <c r="P1199" s="89"/>
      <c r="Q1199" s="89"/>
      <c r="R1199" s="89">
        <v>0</v>
      </c>
      <c r="S1199" s="93"/>
      <c r="T1199" s="89" t="s">
        <v>57</v>
      </c>
      <c r="U1199" s="162">
        <f>IF($J$1="September","",Y1198)</f>
        <v>7000</v>
      </c>
      <c r="V1199" s="91"/>
      <c r="W1199" s="162">
        <f t="shared" si="225"/>
        <v>7000</v>
      </c>
      <c r="X1199" s="91"/>
      <c r="Y1199" s="162">
        <f t="shared" si="226"/>
        <v>7000</v>
      </c>
      <c r="Z1199" s="94"/>
    </row>
    <row r="1200" spans="1:26" s="43" customFormat="1" ht="21" hidden="1" customHeight="1" x14ac:dyDescent="0.25">
      <c r="A1200" s="44"/>
      <c r="B1200" s="428"/>
      <c r="C1200" s="428"/>
      <c r="D1200" s="428"/>
      <c r="E1200" s="428"/>
      <c r="F1200" s="428"/>
      <c r="G1200" s="428"/>
      <c r="H1200" s="428"/>
      <c r="I1200" s="428"/>
      <c r="J1200" s="428"/>
      <c r="K1200" s="428"/>
      <c r="L1200" s="61"/>
      <c r="M1200" s="45"/>
      <c r="N1200" s="88"/>
      <c r="O1200" s="89" t="s">
        <v>62</v>
      </c>
      <c r="P1200" s="89"/>
      <c r="Q1200" s="89"/>
      <c r="R1200" s="89">
        <v>0</v>
      </c>
      <c r="S1200" s="93"/>
      <c r="T1200" s="89" t="s">
        <v>62</v>
      </c>
      <c r="U1200" s="162" t="str">
        <f>IF($J$1="October","",Y1199)</f>
        <v/>
      </c>
      <c r="V1200" s="91"/>
      <c r="W1200" s="162" t="str">
        <f t="shared" si="225"/>
        <v/>
      </c>
      <c r="X1200" s="91"/>
      <c r="Y1200" s="162" t="str">
        <f t="shared" si="226"/>
        <v/>
      </c>
      <c r="Z1200" s="94"/>
    </row>
    <row r="1201" spans="1:26" s="43" customFormat="1" ht="21" hidden="1" customHeight="1" x14ac:dyDescent="0.25">
      <c r="A1201" s="44"/>
      <c r="B1201" s="428"/>
      <c r="C1201" s="428"/>
      <c r="D1201" s="428"/>
      <c r="E1201" s="428"/>
      <c r="F1201" s="428"/>
      <c r="G1201" s="428"/>
      <c r="H1201" s="428"/>
      <c r="I1201" s="428"/>
      <c r="J1201" s="428"/>
      <c r="K1201" s="428"/>
      <c r="L1201" s="61"/>
      <c r="M1201" s="45"/>
      <c r="N1201" s="88"/>
      <c r="O1201" s="89" t="s">
        <v>63</v>
      </c>
      <c r="P1201" s="89"/>
      <c r="Q1201" s="89"/>
      <c r="R1201" s="89">
        <v>0</v>
      </c>
      <c r="S1201" s="93"/>
      <c r="T1201" s="89" t="s">
        <v>63</v>
      </c>
      <c r="U1201" s="162" t="str">
        <f>IF($J$1="November","",Y1200)</f>
        <v/>
      </c>
      <c r="V1201" s="91"/>
      <c r="W1201" s="162" t="str">
        <f t="shared" si="225"/>
        <v/>
      </c>
      <c r="X1201" s="91"/>
      <c r="Y1201" s="162" t="str">
        <f t="shared" si="226"/>
        <v/>
      </c>
      <c r="Z1201" s="94"/>
    </row>
    <row r="1202" spans="1:26" s="43" customFormat="1" ht="21" hidden="1" customHeight="1" thickBot="1" x14ac:dyDescent="0.3">
      <c r="A1202" s="74"/>
      <c r="B1202" s="75"/>
      <c r="C1202" s="75"/>
      <c r="D1202" s="75"/>
      <c r="E1202" s="75"/>
      <c r="F1202" s="75"/>
      <c r="G1202" s="75"/>
      <c r="H1202" s="75"/>
      <c r="I1202" s="75"/>
      <c r="J1202" s="75"/>
      <c r="K1202" s="75"/>
      <c r="L1202" s="76"/>
      <c r="N1202" s="95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7"/>
    </row>
    <row r="1203" spans="1:26" ht="15" thickBot="1" x14ac:dyDescent="0.35"/>
    <row r="1204" spans="1:26" s="43" customFormat="1" ht="21" customHeight="1" x14ac:dyDescent="0.25">
      <c r="A1204" s="383" t="s">
        <v>45</v>
      </c>
      <c r="B1204" s="384"/>
      <c r="C1204" s="384"/>
      <c r="D1204" s="384"/>
      <c r="E1204" s="384"/>
      <c r="F1204" s="384"/>
      <c r="G1204" s="384"/>
      <c r="H1204" s="384"/>
      <c r="I1204" s="384"/>
      <c r="J1204" s="384"/>
      <c r="K1204" s="384"/>
      <c r="L1204" s="385"/>
      <c r="M1204" s="167"/>
      <c r="N1204" s="81"/>
      <c r="O1204" s="372" t="s">
        <v>47</v>
      </c>
      <c r="P1204" s="373"/>
      <c r="Q1204" s="373"/>
      <c r="R1204" s="374"/>
      <c r="S1204" s="82"/>
      <c r="T1204" s="372" t="s">
        <v>48</v>
      </c>
      <c r="U1204" s="373"/>
      <c r="V1204" s="373"/>
      <c r="W1204" s="373"/>
      <c r="X1204" s="373"/>
      <c r="Y1204" s="374"/>
      <c r="Z1204" s="83"/>
    </row>
    <row r="1205" spans="1:26" s="43" customFormat="1" ht="21" customHeight="1" x14ac:dyDescent="0.25">
      <c r="A1205" s="44"/>
      <c r="B1205" s="45"/>
      <c r="C1205" s="375" t="s">
        <v>101</v>
      </c>
      <c r="D1205" s="375"/>
      <c r="E1205" s="375"/>
      <c r="F1205" s="375"/>
      <c r="G1205" s="46" t="str">
        <f>$J$1</f>
        <v>October</v>
      </c>
      <c r="H1205" s="376">
        <f>$K$1</f>
        <v>2020</v>
      </c>
      <c r="I1205" s="376"/>
      <c r="J1205" s="45"/>
      <c r="K1205" s="47"/>
      <c r="L1205" s="48"/>
      <c r="M1205" s="47"/>
      <c r="N1205" s="84"/>
      <c r="O1205" s="85" t="s">
        <v>58</v>
      </c>
      <c r="P1205" s="85" t="s">
        <v>7</v>
      </c>
      <c r="Q1205" s="85" t="s">
        <v>6</v>
      </c>
      <c r="R1205" s="85" t="s">
        <v>59</v>
      </c>
      <c r="S1205" s="86"/>
      <c r="T1205" s="85" t="s">
        <v>58</v>
      </c>
      <c r="U1205" s="85" t="s">
        <v>60</v>
      </c>
      <c r="V1205" s="85" t="s">
        <v>23</v>
      </c>
      <c r="W1205" s="85" t="s">
        <v>22</v>
      </c>
      <c r="X1205" s="85" t="s">
        <v>24</v>
      </c>
      <c r="Y1205" s="85" t="s">
        <v>64</v>
      </c>
      <c r="Z1205" s="87"/>
    </row>
    <row r="1206" spans="1:26" s="43" customFormat="1" ht="21" customHeight="1" x14ac:dyDescent="0.25">
      <c r="A1206" s="44"/>
      <c r="B1206" s="45"/>
      <c r="C1206" s="45"/>
      <c r="D1206" s="50"/>
      <c r="E1206" s="50"/>
      <c r="F1206" s="50"/>
      <c r="G1206" s="50"/>
      <c r="H1206" s="50"/>
      <c r="I1206" s="45"/>
      <c r="J1206" s="51" t="s">
        <v>1</v>
      </c>
      <c r="K1206" s="52">
        <v>15000</v>
      </c>
      <c r="L1206" s="53"/>
      <c r="M1206" s="45"/>
      <c r="N1206" s="88"/>
      <c r="O1206" s="89" t="s">
        <v>50</v>
      </c>
      <c r="P1206" s="89"/>
      <c r="Q1206" s="89"/>
      <c r="R1206" s="89">
        <f>15-Q1206</f>
        <v>15</v>
      </c>
      <c r="S1206" s="90"/>
      <c r="T1206" s="89" t="s">
        <v>50</v>
      </c>
      <c r="U1206" s="91"/>
      <c r="V1206" s="91"/>
      <c r="W1206" s="91">
        <f>V1206+U1206</f>
        <v>0</v>
      </c>
      <c r="X1206" s="91"/>
      <c r="Y1206" s="91">
        <f>W1206-X1206</f>
        <v>0</v>
      </c>
      <c r="Z1206" s="87"/>
    </row>
    <row r="1207" spans="1:26" s="43" customFormat="1" ht="21" customHeight="1" x14ac:dyDescent="0.25">
      <c r="A1207" s="44"/>
      <c r="B1207" s="45" t="s">
        <v>0</v>
      </c>
      <c r="C1207" s="100" t="s">
        <v>250</v>
      </c>
      <c r="D1207" s="45"/>
      <c r="E1207" s="45"/>
      <c r="F1207" s="45"/>
      <c r="G1207" s="45"/>
      <c r="H1207" s="56"/>
      <c r="I1207" s="50"/>
      <c r="J1207" s="45"/>
      <c r="K1207" s="45"/>
      <c r="L1207" s="57"/>
      <c r="M1207" s="167"/>
      <c r="N1207" s="92"/>
      <c r="O1207" s="89" t="s">
        <v>76</v>
      </c>
      <c r="P1207" s="89"/>
      <c r="Q1207" s="89"/>
      <c r="R1207" s="89">
        <f>R1206-Q1207</f>
        <v>15</v>
      </c>
      <c r="S1207" s="93"/>
      <c r="T1207" s="89" t="s">
        <v>76</v>
      </c>
      <c r="U1207" s="162">
        <f>IF($J$1="January","",Y1206)</f>
        <v>0</v>
      </c>
      <c r="V1207" s="91"/>
      <c r="W1207" s="162">
        <f>IF(U1207="","",U1207+V1207)</f>
        <v>0</v>
      </c>
      <c r="X1207" s="91"/>
      <c r="Y1207" s="162">
        <f>IF(W1207="","",W1207-X1207)</f>
        <v>0</v>
      </c>
      <c r="Z1207" s="94"/>
    </row>
    <row r="1208" spans="1:26" s="43" customFormat="1" ht="21" customHeight="1" x14ac:dyDescent="0.25">
      <c r="A1208" s="44"/>
      <c r="B1208" s="59" t="s">
        <v>46</v>
      </c>
      <c r="C1208" s="100"/>
      <c r="D1208" s="45"/>
      <c r="E1208" s="45"/>
      <c r="F1208" s="366" t="s">
        <v>48</v>
      </c>
      <c r="G1208" s="366"/>
      <c r="H1208" s="45"/>
      <c r="I1208" s="366" t="s">
        <v>49</v>
      </c>
      <c r="J1208" s="366"/>
      <c r="K1208" s="366"/>
      <c r="L1208" s="61"/>
      <c r="M1208" s="45"/>
      <c r="N1208" s="88"/>
      <c r="O1208" s="89" t="s">
        <v>51</v>
      </c>
      <c r="P1208" s="89"/>
      <c r="Q1208" s="89"/>
      <c r="R1208" s="89">
        <f>R1207-Q1208</f>
        <v>15</v>
      </c>
      <c r="S1208" s="93"/>
      <c r="T1208" s="89" t="s">
        <v>51</v>
      </c>
      <c r="U1208" s="162">
        <f>IF($J$1="February","",Y1207)</f>
        <v>0</v>
      </c>
      <c r="V1208" s="91"/>
      <c r="W1208" s="162">
        <f t="shared" ref="W1208:W1217" si="227">IF(U1208="","",U1208+V1208)</f>
        <v>0</v>
      </c>
      <c r="X1208" s="91"/>
      <c r="Y1208" s="162">
        <f t="shared" ref="Y1208:Y1217" si="228">IF(W1208="","",W1208-X1208)</f>
        <v>0</v>
      </c>
      <c r="Z1208" s="94"/>
    </row>
    <row r="1209" spans="1:26" s="43" customFormat="1" ht="21" customHeight="1" x14ac:dyDescent="0.25">
      <c r="A1209" s="44"/>
      <c r="B1209" s="45"/>
      <c r="C1209" s="45"/>
      <c r="D1209" s="45"/>
      <c r="E1209" s="45"/>
      <c r="F1209" s="45"/>
      <c r="G1209" s="45"/>
      <c r="H1209" s="62"/>
      <c r="L1209" s="49"/>
      <c r="M1209" s="45"/>
      <c r="N1209" s="88"/>
      <c r="O1209" s="89" t="s">
        <v>52</v>
      </c>
      <c r="P1209" s="89"/>
      <c r="Q1209" s="89"/>
      <c r="R1209" s="89">
        <f>R1208-Q1209</f>
        <v>15</v>
      </c>
      <c r="S1209" s="93"/>
      <c r="T1209" s="89" t="s">
        <v>52</v>
      </c>
      <c r="U1209" s="162">
        <f>IF($J$1="March","",Y1208)</f>
        <v>0</v>
      </c>
      <c r="V1209" s="91"/>
      <c r="W1209" s="162">
        <f t="shared" si="227"/>
        <v>0</v>
      </c>
      <c r="X1209" s="91"/>
      <c r="Y1209" s="162">
        <f t="shared" si="228"/>
        <v>0</v>
      </c>
      <c r="Z1209" s="94"/>
    </row>
    <row r="1210" spans="1:26" s="43" customFormat="1" ht="21" customHeight="1" x14ac:dyDescent="0.25">
      <c r="A1210" s="44"/>
      <c r="B1210" s="367" t="s">
        <v>47</v>
      </c>
      <c r="C1210" s="368"/>
      <c r="D1210" s="45"/>
      <c r="E1210" s="45"/>
      <c r="F1210" s="63" t="s">
        <v>69</v>
      </c>
      <c r="G1210" s="58">
        <f>IF($J$1="January",U1206,IF($J$1="February",U1207,IF($J$1="March",U1208,IF($J$1="April",U1209,IF($J$1="May",U1210,IF($J$1="June",U1211,IF($J$1="July",U1212,IF($J$1="August",U1213,IF($J$1="August",U1213,IF($J$1="September",U1214,IF($J$1="October",U1215,IF($J$1="November",U1216,IF($J$1="December",U1217)))))))))))))</f>
        <v>0</v>
      </c>
      <c r="H1210" s="62"/>
      <c r="I1210" s="64">
        <f>IF(C1214&gt;0,$K$2,C1212)</f>
        <v>29</v>
      </c>
      <c r="J1210" s="65" t="s">
        <v>66</v>
      </c>
      <c r="K1210" s="66">
        <f>K1206/$K$2*I1210</f>
        <v>14032.258064516129</v>
      </c>
      <c r="L1210" s="67"/>
      <c r="M1210" s="45"/>
      <c r="N1210" s="88"/>
      <c r="O1210" s="89" t="s">
        <v>53</v>
      </c>
      <c r="P1210" s="89"/>
      <c r="Q1210" s="89"/>
      <c r="R1210" s="89">
        <f>R1209-Q1210</f>
        <v>15</v>
      </c>
      <c r="S1210" s="93"/>
      <c r="T1210" s="89" t="s">
        <v>53</v>
      </c>
      <c r="U1210" s="162">
        <f>IF($J$1="April","",Y1209)</f>
        <v>0</v>
      </c>
      <c r="V1210" s="91"/>
      <c r="W1210" s="162">
        <f t="shared" si="227"/>
        <v>0</v>
      </c>
      <c r="X1210" s="91"/>
      <c r="Y1210" s="162">
        <f t="shared" si="228"/>
        <v>0</v>
      </c>
      <c r="Z1210" s="94"/>
    </row>
    <row r="1211" spans="1:26" s="43" customFormat="1" ht="21" customHeight="1" x14ac:dyDescent="0.25">
      <c r="A1211" s="44"/>
      <c r="B1211" s="54"/>
      <c r="C1211" s="54"/>
      <c r="D1211" s="45"/>
      <c r="E1211" s="45"/>
      <c r="F1211" s="63" t="s">
        <v>23</v>
      </c>
      <c r="G1211" s="58">
        <f>IF($J$1="January",V1206,IF($J$1="February",V1207,IF($J$1="March",V1208,IF($J$1="April",V1209,IF($J$1="May",V1210,IF($J$1="June",V1211,IF($J$1="July",V1212,IF($J$1="August",V1213,IF($J$1="August",V1213,IF($J$1="September",V1214,IF($J$1="October",V1215,IF($J$1="November",V1216,IF($J$1="December",V1217)))))))))))))</f>
        <v>0</v>
      </c>
      <c r="H1211" s="62"/>
      <c r="I1211" s="108">
        <v>50</v>
      </c>
      <c r="J1211" s="65" t="s">
        <v>67</v>
      </c>
      <c r="K1211" s="68">
        <f>K1206/$K$2/8*I1211</f>
        <v>3024.1935483870966</v>
      </c>
      <c r="L1211" s="69"/>
      <c r="M1211" s="45"/>
      <c r="N1211" s="88"/>
      <c r="O1211" s="89" t="s">
        <v>54</v>
      </c>
      <c r="P1211" s="89"/>
      <c r="Q1211" s="89"/>
      <c r="R1211" s="89">
        <f>R1210-Q1211</f>
        <v>15</v>
      </c>
      <c r="S1211" s="93"/>
      <c r="T1211" s="89" t="s">
        <v>54</v>
      </c>
      <c r="U1211" s="162">
        <f>IF($J$1="May","",Y1210)</f>
        <v>0</v>
      </c>
      <c r="V1211" s="91"/>
      <c r="W1211" s="162">
        <f t="shared" si="227"/>
        <v>0</v>
      </c>
      <c r="X1211" s="91"/>
      <c r="Y1211" s="162">
        <f t="shared" si="228"/>
        <v>0</v>
      </c>
      <c r="Z1211" s="94"/>
    </row>
    <row r="1212" spans="1:26" s="43" customFormat="1" ht="21" customHeight="1" x14ac:dyDescent="0.25">
      <c r="A1212" s="44"/>
      <c r="B1212" s="63" t="s">
        <v>7</v>
      </c>
      <c r="C1212" s="54">
        <f>IF($J$1="January",P1206,IF($J$1="February",P1207,IF($J$1="March",P1208,IF($J$1="April",P1209,IF($J$1="May",P1210,IF($J$1="June",P1211,IF($J$1="July",P1212,IF($J$1="August",P1213,IF($J$1="August",P1213,IF($J$1="September",P1214,IF($J$1="October",P1215,IF($J$1="November",P1216,IF($J$1="December",P1217)))))))))))))</f>
        <v>29</v>
      </c>
      <c r="D1212" s="45"/>
      <c r="E1212" s="45"/>
      <c r="F1212" s="63" t="s">
        <v>70</v>
      </c>
      <c r="G1212" s="58">
        <f>IF($J$1="January",W1206,IF($J$1="February",W1207,IF($J$1="March",W1208,IF($J$1="April",W1209,IF($J$1="May",W1210,IF($J$1="June",W1211,IF($J$1="July",W1212,IF($J$1="August",W1213,IF($J$1="August",W1213,IF($J$1="September",W1214,IF($J$1="October",W1215,IF($J$1="November",W1216,IF($J$1="December",W1217)))))))))))))</f>
        <v>0</v>
      </c>
      <c r="H1212" s="62"/>
      <c r="I1212" s="361" t="s">
        <v>74</v>
      </c>
      <c r="J1212" s="362"/>
      <c r="K1212" s="68">
        <f>K1210+K1211</f>
        <v>17056.451612903227</v>
      </c>
      <c r="L1212" s="69"/>
      <c r="M1212" s="45"/>
      <c r="N1212" s="88"/>
      <c r="O1212" s="89" t="s">
        <v>55</v>
      </c>
      <c r="P1212" s="89"/>
      <c r="Q1212" s="89"/>
      <c r="R1212" s="89">
        <v>0</v>
      </c>
      <c r="S1212" s="93"/>
      <c r="T1212" s="89" t="s">
        <v>55</v>
      </c>
      <c r="U1212" s="162">
        <f>IF($J$1="June","",Y1211)</f>
        <v>0</v>
      </c>
      <c r="V1212" s="91"/>
      <c r="W1212" s="162">
        <f t="shared" si="227"/>
        <v>0</v>
      </c>
      <c r="X1212" s="91"/>
      <c r="Y1212" s="162">
        <f t="shared" si="228"/>
        <v>0</v>
      </c>
      <c r="Z1212" s="94"/>
    </row>
    <row r="1213" spans="1:26" s="43" customFormat="1" ht="21" customHeight="1" x14ac:dyDescent="0.25">
      <c r="A1213" s="44"/>
      <c r="B1213" s="63" t="s">
        <v>6</v>
      </c>
      <c r="C1213" s="54">
        <f>IF($J$1="January",Q1206,IF($J$1="February",Q1207,IF($J$1="March",Q1208,IF($J$1="April",Q1209,IF($J$1="May",Q1210,IF($J$1="June",Q1211,IF($J$1="July",Q1212,IF($J$1="August",Q1213,IF($J$1="August",Q1213,IF($J$1="September",Q1214,IF($J$1="October",Q1215,IF($J$1="November",Q1216,IF($J$1="December",Q1217)))))))))))))</f>
        <v>2</v>
      </c>
      <c r="D1213" s="45"/>
      <c r="E1213" s="45"/>
      <c r="F1213" s="63" t="s">
        <v>24</v>
      </c>
      <c r="G1213" s="58">
        <f>IF($J$1="January",X1206,IF($J$1="February",X1207,IF($J$1="March",X1208,IF($J$1="April",X1209,IF($J$1="May",X1210,IF($J$1="June",X1211,IF($J$1="July",X1212,IF($J$1="August",X1213,IF($J$1="August",X1213,IF($J$1="September",X1214,IF($J$1="October",X1215,IF($J$1="November",X1216,IF($J$1="December",X1217)))))))))))))</f>
        <v>0</v>
      </c>
      <c r="H1213" s="62"/>
      <c r="I1213" s="361" t="s">
        <v>75</v>
      </c>
      <c r="J1213" s="362"/>
      <c r="K1213" s="58">
        <f>G1213</f>
        <v>0</v>
      </c>
      <c r="L1213" s="70"/>
      <c r="M1213" s="45"/>
      <c r="N1213" s="88"/>
      <c r="O1213" s="89" t="s">
        <v>56</v>
      </c>
      <c r="P1213" s="89"/>
      <c r="Q1213" s="89"/>
      <c r="R1213" s="89">
        <v>0</v>
      </c>
      <c r="S1213" s="93"/>
      <c r="T1213" s="89" t="s">
        <v>56</v>
      </c>
      <c r="U1213" s="162">
        <f>IF($J$1="July","",Y1212)</f>
        <v>0</v>
      </c>
      <c r="V1213" s="91"/>
      <c r="W1213" s="162">
        <f t="shared" si="227"/>
        <v>0</v>
      </c>
      <c r="X1213" s="91"/>
      <c r="Y1213" s="162">
        <f t="shared" si="228"/>
        <v>0</v>
      </c>
      <c r="Z1213" s="94"/>
    </row>
    <row r="1214" spans="1:26" s="43" customFormat="1" ht="21" customHeight="1" x14ac:dyDescent="0.25">
      <c r="A1214" s="44"/>
      <c r="B1214" s="71" t="s">
        <v>73</v>
      </c>
      <c r="C1214" s="54">
        <f>IF($J$1="January",R1206,IF($J$1="February",R1207,IF($J$1="March",R1208,IF($J$1="April",R1209,IF($J$1="May",R1210,IF($J$1="June",R1211,IF($J$1="July",R1212,IF($J$1="August",R1213,IF($J$1="August",R1213,IF($J$1="September",R1214,IF($J$1="October",R1215,IF($J$1="November",R1216,IF($J$1="December",R1217)))))))))))))</f>
        <v>0</v>
      </c>
      <c r="D1214" s="45"/>
      <c r="E1214" s="45"/>
      <c r="F1214" s="63" t="s">
        <v>72</v>
      </c>
      <c r="G1214" s="58">
        <f>IF($J$1="January",Y1206,IF($J$1="February",Y1207,IF($J$1="March",Y1208,IF($J$1="April",Y1209,IF($J$1="May",Y1210,IF($J$1="June",Y1211,IF($J$1="July",Y1212,IF($J$1="August",Y1213,IF($J$1="August",Y1213,IF($J$1="September",Y1214,IF($J$1="October",Y1215,IF($J$1="November",Y1216,IF($J$1="December",Y1217)))))))))))))</f>
        <v>0</v>
      </c>
      <c r="H1214" s="45"/>
      <c r="I1214" s="363" t="s">
        <v>68</v>
      </c>
      <c r="J1214" s="364"/>
      <c r="K1214" s="72">
        <f>K1212-K1213</f>
        <v>17056.451612903227</v>
      </c>
      <c r="L1214" s="73"/>
      <c r="M1214" s="45"/>
      <c r="N1214" s="88"/>
      <c r="O1214" s="89" t="s">
        <v>61</v>
      </c>
      <c r="P1214" s="89">
        <v>28</v>
      </c>
      <c r="Q1214" s="89">
        <v>2</v>
      </c>
      <c r="R1214" s="89">
        <v>0</v>
      </c>
      <c r="S1214" s="93"/>
      <c r="T1214" s="89" t="s">
        <v>61</v>
      </c>
      <c r="U1214" s="162">
        <f>IF($J$1="August","",Y1213)</f>
        <v>0</v>
      </c>
      <c r="V1214" s="91"/>
      <c r="W1214" s="162">
        <f t="shared" si="227"/>
        <v>0</v>
      </c>
      <c r="X1214" s="91"/>
      <c r="Y1214" s="162">
        <f t="shared" si="228"/>
        <v>0</v>
      </c>
      <c r="Z1214" s="94"/>
    </row>
    <row r="1215" spans="1:26" s="43" customFormat="1" ht="21" customHeight="1" x14ac:dyDescent="0.25">
      <c r="A1215" s="44"/>
      <c r="B1215" s="45"/>
      <c r="C1215" s="45"/>
      <c r="D1215" s="45"/>
      <c r="E1215" s="45"/>
      <c r="F1215" s="45"/>
      <c r="G1215" s="45"/>
      <c r="H1215" s="45"/>
      <c r="I1215" s="45"/>
      <c r="J1215" s="45"/>
      <c r="K1215" s="177"/>
      <c r="L1215" s="61"/>
      <c r="M1215" s="45"/>
      <c r="N1215" s="88"/>
      <c r="O1215" s="89" t="s">
        <v>57</v>
      </c>
      <c r="P1215" s="89">
        <v>29</v>
      </c>
      <c r="Q1215" s="89">
        <v>2</v>
      </c>
      <c r="R1215" s="89">
        <v>0</v>
      </c>
      <c r="S1215" s="93"/>
      <c r="T1215" s="89" t="s">
        <v>57</v>
      </c>
      <c r="U1215" s="162">
        <f>IF($J$1="September","",Y1214)</f>
        <v>0</v>
      </c>
      <c r="V1215" s="91"/>
      <c r="W1215" s="162">
        <f t="shared" si="227"/>
        <v>0</v>
      </c>
      <c r="X1215" s="91"/>
      <c r="Y1215" s="162">
        <f t="shared" si="228"/>
        <v>0</v>
      </c>
      <c r="Z1215" s="94"/>
    </row>
    <row r="1216" spans="1:26" s="43" customFormat="1" ht="21" customHeight="1" x14ac:dyDescent="0.25">
      <c r="A1216" s="44"/>
      <c r="B1216" s="365" t="s">
        <v>103</v>
      </c>
      <c r="C1216" s="365"/>
      <c r="D1216" s="365"/>
      <c r="E1216" s="365"/>
      <c r="F1216" s="365"/>
      <c r="G1216" s="365"/>
      <c r="H1216" s="365"/>
      <c r="I1216" s="365"/>
      <c r="J1216" s="365"/>
      <c r="K1216" s="365"/>
      <c r="L1216" s="61"/>
      <c r="M1216" s="45"/>
      <c r="N1216" s="88"/>
      <c r="O1216" s="89" t="s">
        <v>62</v>
      </c>
      <c r="P1216" s="89"/>
      <c r="Q1216" s="89"/>
      <c r="R1216" s="89" t="str">
        <f t="shared" ref="R1216" si="229">IF(Q1216="","",R1215-Q1216)</f>
        <v/>
      </c>
      <c r="S1216" s="93"/>
      <c r="T1216" s="89" t="s">
        <v>62</v>
      </c>
      <c r="U1216" s="162" t="str">
        <f>IF($J$1="October","",Y1215)</f>
        <v/>
      </c>
      <c r="V1216" s="91"/>
      <c r="W1216" s="162" t="str">
        <f t="shared" si="227"/>
        <v/>
      </c>
      <c r="X1216" s="91"/>
      <c r="Y1216" s="162" t="str">
        <f t="shared" si="228"/>
        <v/>
      </c>
      <c r="Z1216" s="94"/>
    </row>
    <row r="1217" spans="1:28" s="43" customFormat="1" ht="21" customHeight="1" x14ac:dyDescent="0.25">
      <c r="A1217" s="44"/>
      <c r="B1217" s="365"/>
      <c r="C1217" s="365"/>
      <c r="D1217" s="365"/>
      <c r="E1217" s="365"/>
      <c r="F1217" s="365"/>
      <c r="G1217" s="365"/>
      <c r="H1217" s="365"/>
      <c r="I1217" s="365"/>
      <c r="J1217" s="365"/>
      <c r="K1217" s="365"/>
      <c r="L1217" s="61"/>
      <c r="M1217" s="45"/>
      <c r="N1217" s="88"/>
      <c r="O1217" s="89" t="s">
        <v>63</v>
      </c>
      <c r="P1217" s="89"/>
      <c r="Q1217" s="89"/>
      <c r="R1217" s="89">
        <v>0</v>
      </c>
      <c r="S1217" s="93"/>
      <c r="T1217" s="89" t="s">
        <v>63</v>
      </c>
      <c r="U1217" s="162" t="str">
        <f>IF($J$1="November","",Y1216)</f>
        <v/>
      </c>
      <c r="V1217" s="91"/>
      <c r="W1217" s="162" t="str">
        <f t="shared" si="227"/>
        <v/>
      </c>
      <c r="X1217" s="91"/>
      <c r="Y1217" s="162" t="str">
        <f t="shared" si="228"/>
        <v/>
      </c>
      <c r="Z1217" s="94"/>
    </row>
    <row r="1218" spans="1:28" s="43" customFormat="1" ht="21" customHeight="1" thickBot="1" x14ac:dyDescent="0.3">
      <c r="A1218" s="74"/>
      <c r="B1218" s="75"/>
      <c r="C1218" s="75"/>
      <c r="D1218" s="75"/>
      <c r="E1218" s="75"/>
      <c r="F1218" s="75"/>
      <c r="G1218" s="75"/>
      <c r="H1218" s="75"/>
      <c r="I1218" s="75"/>
      <c r="J1218" s="75"/>
      <c r="K1218" s="75"/>
      <c r="L1218" s="76"/>
      <c r="N1218" s="95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7"/>
    </row>
    <row r="1219" spans="1:28" x14ac:dyDescent="0.3">
      <c r="AB1219" s="168"/>
    </row>
    <row r="1220" spans="1:28" s="43" customFormat="1" ht="21" hidden="1" customHeight="1" x14ac:dyDescent="0.25">
      <c r="A1220" s="383" t="s">
        <v>45</v>
      </c>
      <c r="B1220" s="384"/>
      <c r="C1220" s="384"/>
      <c r="D1220" s="384"/>
      <c r="E1220" s="384"/>
      <c r="F1220" s="384"/>
      <c r="G1220" s="384"/>
      <c r="H1220" s="384"/>
      <c r="I1220" s="384"/>
      <c r="J1220" s="384"/>
      <c r="K1220" s="384"/>
      <c r="L1220" s="385"/>
      <c r="M1220" s="182"/>
      <c r="N1220" s="81"/>
      <c r="O1220" s="372" t="s">
        <v>47</v>
      </c>
      <c r="P1220" s="373"/>
      <c r="Q1220" s="373"/>
      <c r="R1220" s="374"/>
      <c r="S1220" s="82"/>
      <c r="T1220" s="372" t="s">
        <v>48</v>
      </c>
      <c r="U1220" s="373"/>
      <c r="V1220" s="373"/>
      <c r="W1220" s="373"/>
      <c r="X1220" s="373"/>
      <c r="Y1220" s="374"/>
      <c r="Z1220" s="83"/>
    </row>
    <row r="1221" spans="1:28" s="43" customFormat="1" ht="21" hidden="1" customHeight="1" x14ac:dyDescent="0.25">
      <c r="A1221" s="44"/>
      <c r="B1221" s="45"/>
      <c r="C1221" s="375" t="s">
        <v>101</v>
      </c>
      <c r="D1221" s="375"/>
      <c r="E1221" s="375"/>
      <c r="F1221" s="375"/>
      <c r="G1221" s="46" t="str">
        <f>$J$1</f>
        <v>October</v>
      </c>
      <c r="H1221" s="376">
        <f>$K$1</f>
        <v>2020</v>
      </c>
      <c r="I1221" s="376"/>
      <c r="J1221" s="45"/>
      <c r="K1221" s="47"/>
      <c r="L1221" s="48"/>
      <c r="M1221" s="47"/>
      <c r="N1221" s="84"/>
      <c r="O1221" s="85" t="s">
        <v>58</v>
      </c>
      <c r="P1221" s="85" t="s">
        <v>7</v>
      </c>
      <c r="Q1221" s="85" t="s">
        <v>6</v>
      </c>
      <c r="R1221" s="85" t="s">
        <v>59</v>
      </c>
      <c r="S1221" s="86"/>
      <c r="T1221" s="85" t="s">
        <v>58</v>
      </c>
      <c r="U1221" s="85" t="s">
        <v>60</v>
      </c>
      <c r="V1221" s="85" t="s">
        <v>23</v>
      </c>
      <c r="W1221" s="85" t="s">
        <v>22</v>
      </c>
      <c r="X1221" s="85" t="s">
        <v>24</v>
      </c>
      <c r="Y1221" s="85" t="s">
        <v>64</v>
      </c>
      <c r="Z1221" s="87"/>
    </row>
    <row r="1222" spans="1:28" s="43" customFormat="1" ht="21" hidden="1" customHeight="1" x14ac:dyDescent="0.25">
      <c r="A1222" s="44"/>
      <c r="B1222" s="45"/>
      <c r="C1222" s="45"/>
      <c r="D1222" s="50"/>
      <c r="E1222" s="50"/>
      <c r="F1222" s="50"/>
      <c r="G1222" s="50"/>
      <c r="H1222" s="50"/>
      <c r="I1222" s="45"/>
      <c r="J1222" s="51" t="s">
        <v>1</v>
      </c>
      <c r="K1222" s="52"/>
      <c r="L1222" s="53"/>
      <c r="M1222" s="45"/>
      <c r="N1222" s="88"/>
      <c r="O1222" s="89" t="s">
        <v>50</v>
      </c>
      <c r="P1222" s="89"/>
      <c r="Q1222" s="89"/>
      <c r="R1222" s="89">
        <v>0</v>
      </c>
      <c r="S1222" s="90"/>
      <c r="T1222" s="89" t="s">
        <v>50</v>
      </c>
      <c r="U1222" s="91"/>
      <c r="V1222" s="91"/>
      <c r="W1222" s="91">
        <f>V1222+U1222</f>
        <v>0</v>
      </c>
      <c r="X1222" s="91"/>
      <c r="Y1222" s="91">
        <f>W1222-X1222</f>
        <v>0</v>
      </c>
      <c r="Z1222" s="87"/>
    </row>
    <row r="1223" spans="1:28" s="43" customFormat="1" ht="21" hidden="1" customHeight="1" x14ac:dyDescent="0.25">
      <c r="A1223" s="44"/>
      <c r="B1223" s="45" t="s">
        <v>0</v>
      </c>
      <c r="C1223" s="100"/>
      <c r="D1223" s="45"/>
      <c r="E1223" s="45"/>
      <c r="F1223" s="45"/>
      <c r="G1223" s="45"/>
      <c r="H1223" s="56"/>
      <c r="I1223" s="50"/>
      <c r="J1223" s="45"/>
      <c r="K1223" s="45"/>
      <c r="L1223" s="57"/>
      <c r="M1223" s="182"/>
      <c r="N1223" s="92"/>
      <c r="O1223" s="89" t="s">
        <v>76</v>
      </c>
      <c r="P1223" s="89"/>
      <c r="Q1223" s="89"/>
      <c r="R1223" s="89">
        <v>0</v>
      </c>
      <c r="S1223" s="93"/>
      <c r="T1223" s="89" t="s">
        <v>76</v>
      </c>
      <c r="U1223" s="162">
        <f>IF($J$1="January","",Y1222)</f>
        <v>0</v>
      </c>
      <c r="V1223" s="91"/>
      <c r="W1223" s="162">
        <f>IF(U1223="","",U1223+V1223)</f>
        <v>0</v>
      </c>
      <c r="X1223" s="91"/>
      <c r="Y1223" s="162">
        <f>IF(W1223="","",W1223-X1223)</f>
        <v>0</v>
      </c>
      <c r="Z1223" s="94"/>
    </row>
    <row r="1224" spans="1:28" s="43" customFormat="1" ht="21" hidden="1" customHeight="1" x14ac:dyDescent="0.25">
      <c r="A1224" s="44"/>
      <c r="B1224" s="59" t="s">
        <v>46</v>
      </c>
      <c r="C1224" s="100"/>
      <c r="D1224" s="45"/>
      <c r="E1224" s="45"/>
      <c r="F1224" s="366" t="s">
        <v>48</v>
      </c>
      <c r="G1224" s="366"/>
      <c r="H1224" s="45"/>
      <c r="I1224" s="366" t="s">
        <v>49</v>
      </c>
      <c r="J1224" s="366"/>
      <c r="K1224" s="366"/>
      <c r="L1224" s="61"/>
      <c r="M1224" s="45"/>
      <c r="N1224" s="88"/>
      <c r="O1224" s="89" t="s">
        <v>51</v>
      </c>
      <c r="P1224" s="89"/>
      <c r="Q1224" s="89"/>
      <c r="R1224" s="89">
        <v>0</v>
      </c>
      <c r="S1224" s="93"/>
      <c r="T1224" s="89" t="s">
        <v>51</v>
      </c>
      <c r="U1224" s="162">
        <f>IF($J$1="February","",Y1223)</f>
        <v>0</v>
      </c>
      <c r="V1224" s="91"/>
      <c r="W1224" s="162">
        <f t="shared" ref="W1224:W1233" si="230">IF(U1224="","",U1224+V1224)</f>
        <v>0</v>
      </c>
      <c r="X1224" s="91"/>
      <c r="Y1224" s="162">
        <f t="shared" ref="Y1224:Y1233" si="231">IF(W1224="","",W1224-X1224)</f>
        <v>0</v>
      </c>
      <c r="Z1224" s="94"/>
    </row>
    <row r="1225" spans="1:28" s="43" customFormat="1" ht="21" hidden="1" customHeight="1" x14ac:dyDescent="0.25">
      <c r="A1225" s="44"/>
      <c r="B1225" s="45"/>
      <c r="C1225" s="45"/>
      <c r="D1225" s="45"/>
      <c r="E1225" s="45"/>
      <c r="F1225" s="45"/>
      <c r="G1225" s="45"/>
      <c r="H1225" s="62"/>
      <c r="L1225" s="49"/>
      <c r="M1225" s="45"/>
      <c r="N1225" s="88"/>
      <c r="O1225" s="89" t="s">
        <v>52</v>
      </c>
      <c r="P1225" s="89"/>
      <c r="Q1225" s="89"/>
      <c r="R1225" s="89" t="str">
        <f>IF(Q1225="","",R1224-Q1225)</f>
        <v/>
      </c>
      <c r="S1225" s="93"/>
      <c r="T1225" s="89" t="s">
        <v>52</v>
      </c>
      <c r="U1225" s="162">
        <f>IF($J$1="March","",Y1224)</f>
        <v>0</v>
      </c>
      <c r="V1225" s="91"/>
      <c r="W1225" s="162">
        <f t="shared" si="230"/>
        <v>0</v>
      </c>
      <c r="X1225" s="91"/>
      <c r="Y1225" s="162">
        <f t="shared" si="231"/>
        <v>0</v>
      </c>
      <c r="Z1225" s="94"/>
    </row>
    <row r="1226" spans="1:28" s="43" customFormat="1" ht="21" hidden="1" customHeight="1" x14ac:dyDescent="0.25">
      <c r="A1226" s="44"/>
      <c r="B1226" s="367" t="s">
        <v>47</v>
      </c>
      <c r="C1226" s="368"/>
      <c r="D1226" s="45"/>
      <c r="E1226" s="45"/>
      <c r="F1226" s="63" t="s">
        <v>69</v>
      </c>
      <c r="G1226" s="58">
        <f>IF($J$1="January",U1222,IF($J$1="February",U1223,IF($J$1="March",U1224,IF($J$1="April",U1225,IF($J$1="May",U1226,IF($J$1="June",U1227,IF($J$1="July",U1228,IF($J$1="August",U1229,IF($J$1="August",U1229,IF($J$1="September",U1230,IF($J$1="October",U1231,IF($J$1="November",U1232,IF($J$1="December",U1233)))))))))))))</f>
        <v>0</v>
      </c>
      <c r="H1226" s="62"/>
      <c r="I1226" s="64"/>
      <c r="J1226" s="65" t="s">
        <v>66</v>
      </c>
      <c r="K1226" s="66">
        <f>K1222*I1226</f>
        <v>0</v>
      </c>
      <c r="L1226" s="67"/>
      <c r="M1226" s="45"/>
      <c r="N1226" s="88"/>
      <c r="O1226" s="89" t="s">
        <v>53</v>
      </c>
      <c r="P1226" s="89"/>
      <c r="Q1226" s="89"/>
      <c r="R1226" s="89">
        <v>0</v>
      </c>
      <c r="S1226" s="93"/>
      <c r="T1226" s="89" t="s">
        <v>53</v>
      </c>
      <c r="U1226" s="162">
        <f>IF($J$1="April","",Y1225)</f>
        <v>0</v>
      </c>
      <c r="V1226" s="91"/>
      <c r="W1226" s="162">
        <f t="shared" si="230"/>
        <v>0</v>
      </c>
      <c r="X1226" s="91"/>
      <c r="Y1226" s="162">
        <f t="shared" si="231"/>
        <v>0</v>
      </c>
      <c r="Z1226" s="94"/>
    </row>
    <row r="1227" spans="1:28" s="43" customFormat="1" ht="21" hidden="1" customHeight="1" x14ac:dyDescent="0.25">
      <c r="A1227" s="44"/>
      <c r="B1227" s="54"/>
      <c r="C1227" s="54"/>
      <c r="D1227" s="45"/>
      <c r="E1227" s="45"/>
      <c r="F1227" s="63" t="s">
        <v>23</v>
      </c>
      <c r="G1227" s="58">
        <f>IF($J$1="January",V1222,IF($J$1="February",V1223,IF($J$1="March",V1224,IF($J$1="April",V1225,IF($J$1="May",V1226,IF($J$1="June",V1227,IF($J$1="July",V1228,IF($J$1="August",V1229,IF($J$1="August",V1229,IF($J$1="September",V1230,IF($J$1="October",V1231,IF($J$1="November",V1232,IF($J$1="December",V1233)))))))))))))</f>
        <v>0</v>
      </c>
      <c r="H1227" s="62"/>
      <c r="I1227" s="108"/>
      <c r="J1227" s="65" t="s">
        <v>67</v>
      </c>
      <c r="K1227" s="68">
        <f>K1222/8*I1227</f>
        <v>0</v>
      </c>
      <c r="L1227" s="69"/>
      <c r="M1227" s="45"/>
      <c r="N1227" s="88"/>
      <c r="O1227" s="89" t="s">
        <v>54</v>
      </c>
      <c r="P1227" s="89"/>
      <c r="Q1227" s="89"/>
      <c r="R1227" s="89">
        <v>0</v>
      </c>
      <c r="S1227" s="93"/>
      <c r="T1227" s="89" t="s">
        <v>54</v>
      </c>
      <c r="U1227" s="162">
        <f>IF($J$1="May","",Y1226)</f>
        <v>0</v>
      </c>
      <c r="V1227" s="91"/>
      <c r="W1227" s="162">
        <f t="shared" si="230"/>
        <v>0</v>
      </c>
      <c r="X1227" s="91"/>
      <c r="Y1227" s="162">
        <f t="shared" si="231"/>
        <v>0</v>
      </c>
      <c r="Z1227" s="94"/>
    </row>
    <row r="1228" spans="1:28" s="43" customFormat="1" ht="21" hidden="1" customHeight="1" x14ac:dyDescent="0.25">
      <c r="A1228" s="44"/>
      <c r="B1228" s="63" t="s">
        <v>7</v>
      </c>
      <c r="C1228" s="54">
        <f>IF($J$1="January",P1222,IF($J$1="February",P1223,IF($J$1="March",P1224,IF($J$1="April",P1225,IF($J$1="May",P1226,IF($J$1="June",P1227,IF($J$1="July",P1228,IF($J$1="August",P1229,IF($J$1="August",P1229,IF($J$1="September",P1230,IF($J$1="October",P1231,IF($J$1="November",P1232,IF($J$1="December",P1233)))))))))))))</f>
        <v>0</v>
      </c>
      <c r="D1228" s="45"/>
      <c r="E1228" s="45"/>
      <c r="F1228" s="63" t="s">
        <v>70</v>
      </c>
      <c r="G1228" s="58">
        <f>IF($J$1="January",W1222,IF($J$1="February",W1223,IF($J$1="March",W1224,IF($J$1="April",W1225,IF($J$1="May",W1226,IF($J$1="June",W1227,IF($J$1="July",W1228,IF($J$1="August",W1229,IF($J$1="August",W1229,IF($J$1="September",W1230,IF($J$1="October",W1231,IF($J$1="November",W1232,IF($J$1="December",W1233)))))))))))))</f>
        <v>0</v>
      </c>
      <c r="H1228" s="62"/>
      <c r="I1228" s="361" t="s">
        <v>74</v>
      </c>
      <c r="J1228" s="362"/>
      <c r="K1228" s="68">
        <f>K1226+K1227</f>
        <v>0</v>
      </c>
      <c r="L1228" s="69"/>
      <c r="M1228" s="45"/>
      <c r="N1228" s="88"/>
      <c r="O1228" s="89" t="s">
        <v>55</v>
      </c>
      <c r="P1228" s="89"/>
      <c r="Q1228" s="89"/>
      <c r="R1228" s="89">
        <v>0</v>
      </c>
      <c r="S1228" s="93"/>
      <c r="T1228" s="89" t="s">
        <v>55</v>
      </c>
      <c r="U1228" s="162">
        <f>IF($J$1="June","",Y1227)</f>
        <v>0</v>
      </c>
      <c r="V1228" s="91"/>
      <c r="W1228" s="162">
        <f t="shared" si="230"/>
        <v>0</v>
      </c>
      <c r="X1228" s="91"/>
      <c r="Y1228" s="162">
        <f t="shared" si="231"/>
        <v>0</v>
      </c>
      <c r="Z1228" s="94"/>
    </row>
    <row r="1229" spans="1:28" s="43" customFormat="1" ht="21" hidden="1" customHeight="1" x14ac:dyDescent="0.25">
      <c r="A1229" s="44"/>
      <c r="B1229" s="63" t="s">
        <v>6</v>
      </c>
      <c r="C1229" s="54">
        <f>IF($J$1="January",Q1222,IF($J$1="February",Q1223,IF($J$1="March",Q1224,IF($J$1="April",Q1225,IF($J$1="May",Q1226,IF($J$1="June",Q1227,IF($J$1="July",Q1228,IF($J$1="August",Q1229,IF($J$1="August",Q1229,IF($J$1="September",Q1230,IF($J$1="October",Q1231,IF($J$1="November",Q1232,IF($J$1="December",Q1233)))))))))))))</f>
        <v>0</v>
      </c>
      <c r="D1229" s="45"/>
      <c r="E1229" s="45"/>
      <c r="F1229" s="63" t="s">
        <v>24</v>
      </c>
      <c r="G1229" s="58">
        <f>IF($J$1="January",X1222,IF($J$1="February",X1223,IF($J$1="March",X1224,IF($J$1="April",X1225,IF($J$1="May",X1226,IF($J$1="June",X1227,IF($J$1="July",X1228,IF($J$1="August",X1229,IF($J$1="August",X1229,IF($J$1="September",X1230,IF($J$1="October",X1231,IF($J$1="November",X1232,IF($J$1="December",X1233)))))))))))))</f>
        <v>0</v>
      </c>
      <c r="H1229" s="62"/>
      <c r="I1229" s="361" t="s">
        <v>75</v>
      </c>
      <c r="J1229" s="362"/>
      <c r="K1229" s="58">
        <f>G1229</f>
        <v>0</v>
      </c>
      <c r="L1229" s="70"/>
      <c r="M1229" s="45"/>
      <c r="N1229" s="88"/>
      <c r="O1229" s="89" t="s">
        <v>56</v>
      </c>
      <c r="P1229" s="89"/>
      <c r="Q1229" s="89"/>
      <c r="R1229" s="89">
        <v>0</v>
      </c>
      <c r="S1229" s="93"/>
      <c r="T1229" s="89" t="s">
        <v>56</v>
      </c>
      <c r="U1229" s="162">
        <f>IF($J$1="July","",Y1228)</f>
        <v>0</v>
      </c>
      <c r="V1229" s="91"/>
      <c r="W1229" s="162">
        <f t="shared" si="230"/>
        <v>0</v>
      </c>
      <c r="X1229" s="91"/>
      <c r="Y1229" s="162">
        <f t="shared" si="231"/>
        <v>0</v>
      </c>
      <c r="Z1229" s="94"/>
    </row>
    <row r="1230" spans="1:28" s="43" customFormat="1" ht="21" hidden="1" customHeight="1" x14ac:dyDescent="0.25">
      <c r="A1230" s="44"/>
      <c r="B1230" s="71" t="s">
        <v>73</v>
      </c>
      <c r="C1230" s="54">
        <f>IF($J$1="January",R1222,IF($J$1="February",R1223,IF($J$1="March",R1224,IF($J$1="April",R1225,IF($J$1="May",R1226,IF($J$1="June",R1227,IF($J$1="July",R1228,IF($J$1="August",R1229,IF($J$1="August",R1229,IF($J$1="September",R1230,IF($J$1="October",R1231,IF($J$1="November",R1232,IF($J$1="December",R1233)))))))))))))</f>
        <v>0</v>
      </c>
      <c r="D1230" s="45"/>
      <c r="E1230" s="45"/>
      <c r="F1230" s="63" t="s">
        <v>72</v>
      </c>
      <c r="G1230" s="58">
        <f>IF($J$1="January",Y1222,IF($J$1="February",Y1223,IF($J$1="March",Y1224,IF($J$1="April",Y1225,IF($J$1="May",Y1226,IF($J$1="June",Y1227,IF($J$1="July",Y1228,IF($J$1="August",Y1229,IF($J$1="August",Y1229,IF($J$1="September",Y1230,IF($J$1="October",Y1231,IF($J$1="November",Y1232,IF($J$1="December",Y1233)))))))))))))</f>
        <v>0</v>
      </c>
      <c r="H1230" s="45"/>
      <c r="I1230" s="363" t="s">
        <v>68</v>
      </c>
      <c r="J1230" s="364"/>
      <c r="K1230" s="72">
        <f>K1228-K1229</f>
        <v>0</v>
      </c>
      <c r="L1230" s="73"/>
      <c r="M1230" s="45"/>
      <c r="N1230" s="88"/>
      <c r="O1230" s="89" t="s">
        <v>61</v>
      </c>
      <c r="P1230" s="89"/>
      <c r="Q1230" s="89"/>
      <c r="R1230" s="89">
        <v>0</v>
      </c>
      <c r="S1230" s="93"/>
      <c r="T1230" s="89" t="s">
        <v>61</v>
      </c>
      <c r="U1230" s="162">
        <f>IF($J$1="August","",Y1229)</f>
        <v>0</v>
      </c>
      <c r="V1230" s="91"/>
      <c r="W1230" s="162">
        <f t="shared" si="230"/>
        <v>0</v>
      </c>
      <c r="X1230" s="91"/>
      <c r="Y1230" s="162">
        <f t="shared" si="231"/>
        <v>0</v>
      </c>
      <c r="Z1230" s="94"/>
    </row>
    <row r="1231" spans="1:28" s="43" customFormat="1" ht="21" hidden="1" customHeight="1" x14ac:dyDescent="0.25">
      <c r="A1231" s="44"/>
      <c r="B1231" s="45"/>
      <c r="C1231" s="45"/>
      <c r="D1231" s="45"/>
      <c r="E1231" s="45"/>
      <c r="F1231" s="45"/>
      <c r="G1231" s="45"/>
      <c r="H1231" s="45"/>
      <c r="I1231" s="45"/>
      <c r="J1231" s="45"/>
      <c r="K1231" s="177"/>
      <c r="L1231" s="61"/>
      <c r="M1231" s="45"/>
      <c r="N1231" s="88"/>
      <c r="O1231" s="89" t="s">
        <v>57</v>
      </c>
      <c r="P1231" s="89"/>
      <c r="Q1231" s="89"/>
      <c r="R1231" s="89">
        <v>0</v>
      </c>
      <c r="S1231" s="93"/>
      <c r="T1231" s="89" t="s">
        <v>57</v>
      </c>
      <c r="U1231" s="162">
        <f>IF($J$1="September","",Y1230)</f>
        <v>0</v>
      </c>
      <c r="V1231" s="91"/>
      <c r="W1231" s="162">
        <f t="shared" si="230"/>
        <v>0</v>
      </c>
      <c r="X1231" s="91"/>
      <c r="Y1231" s="162">
        <f t="shared" si="231"/>
        <v>0</v>
      </c>
      <c r="Z1231" s="94"/>
    </row>
    <row r="1232" spans="1:28" s="43" customFormat="1" ht="21" hidden="1" customHeight="1" x14ac:dyDescent="0.25">
      <c r="A1232" s="44"/>
      <c r="B1232" s="365" t="s">
        <v>103</v>
      </c>
      <c r="C1232" s="365"/>
      <c r="D1232" s="365"/>
      <c r="E1232" s="365"/>
      <c r="F1232" s="365"/>
      <c r="G1232" s="365"/>
      <c r="H1232" s="365"/>
      <c r="I1232" s="365"/>
      <c r="J1232" s="365"/>
      <c r="K1232" s="365"/>
      <c r="L1232" s="61"/>
      <c r="M1232" s="45"/>
      <c r="N1232" s="88"/>
      <c r="O1232" s="89" t="s">
        <v>62</v>
      </c>
      <c r="P1232" s="89"/>
      <c r="Q1232" s="89"/>
      <c r="R1232" s="89">
        <v>0</v>
      </c>
      <c r="S1232" s="93"/>
      <c r="T1232" s="89" t="s">
        <v>62</v>
      </c>
      <c r="U1232" s="162" t="str">
        <f>IF($J$1="October","",Y1231)</f>
        <v/>
      </c>
      <c r="V1232" s="91"/>
      <c r="W1232" s="162" t="str">
        <f t="shared" si="230"/>
        <v/>
      </c>
      <c r="X1232" s="91"/>
      <c r="Y1232" s="162" t="str">
        <f t="shared" si="231"/>
        <v/>
      </c>
      <c r="Z1232" s="94"/>
    </row>
    <row r="1233" spans="1:26" s="43" customFormat="1" ht="21" hidden="1" customHeight="1" x14ac:dyDescent="0.25">
      <c r="A1233" s="44"/>
      <c r="B1233" s="365"/>
      <c r="C1233" s="365"/>
      <c r="D1233" s="365"/>
      <c r="E1233" s="365"/>
      <c r="F1233" s="365"/>
      <c r="G1233" s="365"/>
      <c r="H1233" s="365"/>
      <c r="I1233" s="365"/>
      <c r="J1233" s="365"/>
      <c r="K1233" s="365"/>
      <c r="L1233" s="61"/>
      <c r="M1233" s="45"/>
      <c r="N1233" s="88"/>
      <c r="O1233" s="89" t="s">
        <v>63</v>
      </c>
      <c r="P1233" s="89"/>
      <c r="Q1233" s="89"/>
      <c r="R1233" s="89">
        <v>0</v>
      </c>
      <c r="S1233" s="93"/>
      <c r="T1233" s="89" t="s">
        <v>63</v>
      </c>
      <c r="U1233" s="162" t="str">
        <f>IF($J$1="November","",Y1232)</f>
        <v/>
      </c>
      <c r="V1233" s="91"/>
      <c r="W1233" s="162" t="str">
        <f t="shared" si="230"/>
        <v/>
      </c>
      <c r="X1233" s="91"/>
      <c r="Y1233" s="162" t="str">
        <f t="shared" si="231"/>
        <v/>
      </c>
      <c r="Z1233" s="94"/>
    </row>
    <row r="1234" spans="1:26" s="43" customFormat="1" ht="21" hidden="1" customHeight="1" thickBot="1" x14ac:dyDescent="0.3">
      <c r="A1234" s="74"/>
      <c r="B1234" s="75"/>
      <c r="C1234" s="75"/>
      <c r="D1234" s="75"/>
      <c r="E1234" s="75"/>
      <c r="F1234" s="75"/>
      <c r="G1234" s="75"/>
      <c r="H1234" s="75"/>
      <c r="I1234" s="75"/>
      <c r="J1234" s="75"/>
      <c r="K1234" s="75"/>
      <c r="L1234" s="76"/>
      <c r="N1234" s="95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7"/>
    </row>
    <row r="1235" spans="1:26" hidden="1" x14ac:dyDescent="0.3"/>
    <row r="1236" spans="1:26" ht="15" thickBot="1" x14ac:dyDescent="0.35"/>
    <row r="1237" spans="1:26" s="43" customFormat="1" ht="21" customHeight="1" x14ac:dyDescent="0.25">
      <c r="A1237" s="369" t="s">
        <v>45</v>
      </c>
      <c r="B1237" s="370"/>
      <c r="C1237" s="370"/>
      <c r="D1237" s="370"/>
      <c r="E1237" s="370"/>
      <c r="F1237" s="370"/>
      <c r="G1237" s="370"/>
      <c r="H1237" s="370"/>
      <c r="I1237" s="370"/>
      <c r="J1237" s="370"/>
      <c r="K1237" s="370"/>
      <c r="L1237" s="371"/>
      <c r="M1237" s="183"/>
      <c r="N1237" s="81"/>
      <c r="O1237" s="372" t="s">
        <v>47</v>
      </c>
      <c r="P1237" s="373"/>
      <c r="Q1237" s="373"/>
      <c r="R1237" s="374"/>
      <c r="S1237" s="82"/>
      <c r="T1237" s="372" t="s">
        <v>48</v>
      </c>
      <c r="U1237" s="373"/>
      <c r="V1237" s="373"/>
      <c r="W1237" s="373"/>
      <c r="X1237" s="373"/>
      <c r="Y1237" s="374"/>
      <c r="Z1237" s="83"/>
    </row>
    <row r="1238" spans="1:26" s="43" customFormat="1" ht="21" customHeight="1" x14ac:dyDescent="0.25">
      <c r="A1238" s="44"/>
      <c r="B1238" s="45"/>
      <c r="C1238" s="375" t="s">
        <v>101</v>
      </c>
      <c r="D1238" s="375"/>
      <c r="E1238" s="375"/>
      <c r="F1238" s="375"/>
      <c r="G1238" s="46" t="str">
        <f>$J$1</f>
        <v>October</v>
      </c>
      <c r="H1238" s="376">
        <f>$K$1</f>
        <v>2020</v>
      </c>
      <c r="I1238" s="376"/>
      <c r="J1238" s="45"/>
      <c r="K1238" s="47"/>
      <c r="L1238" s="48"/>
      <c r="M1238" s="47"/>
      <c r="N1238" s="84"/>
      <c r="O1238" s="85" t="s">
        <v>58</v>
      </c>
      <c r="P1238" s="85" t="s">
        <v>7</v>
      </c>
      <c r="Q1238" s="85" t="s">
        <v>6</v>
      </c>
      <c r="R1238" s="85" t="s">
        <v>59</v>
      </c>
      <c r="S1238" s="86"/>
      <c r="T1238" s="85" t="s">
        <v>58</v>
      </c>
      <c r="U1238" s="85" t="s">
        <v>60</v>
      </c>
      <c r="V1238" s="85" t="s">
        <v>23</v>
      </c>
      <c r="W1238" s="85" t="s">
        <v>22</v>
      </c>
      <c r="X1238" s="85" t="s">
        <v>24</v>
      </c>
      <c r="Y1238" s="85" t="s">
        <v>64</v>
      </c>
      <c r="Z1238" s="87"/>
    </row>
    <row r="1239" spans="1:26" s="43" customFormat="1" ht="21" customHeight="1" x14ac:dyDescent="0.25">
      <c r="A1239" s="44"/>
      <c r="B1239" s="45"/>
      <c r="C1239" s="45"/>
      <c r="D1239" s="50"/>
      <c r="E1239" s="50"/>
      <c r="F1239" s="50"/>
      <c r="G1239" s="50"/>
      <c r="H1239" s="50"/>
      <c r="I1239" s="45"/>
      <c r="J1239" s="51" t="s">
        <v>1</v>
      </c>
      <c r="K1239" s="52">
        <v>18000</v>
      </c>
      <c r="L1239" s="53"/>
      <c r="M1239" s="45"/>
      <c r="N1239" s="88"/>
      <c r="O1239" s="89" t="s">
        <v>50</v>
      </c>
      <c r="P1239" s="89">
        <v>31</v>
      </c>
      <c r="Q1239" s="89">
        <v>0</v>
      </c>
      <c r="R1239" s="89">
        <v>0</v>
      </c>
      <c r="S1239" s="90"/>
      <c r="T1239" s="89" t="s">
        <v>50</v>
      </c>
      <c r="U1239" s="91"/>
      <c r="V1239" s="91"/>
      <c r="W1239" s="91">
        <f>V1239+U1239</f>
        <v>0</v>
      </c>
      <c r="X1239" s="91"/>
      <c r="Y1239" s="91">
        <f>W1239-X1239</f>
        <v>0</v>
      </c>
      <c r="Z1239" s="87"/>
    </row>
    <row r="1240" spans="1:26" s="43" customFormat="1" ht="21" customHeight="1" x14ac:dyDescent="0.25">
      <c r="A1240" s="44"/>
      <c r="B1240" s="45" t="s">
        <v>0</v>
      </c>
      <c r="C1240" s="100" t="s">
        <v>200</v>
      </c>
      <c r="D1240" s="45"/>
      <c r="E1240" s="45"/>
      <c r="F1240" s="45"/>
      <c r="G1240" s="45"/>
      <c r="H1240" s="56"/>
      <c r="I1240" s="50"/>
      <c r="J1240" s="45"/>
      <c r="K1240" s="45"/>
      <c r="L1240" s="57"/>
      <c r="M1240" s="183"/>
      <c r="N1240" s="92"/>
      <c r="O1240" s="89" t="s">
        <v>76</v>
      </c>
      <c r="P1240" s="89">
        <v>29</v>
      </c>
      <c r="Q1240" s="89">
        <v>0</v>
      </c>
      <c r="R1240" s="89">
        <v>0</v>
      </c>
      <c r="S1240" s="93"/>
      <c r="T1240" s="89" t="s">
        <v>76</v>
      </c>
      <c r="U1240" s="162">
        <f>IF($J$1="January","",Y1239)</f>
        <v>0</v>
      </c>
      <c r="V1240" s="91"/>
      <c r="W1240" s="162">
        <f>IF(U1240="","",U1240+V1240)</f>
        <v>0</v>
      </c>
      <c r="X1240" s="91"/>
      <c r="Y1240" s="162">
        <f>IF(W1240="","",W1240-X1240)</f>
        <v>0</v>
      </c>
      <c r="Z1240" s="94"/>
    </row>
    <row r="1241" spans="1:26" s="43" customFormat="1" ht="21" customHeight="1" x14ac:dyDescent="0.25">
      <c r="A1241" s="44"/>
      <c r="B1241" s="59" t="s">
        <v>46</v>
      </c>
      <c r="C1241" s="100"/>
      <c r="D1241" s="45"/>
      <c r="E1241" s="45"/>
      <c r="F1241" s="366" t="s">
        <v>48</v>
      </c>
      <c r="G1241" s="366"/>
      <c r="H1241" s="45"/>
      <c r="I1241" s="366" t="s">
        <v>49</v>
      </c>
      <c r="J1241" s="366"/>
      <c r="K1241" s="366"/>
      <c r="L1241" s="61"/>
      <c r="M1241" s="45"/>
      <c r="N1241" s="88"/>
      <c r="O1241" s="89" t="s">
        <v>51</v>
      </c>
      <c r="P1241" s="89">
        <v>31</v>
      </c>
      <c r="Q1241" s="89">
        <v>0</v>
      </c>
      <c r="R1241" s="89">
        <v>0</v>
      </c>
      <c r="S1241" s="93"/>
      <c r="T1241" s="89" t="s">
        <v>51</v>
      </c>
      <c r="U1241" s="162">
        <f>IF($J$1="February","",Y1240)</f>
        <v>0</v>
      </c>
      <c r="V1241" s="91"/>
      <c r="W1241" s="162">
        <f t="shared" ref="W1241:W1250" si="232">IF(U1241="","",U1241+V1241)</f>
        <v>0</v>
      </c>
      <c r="X1241" s="91"/>
      <c r="Y1241" s="162">
        <f t="shared" ref="Y1241:Y1250" si="233">IF(W1241="","",W1241-X1241)</f>
        <v>0</v>
      </c>
      <c r="Z1241" s="94"/>
    </row>
    <row r="1242" spans="1:26" s="43" customFormat="1" ht="21" customHeight="1" x14ac:dyDescent="0.25">
      <c r="A1242" s="44"/>
      <c r="B1242" s="45"/>
      <c r="C1242" s="45"/>
      <c r="D1242" s="45"/>
      <c r="E1242" s="45"/>
      <c r="F1242" s="45"/>
      <c r="G1242" s="45"/>
      <c r="H1242" s="62"/>
      <c r="L1242" s="49"/>
      <c r="M1242" s="45"/>
      <c r="N1242" s="88"/>
      <c r="O1242" s="89" t="s">
        <v>52</v>
      </c>
      <c r="P1242" s="89">
        <v>28</v>
      </c>
      <c r="Q1242" s="89">
        <v>2</v>
      </c>
      <c r="R1242" s="89">
        <v>0</v>
      </c>
      <c r="S1242" s="93"/>
      <c r="T1242" s="89" t="s">
        <v>52</v>
      </c>
      <c r="U1242" s="162">
        <f>IF($J$1="March","",Y1241)</f>
        <v>0</v>
      </c>
      <c r="V1242" s="91"/>
      <c r="W1242" s="162">
        <f t="shared" si="232"/>
        <v>0</v>
      </c>
      <c r="X1242" s="91"/>
      <c r="Y1242" s="162">
        <f t="shared" si="233"/>
        <v>0</v>
      </c>
      <c r="Z1242" s="94"/>
    </row>
    <row r="1243" spans="1:26" s="43" customFormat="1" ht="21" customHeight="1" x14ac:dyDescent="0.25">
      <c r="A1243" s="44"/>
      <c r="B1243" s="367" t="s">
        <v>47</v>
      </c>
      <c r="C1243" s="368"/>
      <c r="D1243" s="45"/>
      <c r="E1243" s="45"/>
      <c r="F1243" s="63" t="s">
        <v>69</v>
      </c>
      <c r="G1243" s="58">
        <f>IF($J$1="January",U1239,IF($J$1="February",U1240,IF($J$1="March",U1241,IF($J$1="April",U1242,IF($J$1="May",U1243,IF($J$1="June",U1244,IF($J$1="July",U1245,IF($J$1="August",U1246,IF($J$1="August",U1246,IF($J$1="September",U1247,IF($J$1="October",U1248,IF($J$1="November",U1249,IF($J$1="December",U1250)))))))))))))</f>
        <v>0</v>
      </c>
      <c r="H1243" s="62"/>
      <c r="I1243" s="64">
        <f>IF(C1247&gt;0,$K$2,C1245)</f>
        <v>31</v>
      </c>
      <c r="J1243" s="65" t="s">
        <v>66</v>
      </c>
      <c r="K1243" s="66">
        <f>K1239/$K$2*I1243</f>
        <v>18000</v>
      </c>
      <c r="L1243" s="67"/>
      <c r="M1243" s="45"/>
      <c r="N1243" s="88"/>
      <c r="O1243" s="89" t="s">
        <v>53</v>
      </c>
      <c r="P1243" s="89">
        <v>28</v>
      </c>
      <c r="Q1243" s="89">
        <v>3</v>
      </c>
      <c r="R1243" s="89">
        <v>0</v>
      </c>
      <c r="S1243" s="93"/>
      <c r="T1243" s="89" t="s">
        <v>53</v>
      </c>
      <c r="U1243" s="162">
        <f>IF($J$1="April","",Y1242)</f>
        <v>0</v>
      </c>
      <c r="V1243" s="91"/>
      <c r="W1243" s="162">
        <f t="shared" si="232"/>
        <v>0</v>
      </c>
      <c r="X1243" s="91"/>
      <c r="Y1243" s="162">
        <f t="shared" si="233"/>
        <v>0</v>
      </c>
      <c r="Z1243" s="94"/>
    </row>
    <row r="1244" spans="1:26" s="43" customFormat="1" ht="21" customHeight="1" x14ac:dyDescent="0.25">
      <c r="A1244" s="44"/>
      <c r="B1244" s="54"/>
      <c r="C1244" s="54"/>
      <c r="D1244" s="45"/>
      <c r="E1244" s="45"/>
      <c r="F1244" s="63" t="s">
        <v>23</v>
      </c>
      <c r="G1244" s="58">
        <f>IF($J$1="January",V1239,IF($J$1="February",V1240,IF($J$1="March",V1241,IF($J$1="April",V1242,IF($J$1="May",V1243,IF($J$1="June",V1244,IF($J$1="July",V1245,IF($J$1="August",V1246,IF($J$1="August",V1246,IF($J$1="September",V1247,IF($J$1="October",V1248,IF($J$1="November",V1249,IF($J$1="December",V1250)))))))))))))</f>
        <v>0</v>
      </c>
      <c r="H1244" s="62"/>
      <c r="I1244" s="108">
        <v>56</v>
      </c>
      <c r="J1244" s="65" t="s">
        <v>67</v>
      </c>
      <c r="K1244" s="68">
        <f>K1239/$K$2/8*I1244</f>
        <v>4064.516129032258</v>
      </c>
      <c r="L1244" s="69"/>
      <c r="M1244" s="45"/>
      <c r="N1244" s="88"/>
      <c r="O1244" s="89" t="s">
        <v>54</v>
      </c>
      <c r="P1244" s="89">
        <v>30</v>
      </c>
      <c r="Q1244" s="89">
        <v>0</v>
      </c>
      <c r="R1244" s="89">
        <v>0</v>
      </c>
      <c r="S1244" s="93"/>
      <c r="T1244" s="89" t="s">
        <v>54</v>
      </c>
      <c r="U1244" s="162">
        <f>IF($J$1="May","",Y1243)</f>
        <v>0</v>
      </c>
      <c r="V1244" s="91"/>
      <c r="W1244" s="162">
        <f t="shared" si="232"/>
        <v>0</v>
      </c>
      <c r="X1244" s="91"/>
      <c r="Y1244" s="162">
        <f t="shared" si="233"/>
        <v>0</v>
      </c>
      <c r="Z1244" s="94"/>
    </row>
    <row r="1245" spans="1:26" s="43" customFormat="1" ht="21" customHeight="1" x14ac:dyDescent="0.25">
      <c r="A1245" s="44"/>
      <c r="B1245" s="63" t="s">
        <v>7</v>
      </c>
      <c r="C1245" s="54">
        <f>IF($J$1="January",P1239,IF($J$1="February",P1240,IF($J$1="March",P1241,IF($J$1="April",P1242,IF($J$1="May",P1243,IF($J$1="June",P1244,IF($J$1="July",P1245,IF($J$1="August",P1246,IF($J$1="August",P1246,IF($J$1="September",P1247,IF($J$1="October",P1248,IF($J$1="November",P1249,IF($J$1="December",P1250)))))))))))))</f>
        <v>31</v>
      </c>
      <c r="D1245" s="45"/>
      <c r="E1245" s="45"/>
      <c r="F1245" s="63" t="s">
        <v>70</v>
      </c>
      <c r="G1245" s="58">
        <f>IF($J$1="January",W1239,IF($J$1="February",W1240,IF($J$1="March",W1241,IF($J$1="April",W1242,IF($J$1="May",W1243,IF($J$1="June",W1244,IF($J$1="July",W1245,IF($J$1="August",W1246,IF($J$1="August",W1246,IF($J$1="September",W1247,IF($J$1="October",W1248,IF($J$1="November",W1249,IF($J$1="December",W1250)))))))))))))</f>
        <v>0</v>
      </c>
      <c r="H1245" s="62"/>
      <c r="I1245" s="361" t="s">
        <v>74</v>
      </c>
      <c r="J1245" s="362"/>
      <c r="K1245" s="68">
        <f>K1243+K1244</f>
        <v>22064.516129032258</v>
      </c>
      <c r="L1245" s="69"/>
      <c r="M1245" s="45"/>
      <c r="N1245" s="88"/>
      <c r="O1245" s="89" t="s">
        <v>55</v>
      </c>
      <c r="P1245" s="89">
        <v>30</v>
      </c>
      <c r="Q1245" s="89">
        <v>1</v>
      </c>
      <c r="R1245" s="89">
        <v>0</v>
      </c>
      <c r="S1245" s="93"/>
      <c r="T1245" s="89" t="s">
        <v>55</v>
      </c>
      <c r="U1245" s="162">
        <f>IF($J$1="June","",Y1244)</f>
        <v>0</v>
      </c>
      <c r="V1245" s="91"/>
      <c r="W1245" s="162">
        <f t="shared" si="232"/>
        <v>0</v>
      </c>
      <c r="X1245" s="91"/>
      <c r="Y1245" s="162">
        <f t="shared" si="233"/>
        <v>0</v>
      </c>
      <c r="Z1245" s="94"/>
    </row>
    <row r="1246" spans="1:26" s="43" customFormat="1" ht="21" customHeight="1" x14ac:dyDescent="0.25">
      <c r="A1246" s="44"/>
      <c r="B1246" s="63" t="s">
        <v>6</v>
      </c>
      <c r="C1246" s="54">
        <f>IF($J$1="January",Q1239,IF($J$1="February",Q1240,IF($J$1="March",Q1241,IF($J$1="April",Q1242,IF($J$1="May",Q1243,IF($J$1="June",Q1244,IF($J$1="July",Q1245,IF($J$1="August",Q1246,IF($J$1="August",Q1246,IF($J$1="September",Q1247,IF($J$1="October",Q1248,IF($J$1="November",Q1249,IF($J$1="December",Q1250)))))))))))))</f>
        <v>0</v>
      </c>
      <c r="D1246" s="45"/>
      <c r="E1246" s="45"/>
      <c r="F1246" s="63" t="s">
        <v>24</v>
      </c>
      <c r="G1246" s="58">
        <f>IF($J$1="January",X1239,IF($J$1="February",X1240,IF($J$1="March",X1241,IF($J$1="April",X1242,IF($J$1="May",X1243,IF($J$1="June",X1244,IF($J$1="July",X1245,IF($J$1="August",X1246,IF($J$1="August",X1246,IF($J$1="September",X1247,IF($J$1="October",X1248,IF($J$1="November",X1249,IF($J$1="December",X1250)))))))))))))</f>
        <v>0</v>
      </c>
      <c r="H1246" s="62"/>
      <c r="I1246" s="361" t="s">
        <v>75</v>
      </c>
      <c r="J1246" s="362"/>
      <c r="K1246" s="58">
        <f>G1246</f>
        <v>0</v>
      </c>
      <c r="L1246" s="70"/>
      <c r="M1246" s="45"/>
      <c r="N1246" s="88"/>
      <c r="O1246" s="89" t="s">
        <v>56</v>
      </c>
      <c r="P1246" s="89">
        <v>28</v>
      </c>
      <c r="Q1246" s="89">
        <v>3</v>
      </c>
      <c r="R1246" s="89">
        <v>0</v>
      </c>
      <c r="S1246" s="93"/>
      <c r="T1246" s="89" t="s">
        <v>56</v>
      </c>
      <c r="U1246" s="162">
        <f>IF($J$1="July","",Y1245)</f>
        <v>0</v>
      </c>
      <c r="V1246" s="91"/>
      <c r="W1246" s="162">
        <f t="shared" si="232"/>
        <v>0</v>
      </c>
      <c r="X1246" s="91"/>
      <c r="Y1246" s="162">
        <f t="shared" si="233"/>
        <v>0</v>
      </c>
      <c r="Z1246" s="94"/>
    </row>
    <row r="1247" spans="1:26" s="43" customFormat="1" ht="21" customHeight="1" x14ac:dyDescent="0.25">
      <c r="A1247" s="44"/>
      <c r="B1247" s="71" t="s">
        <v>73</v>
      </c>
      <c r="C1247" s="54">
        <f>IF($J$1="January",R1239,IF($J$1="February",R1240,IF($J$1="March",R1241,IF($J$1="April",R1242,IF($J$1="May",R1243,IF($J$1="June",R1244,IF($J$1="July",R1245,IF($J$1="August",R1246,IF($J$1="August",R1246,IF($J$1="September",R1247,IF($J$1="October",R1248,IF($J$1="November",R1249,IF($J$1="December",R1250)))))))))))))</f>
        <v>0</v>
      </c>
      <c r="D1247" s="45"/>
      <c r="E1247" s="45"/>
      <c r="F1247" s="63" t="s">
        <v>72</v>
      </c>
      <c r="G1247" s="58">
        <f>IF($J$1="January",Y1239,IF($J$1="February",Y1240,IF($J$1="March",Y1241,IF($J$1="April",Y1242,IF($J$1="May",Y1243,IF($J$1="June",Y1244,IF($J$1="July",Y1245,IF($J$1="August",Y1246,IF($J$1="August",Y1246,IF($J$1="September",Y1247,IF($J$1="October",Y1248,IF($J$1="November",Y1249,IF($J$1="December",Y1250)))))))))))))</f>
        <v>0</v>
      </c>
      <c r="H1247" s="45"/>
      <c r="I1247" s="363" t="s">
        <v>68</v>
      </c>
      <c r="J1247" s="364"/>
      <c r="K1247" s="72">
        <f>K1245-K1246</f>
        <v>22064.516129032258</v>
      </c>
      <c r="L1247" s="73"/>
      <c r="M1247" s="45"/>
      <c r="N1247" s="88"/>
      <c r="O1247" s="89" t="s">
        <v>61</v>
      </c>
      <c r="P1247" s="89">
        <v>30</v>
      </c>
      <c r="Q1247" s="89">
        <v>0</v>
      </c>
      <c r="R1247" s="89">
        <f>IF(Q1247="","",R1246-Q1247)</f>
        <v>0</v>
      </c>
      <c r="S1247" s="93"/>
      <c r="T1247" s="89" t="s">
        <v>61</v>
      </c>
      <c r="U1247" s="162">
        <f>IF($J$1="August","",Y1246)</f>
        <v>0</v>
      </c>
      <c r="V1247" s="91"/>
      <c r="W1247" s="162">
        <f t="shared" si="232"/>
        <v>0</v>
      </c>
      <c r="X1247" s="91"/>
      <c r="Y1247" s="162">
        <f t="shared" si="233"/>
        <v>0</v>
      </c>
      <c r="Z1247" s="94"/>
    </row>
    <row r="1248" spans="1:26" s="43" customFormat="1" ht="21" customHeight="1" x14ac:dyDescent="0.25">
      <c r="A1248" s="44"/>
      <c r="B1248" s="45"/>
      <c r="C1248" s="45"/>
      <c r="D1248" s="45"/>
      <c r="E1248" s="45"/>
      <c r="F1248" s="45"/>
      <c r="G1248" s="45"/>
      <c r="H1248" s="45"/>
      <c r="I1248" s="45"/>
      <c r="J1248" s="45"/>
      <c r="K1248" s="45"/>
      <c r="L1248" s="61"/>
      <c r="M1248" s="45"/>
      <c r="N1248" s="88"/>
      <c r="O1248" s="89" t="s">
        <v>57</v>
      </c>
      <c r="P1248" s="89">
        <v>31</v>
      </c>
      <c r="Q1248" s="89">
        <v>0</v>
      </c>
      <c r="R1248" s="89">
        <v>0</v>
      </c>
      <c r="S1248" s="93"/>
      <c r="T1248" s="89" t="s">
        <v>57</v>
      </c>
      <c r="U1248" s="162">
        <f>IF($J$1="September","",Y1247)</f>
        <v>0</v>
      </c>
      <c r="V1248" s="91"/>
      <c r="W1248" s="162">
        <f t="shared" si="232"/>
        <v>0</v>
      </c>
      <c r="X1248" s="91"/>
      <c r="Y1248" s="162">
        <f t="shared" si="233"/>
        <v>0</v>
      </c>
      <c r="Z1248" s="94"/>
    </row>
    <row r="1249" spans="1:26" s="43" customFormat="1" ht="21" customHeight="1" x14ac:dyDescent="0.25">
      <c r="A1249" s="44"/>
      <c r="B1249" s="365" t="s">
        <v>103</v>
      </c>
      <c r="C1249" s="365"/>
      <c r="D1249" s="365"/>
      <c r="E1249" s="365"/>
      <c r="F1249" s="365"/>
      <c r="G1249" s="365"/>
      <c r="H1249" s="365"/>
      <c r="I1249" s="365"/>
      <c r="J1249" s="365"/>
      <c r="K1249" s="365"/>
      <c r="L1249" s="61"/>
      <c r="M1249" s="45"/>
      <c r="N1249" s="88"/>
      <c r="O1249" s="89" t="s">
        <v>62</v>
      </c>
      <c r="P1249" s="89"/>
      <c r="Q1249" s="89"/>
      <c r="R1249" s="89" t="str">
        <f>IF(Q1249="","",R1248-Q1249)</f>
        <v/>
      </c>
      <c r="S1249" s="93"/>
      <c r="T1249" s="89" t="s">
        <v>62</v>
      </c>
      <c r="U1249" s="162" t="str">
        <f>IF($J$1="October","",Y1248)</f>
        <v/>
      </c>
      <c r="V1249" s="91"/>
      <c r="W1249" s="162" t="str">
        <f t="shared" si="232"/>
        <v/>
      </c>
      <c r="X1249" s="91"/>
      <c r="Y1249" s="162" t="str">
        <f t="shared" si="233"/>
        <v/>
      </c>
      <c r="Z1249" s="94"/>
    </row>
    <row r="1250" spans="1:26" s="43" customFormat="1" ht="21" customHeight="1" x14ac:dyDescent="0.25">
      <c r="A1250" s="44"/>
      <c r="B1250" s="365"/>
      <c r="C1250" s="365"/>
      <c r="D1250" s="365"/>
      <c r="E1250" s="365"/>
      <c r="F1250" s="365"/>
      <c r="G1250" s="365"/>
      <c r="H1250" s="365"/>
      <c r="I1250" s="365"/>
      <c r="J1250" s="365"/>
      <c r="K1250" s="365"/>
      <c r="L1250" s="61"/>
      <c r="M1250" s="45"/>
      <c r="N1250" s="88"/>
      <c r="O1250" s="89" t="s">
        <v>63</v>
      </c>
      <c r="P1250" s="89"/>
      <c r="Q1250" s="89"/>
      <c r="R1250" s="89" t="str">
        <f>IF(Q1250="","",R1249-Q1250)</f>
        <v/>
      </c>
      <c r="S1250" s="93"/>
      <c r="T1250" s="89" t="s">
        <v>63</v>
      </c>
      <c r="U1250" s="162" t="str">
        <f>IF($J$1="November","",Y1249)</f>
        <v/>
      </c>
      <c r="V1250" s="91"/>
      <c r="W1250" s="162" t="str">
        <f t="shared" si="232"/>
        <v/>
      </c>
      <c r="X1250" s="91"/>
      <c r="Y1250" s="162" t="str">
        <f t="shared" si="233"/>
        <v/>
      </c>
      <c r="Z1250" s="94"/>
    </row>
    <row r="1251" spans="1:26" s="43" customFormat="1" ht="21" customHeight="1" thickBot="1" x14ac:dyDescent="0.3">
      <c r="A1251" s="74"/>
      <c r="B1251" s="75"/>
      <c r="C1251" s="75"/>
      <c r="D1251" s="75"/>
      <c r="E1251" s="75"/>
      <c r="F1251" s="75"/>
      <c r="G1251" s="75"/>
      <c r="H1251" s="75"/>
      <c r="I1251" s="75"/>
      <c r="J1251" s="75"/>
      <c r="K1251" s="75"/>
      <c r="L1251" s="76"/>
      <c r="N1251" s="95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7"/>
    </row>
    <row r="1253" spans="1:26" s="43" customFormat="1" ht="21" hidden="1" customHeight="1" x14ac:dyDescent="0.25">
      <c r="A1253" s="401" t="s">
        <v>45</v>
      </c>
      <c r="B1253" s="402"/>
      <c r="C1253" s="402"/>
      <c r="D1253" s="402"/>
      <c r="E1253" s="402"/>
      <c r="F1253" s="402"/>
      <c r="G1253" s="402"/>
      <c r="H1253" s="402"/>
      <c r="I1253" s="402"/>
      <c r="J1253" s="402"/>
      <c r="K1253" s="402"/>
      <c r="L1253" s="403"/>
      <c r="M1253" s="183"/>
      <c r="N1253" s="81"/>
      <c r="O1253" s="372" t="s">
        <v>47</v>
      </c>
      <c r="P1253" s="373"/>
      <c r="Q1253" s="373"/>
      <c r="R1253" s="374"/>
      <c r="S1253" s="82"/>
      <c r="T1253" s="372" t="s">
        <v>48</v>
      </c>
      <c r="U1253" s="373"/>
      <c r="V1253" s="373"/>
      <c r="W1253" s="373"/>
      <c r="X1253" s="373"/>
      <c r="Y1253" s="374"/>
      <c r="Z1253" s="83"/>
    </row>
    <row r="1254" spans="1:26" s="43" customFormat="1" ht="21" hidden="1" customHeight="1" x14ac:dyDescent="0.25">
      <c r="A1254" s="44"/>
      <c r="B1254" s="45"/>
      <c r="C1254" s="375" t="s">
        <v>101</v>
      </c>
      <c r="D1254" s="375"/>
      <c r="E1254" s="375"/>
      <c r="F1254" s="375"/>
      <c r="G1254" s="46" t="str">
        <f>$J$1</f>
        <v>October</v>
      </c>
      <c r="H1254" s="376">
        <f>$K$1</f>
        <v>2020</v>
      </c>
      <c r="I1254" s="376"/>
      <c r="J1254" s="45"/>
      <c r="K1254" s="47"/>
      <c r="L1254" s="48"/>
      <c r="M1254" s="47"/>
      <c r="N1254" s="84"/>
      <c r="O1254" s="85" t="s">
        <v>58</v>
      </c>
      <c r="P1254" s="85" t="s">
        <v>7</v>
      </c>
      <c r="Q1254" s="85" t="s">
        <v>6</v>
      </c>
      <c r="R1254" s="85" t="s">
        <v>59</v>
      </c>
      <c r="S1254" s="86"/>
      <c r="T1254" s="85" t="s">
        <v>58</v>
      </c>
      <c r="U1254" s="85" t="s">
        <v>60</v>
      </c>
      <c r="V1254" s="85" t="s">
        <v>23</v>
      </c>
      <c r="W1254" s="85" t="s">
        <v>22</v>
      </c>
      <c r="X1254" s="85" t="s">
        <v>24</v>
      </c>
      <c r="Y1254" s="85" t="s">
        <v>64</v>
      </c>
      <c r="Z1254" s="87"/>
    </row>
    <row r="1255" spans="1:26" s="43" customFormat="1" ht="21" hidden="1" customHeight="1" x14ac:dyDescent="0.25">
      <c r="A1255" s="44"/>
      <c r="B1255" s="45"/>
      <c r="C1255" s="45"/>
      <c r="D1255" s="50"/>
      <c r="E1255" s="50"/>
      <c r="F1255" s="50"/>
      <c r="G1255" s="50"/>
      <c r="H1255" s="50"/>
      <c r="I1255" s="45"/>
      <c r="J1255" s="51" t="s">
        <v>1</v>
      </c>
      <c r="K1255" s="52"/>
      <c r="L1255" s="53"/>
      <c r="M1255" s="45"/>
      <c r="N1255" s="88"/>
      <c r="O1255" s="89" t="s">
        <v>50</v>
      </c>
      <c r="P1255" s="89"/>
      <c r="Q1255" s="89"/>
      <c r="R1255" s="89">
        <v>0</v>
      </c>
      <c r="S1255" s="90"/>
      <c r="T1255" s="89" t="s">
        <v>50</v>
      </c>
      <c r="U1255" s="91"/>
      <c r="V1255" s="91"/>
      <c r="W1255" s="91">
        <f>V1255+U1255</f>
        <v>0</v>
      </c>
      <c r="X1255" s="91"/>
      <c r="Y1255" s="91">
        <f>W1255-X1255</f>
        <v>0</v>
      </c>
      <c r="Z1255" s="87"/>
    </row>
    <row r="1256" spans="1:26" s="43" customFormat="1" ht="21" hidden="1" customHeight="1" x14ac:dyDescent="0.25">
      <c r="A1256" s="44"/>
      <c r="B1256" s="45" t="s">
        <v>0</v>
      </c>
      <c r="C1256" s="100"/>
      <c r="D1256" s="45"/>
      <c r="E1256" s="45"/>
      <c r="F1256" s="45"/>
      <c r="G1256" s="45"/>
      <c r="H1256" s="56"/>
      <c r="I1256" s="50"/>
      <c r="J1256" s="45"/>
      <c r="K1256" s="45"/>
      <c r="L1256" s="57"/>
      <c r="M1256" s="183"/>
      <c r="N1256" s="92"/>
      <c r="O1256" s="89" t="s">
        <v>76</v>
      </c>
      <c r="P1256" s="89"/>
      <c r="Q1256" s="89"/>
      <c r="R1256" s="89">
        <v>0</v>
      </c>
      <c r="S1256" s="93"/>
      <c r="T1256" s="89" t="s">
        <v>76</v>
      </c>
      <c r="U1256" s="162">
        <f>Y1255</f>
        <v>0</v>
      </c>
      <c r="V1256" s="91"/>
      <c r="W1256" s="162">
        <f>IF(U1256="","",U1256+V1256)</f>
        <v>0</v>
      </c>
      <c r="X1256" s="91"/>
      <c r="Y1256" s="162">
        <f>IF(W1256="","",W1256-X1256)</f>
        <v>0</v>
      </c>
      <c r="Z1256" s="94"/>
    </row>
    <row r="1257" spans="1:26" s="43" customFormat="1" ht="21" hidden="1" customHeight="1" x14ac:dyDescent="0.25">
      <c r="A1257" s="44"/>
      <c r="B1257" s="59" t="s">
        <v>46</v>
      </c>
      <c r="C1257" s="193"/>
      <c r="D1257" s="45"/>
      <c r="E1257" s="45"/>
      <c r="F1257" s="366" t="s">
        <v>48</v>
      </c>
      <c r="G1257" s="366"/>
      <c r="H1257" s="45"/>
      <c r="I1257" s="366" t="s">
        <v>49</v>
      </c>
      <c r="J1257" s="366"/>
      <c r="K1257" s="366"/>
      <c r="L1257" s="61"/>
      <c r="M1257" s="45"/>
      <c r="N1257" s="88"/>
      <c r="O1257" s="89" t="s">
        <v>51</v>
      </c>
      <c r="P1257" s="89"/>
      <c r="Q1257" s="89"/>
      <c r="R1257" s="89" t="str">
        <f>IF(Q1257="","",R1256-Q1257)</f>
        <v/>
      </c>
      <c r="S1257" s="93"/>
      <c r="T1257" s="89" t="s">
        <v>51</v>
      </c>
      <c r="U1257" s="162">
        <f>IF($J$1="April",Y1256,Y1256)</f>
        <v>0</v>
      </c>
      <c r="V1257" s="91"/>
      <c r="W1257" s="162">
        <f t="shared" ref="W1257:W1266" si="234">IF(U1257="","",U1257+V1257)</f>
        <v>0</v>
      </c>
      <c r="X1257" s="91"/>
      <c r="Y1257" s="162">
        <f t="shared" ref="Y1257:Y1266" si="235">IF(W1257="","",W1257-X1257)</f>
        <v>0</v>
      </c>
      <c r="Z1257" s="94"/>
    </row>
    <row r="1258" spans="1:26" s="43" customFormat="1" ht="21" hidden="1" customHeight="1" x14ac:dyDescent="0.25">
      <c r="A1258" s="44"/>
      <c r="B1258" s="45"/>
      <c r="C1258" s="45"/>
      <c r="D1258" s="45"/>
      <c r="E1258" s="45"/>
      <c r="F1258" s="45"/>
      <c r="G1258" s="45"/>
      <c r="H1258" s="62"/>
      <c r="L1258" s="49"/>
      <c r="M1258" s="45"/>
      <c r="N1258" s="88"/>
      <c r="O1258" s="89" t="s">
        <v>52</v>
      </c>
      <c r="P1258" s="89"/>
      <c r="Q1258" s="89"/>
      <c r="R1258" s="89" t="str">
        <f>IF(Q1258="","",R1257-Q1258)</f>
        <v/>
      </c>
      <c r="S1258" s="93"/>
      <c r="T1258" s="89" t="s">
        <v>52</v>
      </c>
      <c r="U1258" s="162">
        <f>IF($J$1="April",Y1257,Y1257)</f>
        <v>0</v>
      </c>
      <c r="V1258" s="91"/>
      <c r="W1258" s="162">
        <f t="shared" si="234"/>
        <v>0</v>
      </c>
      <c r="X1258" s="91"/>
      <c r="Y1258" s="162">
        <f t="shared" si="235"/>
        <v>0</v>
      </c>
      <c r="Z1258" s="94"/>
    </row>
    <row r="1259" spans="1:26" s="43" customFormat="1" ht="21" hidden="1" customHeight="1" x14ac:dyDescent="0.25">
      <c r="A1259" s="44"/>
      <c r="B1259" s="367" t="s">
        <v>47</v>
      </c>
      <c r="C1259" s="368"/>
      <c r="D1259" s="45"/>
      <c r="E1259" s="45"/>
      <c r="F1259" s="63" t="s">
        <v>69</v>
      </c>
      <c r="G1259" s="58" t="str">
        <f>IF($J$1="January",U1255,IF($J$1="February",U1256,IF($J$1="March",U1257,IF($J$1="April",U1258,IF($J$1="May",U1259,IF($J$1="June",U1260,IF($J$1="July",U1261,IF($J$1="August",U1262,IF($J$1="August",U1262,IF($J$1="September",U1263,IF($J$1="October",U1264,IF($J$1="November",U1265,IF($J$1="December",U1266)))))))))))))</f>
        <v/>
      </c>
      <c r="H1259" s="62"/>
      <c r="I1259" s="64"/>
      <c r="J1259" s="65" t="s">
        <v>66</v>
      </c>
      <c r="K1259" s="66">
        <f>K1255/$K$2*I1259</f>
        <v>0</v>
      </c>
      <c r="L1259" s="67"/>
      <c r="M1259" s="45"/>
      <c r="N1259" s="88"/>
      <c r="O1259" s="89" t="s">
        <v>53</v>
      </c>
      <c r="P1259" s="89"/>
      <c r="Q1259" s="89"/>
      <c r="R1259" s="89">
        <v>0</v>
      </c>
      <c r="S1259" s="93"/>
      <c r="T1259" s="89" t="s">
        <v>53</v>
      </c>
      <c r="U1259" s="162">
        <f>IF($J$1="May",Y1258,Y1258)</f>
        <v>0</v>
      </c>
      <c r="V1259" s="91"/>
      <c r="W1259" s="162">
        <f t="shared" si="234"/>
        <v>0</v>
      </c>
      <c r="X1259" s="91"/>
      <c r="Y1259" s="162">
        <f t="shared" si="235"/>
        <v>0</v>
      </c>
      <c r="Z1259" s="94"/>
    </row>
    <row r="1260" spans="1:26" s="43" customFormat="1" ht="21" hidden="1" customHeight="1" x14ac:dyDescent="0.25">
      <c r="A1260" s="44"/>
      <c r="B1260" s="54"/>
      <c r="C1260" s="54"/>
      <c r="D1260" s="45"/>
      <c r="E1260" s="45"/>
      <c r="F1260" s="63" t="s">
        <v>23</v>
      </c>
      <c r="G1260" s="58">
        <f>IF($J$1="January",V1255,IF($J$1="February",V1256,IF($J$1="March",V1257,IF($J$1="April",V1258,IF($J$1="May",V1259,IF($J$1="June",V1260,IF($J$1="July",V1261,IF($J$1="August",V1262,IF($J$1="August",V1262,IF($J$1="September",V1263,IF($J$1="October",V1264,IF($J$1="November",V1265,IF($J$1="December",V1266)))))))))))))</f>
        <v>0</v>
      </c>
      <c r="H1260" s="62"/>
      <c r="I1260" s="108"/>
      <c r="J1260" s="65" t="s">
        <v>67</v>
      </c>
      <c r="K1260" s="68">
        <f>K1255/$K$2/8*I1260</f>
        <v>0</v>
      </c>
      <c r="L1260" s="69"/>
      <c r="M1260" s="45"/>
      <c r="N1260" s="88"/>
      <c r="O1260" s="89" t="s">
        <v>54</v>
      </c>
      <c r="P1260" s="89"/>
      <c r="Q1260" s="89"/>
      <c r="R1260" s="89">
        <v>0</v>
      </c>
      <c r="S1260" s="93"/>
      <c r="T1260" s="89" t="s">
        <v>54</v>
      </c>
      <c r="U1260" s="162">
        <f>IF($J$1="April",Y1259,Y1259)</f>
        <v>0</v>
      </c>
      <c r="V1260" s="91"/>
      <c r="W1260" s="162">
        <f t="shared" si="234"/>
        <v>0</v>
      </c>
      <c r="X1260" s="91"/>
      <c r="Y1260" s="162">
        <f t="shared" si="235"/>
        <v>0</v>
      </c>
      <c r="Z1260" s="94"/>
    </row>
    <row r="1261" spans="1:26" s="43" customFormat="1" ht="21" hidden="1" customHeight="1" x14ac:dyDescent="0.25">
      <c r="A1261" s="44"/>
      <c r="B1261" s="63" t="s">
        <v>7</v>
      </c>
      <c r="C1261" s="54">
        <f>IF($J$1="January",P1255,IF($J$1="February",P1256,IF($J$1="March",P1257,IF($J$1="April",P1258,IF($J$1="May",P1259,IF($J$1="June",P1260,IF($J$1="July",P1261,IF($J$1="August",P1262,IF($J$1="August",P1262,IF($J$1="September",P1263,IF($J$1="October",P1264,IF($J$1="November",P1265,IF($J$1="December",P1266)))))))))))))</f>
        <v>0</v>
      </c>
      <c r="D1261" s="45"/>
      <c r="E1261" s="45"/>
      <c r="F1261" s="63" t="s">
        <v>70</v>
      </c>
      <c r="G1261" s="58" t="str">
        <f>IF($J$1="January",W1255,IF($J$1="February",W1256,IF($J$1="March",W1257,IF($J$1="April",W1258,IF($J$1="May",W1259,IF($J$1="June",W1260,IF($J$1="July",W1261,IF($J$1="August",W1262,IF($J$1="August",W1262,IF($J$1="September",W1263,IF($J$1="October",W1264,IF($J$1="November",W1265,IF($J$1="December",W1266)))))))))))))</f>
        <v/>
      </c>
      <c r="H1261" s="62"/>
      <c r="I1261" s="361" t="s">
        <v>74</v>
      </c>
      <c r="J1261" s="362"/>
      <c r="K1261" s="68">
        <f>K1259+K1260</f>
        <v>0</v>
      </c>
      <c r="L1261" s="69"/>
      <c r="M1261" s="45"/>
      <c r="N1261" s="88"/>
      <c r="O1261" s="89" t="s">
        <v>55</v>
      </c>
      <c r="P1261" s="89"/>
      <c r="Q1261" s="89"/>
      <c r="R1261" s="89">
        <v>0</v>
      </c>
      <c r="S1261" s="93"/>
      <c r="T1261" s="89" t="s">
        <v>55</v>
      </c>
      <c r="U1261" s="162" t="str">
        <f>IF($J$1="July",Y1260,"")</f>
        <v/>
      </c>
      <c r="V1261" s="91"/>
      <c r="W1261" s="162" t="str">
        <f t="shared" si="234"/>
        <v/>
      </c>
      <c r="X1261" s="91"/>
      <c r="Y1261" s="162" t="str">
        <f t="shared" si="235"/>
        <v/>
      </c>
      <c r="Z1261" s="94"/>
    </row>
    <row r="1262" spans="1:26" s="43" customFormat="1" ht="21" hidden="1" customHeight="1" x14ac:dyDescent="0.25">
      <c r="A1262" s="44"/>
      <c r="B1262" s="63" t="s">
        <v>6</v>
      </c>
      <c r="C1262" s="54">
        <f>IF($J$1="January",Q1255,IF($J$1="February",Q1256,IF($J$1="March",Q1257,IF($J$1="April",Q1258,IF($J$1="May",Q1259,IF($J$1="June",Q1260,IF($J$1="July",Q1261,IF($J$1="August",Q1262,IF($J$1="August",Q1262,IF($J$1="September",Q1263,IF($J$1="October",Q1264,IF($J$1="November",Q1265,IF($J$1="December",Q1266)))))))))))))</f>
        <v>0</v>
      </c>
      <c r="D1262" s="45"/>
      <c r="E1262" s="45"/>
      <c r="F1262" s="63" t="s">
        <v>24</v>
      </c>
      <c r="G1262" s="58">
        <f>IF($J$1="January",X1255,IF($J$1="February",X1256,IF($J$1="March",X1257,IF($J$1="April",X1258,IF($J$1="May",X1259,IF($J$1="June",X1260,IF($J$1="July",X1261,IF($J$1="August",X1262,IF($J$1="August",X1262,IF($J$1="September",X1263,IF($J$1="October",X1264,IF($J$1="November",X1265,IF($J$1="December",X1266)))))))))))))</f>
        <v>0</v>
      </c>
      <c r="H1262" s="62"/>
      <c r="I1262" s="361" t="s">
        <v>75</v>
      </c>
      <c r="J1262" s="362"/>
      <c r="K1262" s="58">
        <f>G1262</f>
        <v>0</v>
      </c>
      <c r="L1262" s="70"/>
      <c r="M1262" s="45"/>
      <c r="N1262" s="88"/>
      <c r="O1262" s="89" t="s">
        <v>56</v>
      </c>
      <c r="P1262" s="89"/>
      <c r="Q1262" s="89"/>
      <c r="R1262" s="89">
        <v>0</v>
      </c>
      <c r="S1262" s="93"/>
      <c r="T1262" s="89" t="s">
        <v>56</v>
      </c>
      <c r="U1262" s="162" t="str">
        <f>IF($J$1="August",Y1261,"")</f>
        <v/>
      </c>
      <c r="V1262" s="91"/>
      <c r="W1262" s="162" t="str">
        <f t="shared" si="234"/>
        <v/>
      </c>
      <c r="X1262" s="91"/>
      <c r="Y1262" s="162" t="str">
        <f t="shared" si="235"/>
        <v/>
      </c>
      <c r="Z1262" s="94"/>
    </row>
    <row r="1263" spans="1:26" s="43" customFormat="1" ht="21" hidden="1" customHeight="1" x14ac:dyDescent="0.25">
      <c r="A1263" s="44"/>
      <c r="B1263" s="71" t="s">
        <v>73</v>
      </c>
      <c r="C1263" s="54">
        <f>IF($J$1="January",R1255,IF($J$1="February",R1256,IF($J$1="March",R1257,IF($J$1="April",R1258,IF($J$1="May",R1259,IF($J$1="June",R1260,IF($J$1="July",R1261,IF($J$1="August",R1262,IF($J$1="August",R1262,IF($J$1="September",R1263,IF($J$1="October",R1264,IF($J$1="November",R1265,IF($J$1="December",R1266)))))))))))))</f>
        <v>0</v>
      </c>
      <c r="D1263" s="45"/>
      <c r="E1263" s="45"/>
      <c r="F1263" s="63" t="s">
        <v>72</v>
      </c>
      <c r="G1263" s="58" t="str">
        <f>IF($J$1="January",Y1255,IF($J$1="February",Y1256,IF($J$1="March",Y1257,IF($J$1="April",Y1258,IF($J$1="May",Y1259,IF($J$1="June",Y1260,IF($J$1="July",Y1261,IF($J$1="August",Y1262,IF($J$1="August",Y1262,IF($J$1="September",Y1263,IF($J$1="October",Y1264,IF($J$1="November",Y1265,IF($J$1="December",Y1266)))))))))))))</f>
        <v/>
      </c>
      <c r="H1263" s="45"/>
      <c r="I1263" s="363" t="s">
        <v>68</v>
      </c>
      <c r="J1263" s="364"/>
      <c r="K1263" s="72">
        <f>K1261-K1262</f>
        <v>0</v>
      </c>
      <c r="L1263" s="73"/>
      <c r="M1263" s="45"/>
      <c r="N1263" s="88"/>
      <c r="O1263" s="89" t="s">
        <v>61</v>
      </c>
      <c r="P1263" s="89"/>
      <c r="Q1263" s="89"/>
      <c r="R1263" s="89">
        <v>0</v>
      </c>
      <c r="S1263" s="93">
        <v>0</v>
      </c>
      <c r="T1263" s="89" t="s">
        <v>61</v>
      </c>
      <c r="U1263" s="162" t="str">
        <f>IF($J$1="Sept",Y1262,"")</f>
        <v/>
      </c>
      <c r="V1263" s="91"/>
      <c r="W1263" s="162" t="str">
        <f t="shared" si="234"/>
        <v/>
      </c>
      <c r="X1263" s="91"/>
      <c r="Y1263" s="162" t="str">
        <f t="shared" si="235"/>
        <v/>
      </c>
      <c r="Z1263" s="94"/>
    </row>
    <row r="1264" spans="1:26" s="43" customFormat="1" ht="21" hidden="1" customHeight="1" x14ac:dyDescent="0.25">
      <c r="A1264" s="44"/>
      <c r="B1264" s="45"/>
      <c r="C1264" s="45"/>
      <c r="D1264" s="45"/>
      <c r="E1264" s="45"/>
      <c r="F1264" s="45"/>
      <c r="G1264" s="45"/>
      <c r="H1264" s="45"/>
      <c r="I1264" s="45"/>
      <c r="J1264" s="45"/>
      <c r="K1264" s="177"/>
      <c r="L1264" s="61"/>
      <c r="M1264" s="45"/>
      <c r="N1264" s="88"/>
      <c r="O1264" s="89" t="s">
        <v>57</v>
      </c>
      <c r="P1264" s="89"/>
      <c r="Q1264" s="89"/>
      <c r="R1264" s="89">
        <v>0</v>
      </c>
      <c r="S1264" s="93"/>
      <c r="T1264" s="89" t="s">
        <v>57</v>
      </c>
      <c r="U1264" s="162" t="str">
        <f>IF($J$1="October",Y1263,"")</f>
        <v/>
      </c>
      <c r="V1264" s="91"/>
      <c r="W1264" s="162" t="str">
        <f t="shared" si="234"/>
        <v/>
      </c>
      <c r="X1264" s="91"/>
      <c r="Y1264" s="162" t="str">
        <f t="shared" si="235"/>
        <v/>
      </c>
      <c r="Z1264" s="94"/>
    </row>
    <row r="1265" spans="1:26" s="43" customFormat="1" ht="21" hidden="1" customHeight="1" x14ac:dyDescent="0.25">
      <c r="A1265" s="44"/>
      <c r="B1265" s="365" t="s">
        <v>103</v>
      </c>
      <c r="C1265" s="365"/>
      <c r="D1265" s="365"/>
      <c r="E1265" s="365"/>
      <c r="F1265" s="365"/>
      <c r="G1265" s="365"/>
      <c r="H1265" s="365"/>
      <c r="I1265" s="365"/>
      <c r="J1265" s="365"/>
      <c r="K1265" s="365"/>
      <c r="L1265" s="61"/>
      <c r="M1265" s="45"/>
      <c r="N1265" s="88"/>
      <c r="O1265" s="89" t="s">
        <v>62</v>
      </c>
      <c r="P1265" s="89"/>
      <c r="Q1265" s="89"/>
      <c r="R1265" s="89">
        <v>0</v>
      </c>
      <c r="S1265" s="93"/>
      <c r="T1265" s="89" t="s">
        <v>62</v>
      </c>
      <c r="U1265" s="162" t="str">
        <f>IF($J$1="November",Y1264,"")</f>
        <v/>
      </c>
      <c r="V1265" s="91"/>
      <c r="W1265" s="162" t="str">
        <f t="shared" si="234"/>
        <v/>
      </c>
      <c r="X1265" s="91"/>
      <c r="Y1265" s="162" t="str">
        <f t="shared" si="235"/>
        <v/>
      </c>
      <c r="Z1265" s="94"/>
    </row>
    <row r="1266" spans="1:26" s="43" customFormat="1" ht="21" hidden="1" customHeight="1" x14ac:dyDescent="0.25">
      <c r="A1266" s="44"/>
      <c r="B1266" s="365"/>
      <c r="C1266" s="365"/>
      <c r="D1266" s="365"/>
      <c r="E1266" s="365"/>
      <c r="F1266" s="365"/>
      <c r="G1266" s="365"/>
      <c r="H1266" s="365"/>
      <c r="I1266" s="365"/>
      <c r="J1266" s="365"/>
      <c r="K1266" s="365"/>
      <c r="L1266" s="61"/>
      <c r="M1266" s="45"/>
      <c r="N1266" s="88"/>
      <c r="O1266" s="89" t="s">
        <v>63</v>
      </c>
      <c r="P1266" s="89"/>
      <c r="Q1266" s="89"/>
      <c r="R1266" s="89" t="str">
        <f>IF(Q1266="","",R1265-Q1266)</f>
        <v/>
      </c>
      <c r="S1266" s="93"/>
      <c r="T1266" s="89" t="s">
        <v>63</v>
      </c>
      <c r="U1266" s="162" t="str">
        <f>IF($J$1="Dec",Y1265,"")</f>
        <v/>
      </c>
      <c r="V1266" s="91"/>
      <c r="W1266" s="162" t="str">
        <f t="shared" si="234"/>
        <v/>
      </c>
      <c r="X1266" s="91"/>
      <c r="Y1266" s="162" t="str">
        <f t="shared" si="235"/>
        <v/>
      </c>
      <c r="Z1266" s="94"/>
    </row>
    <row r="1267" spans="1:26" s="43" customFormat="1" ht="21" hidden="1" customHeight="1" thickBot="1" x14ac:dyDescent="0.3">
      <c r="A1267" s="74"/>
      <c r="B1267" s="75"/>
      <c r="C1267" s="75"/>
      <c r="D1267" s="75"/>
      <c r="E1267" s="75"/>
      <c r="F1267" s="75"/>
      <c r="G1267" s="75"/>
      <c r="H1267" s="75"/>
      <c r="I1267" s="75"/>
      <c r="J1267" s="75"/>
      <c r="K1267" s="75"/>
      <c r="L1267" s="76"/>
      <c r="N1267" s="95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7"/>
    </row>
    <row r="1268" spans="1:26" ht="15" thickBot="1" x14ac:dyDescent="0.35"/>
    <row r="1269" spans="1:26" s="43" customFormat="1" ht="21" customHeight="1" x14ac:dyDescent="0.25">
      <c r="A1269" s="377" t="s">
        <v>45</v>
      </c>
      <c r="B1269" s="378"/>
      <c r="C1269" s="378"/>
      <c r="D1269" s="378"/>
      <c r="E1269" s="378"/>
      <c r="F1269" s="378"/>
      <c r="G1269" s="378"/>
      <c r="H1269" s="378"/>
      <c r="I1269" s="378"/>
      <c r="J1269" s="378"/>
      <c r="K1269" s="378"/>
      <c r="L1269" s="379"/>
      <c r="M1269" s="183"/>
      <c r="N1269" s="81"/>
      <c r="O1269" s="372" t="s">
        <v>47</v>
      </c>
      <c r="P1269" s="373"/>
      <c r="Q1269" s="373"/>
      <c r="R1269" s="374"/>
      <c r="S1269" s="82"/>
      <c r="T1269" s="372" t="s">
        <v>48</v>
      </c>
      <c r="U1269" s="373"/>
      <c r="V1269" s="373"/>
      <c r="W1269" s="373"/>
      <c r="X1269" s="373"/>
      <c r="Y1269" s="374"/>
      <c r="Z1269" s="83"/>
    </row>
    <row r="1270" spans="1:26" s="43" customFormat="1" ht="21" customHeight="1" x14ac:dyDescent="0.25">
      <c r="A1270" s="44"/>
      <c r="B1270" s="45"/>
      <c r="C1270" s="375" t="s">
        <v>101</v>
      </c>
      <c r="D1270" s="375"/>
      <c r="E1270" s="375"/>
      <c r="F1270" s="375"/>
      <c r="G1270" s="46" t="str">
        <f>$J$1</f>
        <v>October</v>
      </c>
      <c r="H1270" s="376">
        <f>$K$1</f>
        <v>2020</v>
      </c>
      <c r="I1270" s="376"/>
      <c r="J1270" s="45"/>
      <c r="K1270" s="47"/>
      <c r="L1270" s="48"/>
      <c r="M1270" s="47"/>
      <c r="N1270" s="84"/>
      <c r="O1270" s="85" t="s">
        <v>58</v>
      </c>
      <c r="P1270" s="85" t="s">
        <v>7</v>
      </c>
      <c r="Q1270" s="85" t="s">
        <v>6</v>
      </c>
      <c r="R1270" s="85" t="s">
        <v>59</v>
      </c>
      <c r="S1270" s="86"/>
      <c r="T1270" s="85" t="s">
        <v>58</v>
      </c>
      <c r="U1270" s="85" t="s">
        <v>60</v>
      </c>
      <c r="V1270" s="85" t="s">
        <v>23</v>
      </c>
      <c r="W1270" s="85" t="s">
        <v>22</v>
      </c>
      <c r="X1270" s="85" t="s">
        <v>24</v>
      </c>
      <c r="Y1270" s="85" t="s">
        <v>64</v>
      </c>
      <c r="Z1270" s="87"/>
    </row>
    <row r="1271" spans="1:26" s="43" customFormat="1" ht="21" customHeight="1" x14ac:dyDescent="0.25">
      <c r="A1271" s="44"/>
      <c r="B1271" s="45"/>
      <c r="C1271" s="45"/>
      <c r="D1271" s="50"/>
      <c r="E1271" s="50"/>
      <c r="F1271" s="50"/>
      <c r="G1271" s="50"/>
      <c r="H1271" s="50"/>
      <c r="I1271" s="45"/>
      <c r="J1271" s="51" t="s">
        <v>1</v>
      </c>
      <c r="K1271" s="52">
        <v>16000</v>
      </c>
      <c r="L1271" s="53"/>
      <c r="M1271" s="45"/>
      <c r="N1271" s="88"/>
      <c r="O1271" s="89" t="s">
        <v>50</v>
      </c>
      <c r="P1271" s="89">
        <v>29</v>
      </c>
      <c r="Q1271" s="89">
        <v>2</v>
      </c>
      <c r="R1271" s="89">
        <v>0</v>
      </c>
      <c r="S1271" s="90"/>
      <c r="T1271" s="89" t="s">
        <v>50</v>
      </c>
      <c r="U1271" s="91"/>
      <c r="V1271" s="91">
        <v>10000</v>
      </c>
      <c r="W1271" s="91">
        <f>V1271+U1271</f>
        <v>10000</v>
      </c>
      <c r="X1271" s="91">
        <v>1000</v>
      </c>
      <c r="Y1271" s="91">
        <f>W1271-X1271</f>
        <v>9000</v>
      </c>
      <c r="Z1271" s="87"/>
    </row>
    <row r="1272" spans="1:26" s="43" customFormat="1" ht="21" customHeight="1" x14ac:dyDescent="0.25">
      <c r="A1272" s="44"/>
      <c r="B1272" s="45" t="s">
        <v>0</v>
      </c>
      <c r="C1272" s="100" t="s">
        <v>127</v>
      </c>
      <c r="D1272" s="45"/>
      <c r="E1272" s="45"/>
      <c r="F1272" s="45"/>
      <c r="G1272" s="45"/>
      <c r="H1272" s="56"/>
      <c r="I1272" s="50"/>
      <c r="J1272" s="45"/>
      <c r="K1272" s="45"/>
      <c r="L1272" s="57"/>
      <c r="M1272" s="183"/>
      <c r="N1272" s="92"/>
      <c r="O1272" s="89" t="s">
        <v>76</v>
      </c>
      <c r="P1272" s="89">
        <v>27</v>
      </c>
      <c r="Q1272" s="89">
        <v>2</v>
      </c>
      <c r="R1272" s="89">
        <v>0</v>
      </c>
      <c r="S1272" s="93"/>
      <c r="T1272" s="89" t="s">
        <v>76</v>
      </c>
      <c r="U1272" s="162">
        <f>IF($J$1="January","",Y1271)</f>
        <v>9000</v>
      </c>
      <c r="V1272" s="91">
        <v>1000</v>
      </c>
      <c r="W1272" s="162">
        <f>IF(U1272="","",U1272+V1272)</f>
        <v>10000</v>
      </c>
      <c r="X1272" s="91">
        <v>2000</v>
      </c>
      <c r="Y1272" s="162">
        <f>IF(W1272="","",W1272-X1272)</f>
        <v>8000</v>
      </c>
      <c r="Z1272" s="94"/>
    </row>
    <row r="1273" spans="1:26" s="43" customFormat="1" ht="21" customHeight="1" x14ac:dyDescent="0.25">
      <c r="A1273" s="44"/>
      <c r="B1273" s="59" t="s">
        <v>46</v>
      </c>
      <c r="C1273" s="100"/>
      <c r="D1273" s="45"/>
      <c r="E1273" s="45"/>
      <c r="F1273" s="366" t="s">
        <v>48</v>
      </c>
      <c r="G1273" s="366"/>
      <c r="H1273" s="45"/>
      <c r="I1273" s="366" t="s">
        <v>49</v>
      </c>
      <c r="J1273" s="366"/>
      <c r="K1273" s="366"/>
      <c r="L1273" s="61"/>
      <c r="M1273" s="45"/>
      <c r="N1273" s="88"/>
      <c r="O1273" s="89" t="s">
        <v>51</v>
      </c>
      <c r="P1273" s="89">
        <v>31</v>
      </c>
      <c r="Q1273" s="89">
        <v>0</v>
      </c>
      <c r="R1273" s="89">
        <v>0</v>
      </c>
      <c r="S1273" s="93"/>
      <c r="T1273" s="89" t="s">
        <v>51</v>
      </c>
      <c r="U1273" s="162">
        <f>IF($J$1="February","",Y1272)</f>
        <v>8000</v>
      </c>
      <c r="V1273" s="91"/>
      <c r="W1273" s="162">
        <f t="shared" ref="W1273:W1282" si="236">IF(U1273="","",U1273+V1273)</f>
        <v>8000</v>
      </c>
      <c r="X1273" s="91">
        <v>1800</v>
      </c>
      <c r="Y1273" s="162">
        <f t="shared" ref="Y1273:Y1282" si="237">IF(W1273="","",W1273-X1273)</f>
        <v>6200</v>
      </c>
      <c r="Z1273" s="94"/>
    </row>
    <row r="1274" spans="1:26" s="43" customFormat="1" ht="21" customHeight="1" x14ac:dyDescent="0.25">
      <c r="A1274" s="44"/>
      <c r="B1274" s="45"/>
      <c r="C1274" s="45"/>
      <c r="D1274" s="45"/>
      <c r="E1274" s="45"/>
      <c r="F1274" s="45"/>
      <c r="G1274" s="45"/>
      <c r="H1274" s="62"/>
      <c r="L1274" s="49"/>
      <c r="M1274" s="45"/>
      <c r="N1274" s="88"/>
      <c r="O1274" s="89" t="s">
        <v>52</v>
      </c>
      <c r="P1274" s="89">
        <v>29</v>
      </c>
      <c r="Q1274" s="89">
        <v>1</v>
      </c>
      <c r="R1274" s="89">
        <v>0</v>
      </c>
      <c r="S1274" s="93"/>
      <c r="T1274" s="89" t="s">
        <v>52</v>
      </c>
      <c r="U1274" s="162">
        <f>IF($J$1="March","",Y1273)</f>
        <v>6200</v>
      </c>
      <c r="V1274" s="91"/>
      <c r="W1274" s="162">
        <f t="shared" si="236"/>
        <v>6200</v>
      </c>
      <c r="X1274" s="91">
        <v>2500</v>
      </c>
      <c r="Y1274" s="162">
        <f t="shared" si="237"/>
        <v>3700</v>
      </c>
      <c r="Z1274" s="94"/>
    </row>
    <row r="1275" spans="1:26" s="43" customFormat="1" ht="21" customHeight="1" x14ac:dyDescent="0.25">
      <c r="A1275" s="44"/>
      <c r="B1275" s="367" t="s">
        <v>47</v>
      </c>
      <c r="C1275" s="368"/>
      <c r="D1275" s="45"/>
      <c r="E1275" s="45"/>
      <c r="F1275" s="63" t="s">
        <v>69</v>
      </c>
      <c r="G1275" s="58">
        <f>IF($J$1="January",U1271,IF($J$1="February",U1272,IF($J$1="March",U1273,IF($J$1="April",U1274,IF($J$1="May",U1275,IF($J$1="June",U1276,IF($J$1="July",U1277,IF($J$1="August",U1278,IF($J$1="August",U1278,IF($J$1="September",U1279,IF($J$1="October",U1280,IF($J$1="November",U1281,IF($J$1="December",U1282)))))))))))))</f>
        <v>0</v>
      </c>
      <c r="H1275" s="62"/>
      <c r="I1275" s="64">
        <f>IF(C1279&gt;0,$K$2,C1277)</f>
        <v>31</v>
      </c>
      <c r="J1275" s="65" t="s">
        <v>66</v>
      </c>
      <c r="K1275" s="66">
        <f>K1271/$K$2*I1275</f>
        <v>16000</v>
      </c>
      <c r="L1275" s="67"/>
      <c r="M1275" s="45"/>
      <c r="N1275" s="88"/>
      <c r="O1275" s="89" t="s">
        <v>53</v>
      </c>
      <c r="P1275" s="89">
        <v>31</v>
      </c>
      <c r="Q1275" s="89">
        <v>0</v>
      </c>
      <c r="R1275" s="89">
        <v>0</v>
      </c>
      <c r="S1275" s="93"/>
      <c r="T1275" s="89" t="s">
        <v>53</v>
      </c>
      <c r="U1275" s="162">
        <f>IF($J$1="April","",Y1274)</f>
        <v>3700</v>
      </c>
      <c r="V1275" s="91"/>
      <c r="W1275" s="162">
        <f t="shared" si="236"/>
        <v>3700</v>
      </c>
      <c r="X1275" s="91">
        <v>2500</v>
      </c>
      <c r="Y1275" s="162">
        <f t="shared" si="237"/>
        <v>1200</v>
      </c>
      <c r="Z1275" s="94"/>
    </row>
    <row r="1276" spans="1:26" s="43" customFormat="1" ht="21" customHeight="1" x14ac:dyDescent="0.25">
      <c r="A1276" s="44"/>
      <c r="B1276" s="54"/>
      <c r="C1276" s="54"/>
      <c r="D1276" s="45"/>
      <c r="E1276" s="45"/>
      <c r="F1276" s="63" t="s">
        <v>23</v>
      </c>
      <c r="G1276" s="58">
        <f>IF($J$1="January",V1271,IF($J$1="February",V1272,IF($J$1="March",V1273,IF($J$1="April",V1274,IF($J$1="May",V1275,IF($J$1="June",V1276,IF($J$1="July",V1277,IF($J$1="August",V1278,IF($J$1="August",V1278,IF($J$1="September",V1279,IF($J$1="October",V1280,IF($J$1="November",V1281,IF($J$1="December",V1282)))))))))))))</f>
        <v>0</v>
      </c>
      <c r="H1276" s="62"/>
      <c r="I1276" s="108">
        <v>86</v>
      </c>
      <c r="J1276" s="65" t="s">
        <v>67</v>
      </c>
      <c r="K1276" s="68">
        <f>K1271/$K$2/8*I1276</f>
        <v>5548.3870967741932</v>
      </c>
      <c r="L1276" s="69"/>
      <c r="M1276" s="45"/>
      <c r="N1276" s="88"/>
      <c r="O1276" s="89" t="s">
        <v>54</v>
      </c>
      <c r="P1276" s="89">
        <v>30</v>
      </c>
      <c r="Q1276" s="89">
        <v>0</v>
      </c>
      <c r="R1276" s="89">
        <v>15</v>
      </c>
      <c r="S1276" s="93"/>
      <c r="T1276" s="89" t="s">
        <v>54</v>
      </c>
      <c r="U1276" s="162">
        <f>IF($J$1="May","",Y1275)</f>
        <v>1200</v>
      </c>
      <c r="V1276" s="91"/>
      <c r="W1276" s="162">
        <f t="shared" si="236"/>
        <v>1200</v>
      </c>
      <c r="X1276" s="91">
        <v>1200</v>
      </c>
      <c r="Y1276" s="162">
        <f t="shared" si="237"/>
        <v>0</v>
      </c>
      <c r="Z1276" s="94"/>
    </row>
    <row r="1277" spans="1:26" s="43" customFormat="1" ht="21" customHeight="1" x14ac:dyDescent="0.25">
      <c r="A1277" s="44"/>
      <c r="B1277" s="63" t="s">
        <v>7</v>
      </c>
      <c r="C1277" s="54">
        <f>IF($J$1="January",P1271,IF($J$1="February",P1272,IF($J$1="March",P1273,IF($J$1="April",P1274,IF($J$1="May",P1275,IF($J$1="June",P1276,IF($J$1="July",P1277,IF($J$1="August",P1278,IF($J$1="August",P1278,IF($J$1="September",P1279,IF($J$1="October",P1280,IF($J$1="November",P1281,IF($J$1="December",P1282)))))))))))))</f>
        <v>29</v>
      </c>
      <c r="D1277" s="45"/>
      <c r="E1277" s="45"/>
      <c r="F1277" s="63" t="s">
        <v>70</v>
      </c>
      <c r="G1277" s="58">
        <f>IF($J$1="January",W1271,IF($J$1="February",W1272,IF($J$1="March",W1273,IF($J$1="April",W1274,IF($J$1="May",W1275,IF($J$1="June",W1276,IF($J$1="July",W1277,IF($J$1="August",W1278,IF($J$1="August",W1278,IF($J$1="September",W1279,IF($J$1="October",W1280,IF($J$1="November",W1281,IF($J$1="December",W1282)))))))))))))</f>
        <v>0</v>
      </c>
      <c r="H1277" s="62"/>
      <c r="I1277" s="361" t="s">
        <v>74</v>
      </c>
      <c r="J1277" s="362"/>
      <c r="K1277" s="68">
        <f>K1275+K1276</f>
        <v>21548.387096774193</v>
      </c>
      <c r="L1277" s="69"/>
      <c r="M1277" s="45"/>
      <c r="N1277" s="88"/>
      <c r="O1277" s="89" t="s">
        <v>55</v>
      </c>
      <c r="P1277" s="89">
        <v>30</v>
      </c>
      <c r="Q1277" s="89">
        <v>1</v>
      </c>
      <c r="R1277" s="89">
        <f>R1276-Q1277</f>
        <v>14</v>
      </c>
      <c r="S1277" s="93"/>
      <c r="T1277" s="89" t="s">
        <v>55</v>
      </c>
      <c r="U1277" s="162">
        <f>IF($J$1="June","",Y1276)</f>
        <v>0</v>
      </c>
      <c r="V1277" s="91"/>
      <c r="W1277" s="162">
        <f t="shared" si="236"/>
        <v>0</v>
      </c>
      <c r="X1277" s="91"/>
      <c r="Y1277" s="162">
        <f t="shared" si="237"/>
        <v>0</v>
      </c>
      <c r="Z1277" s="94"/>
    </row>
    <row r="1278" spans="1:26" s="43" customFormat="1" ht="21" customHeight="1" x14ac:dyDescent="0.25">
      <c r="A1278" s="44"/>
      <c r="B1278" s="63" t="s">
        <v>6</v>
      </c>
      <c r="C1278" s="54">
        <f>IF($J$1="January",Q1271,IF($J$1="February",Q1272,IF($J$1="March",Q1273,IF($J$1="April",Q1274,IF($J$1="May",Q1275,IF($J$1="June",Q1276,IF($J$1="July",Q1277,IF($J$1="August",Q1278,IF($J$1="August",Q1278,IF($J$1="September",Q1279,IF($J$1="October",Q1280,IF($J$1="November",Q1281,IF($J$1="December",Q1282)))))))))))))</f>
        <v>2</v>
      </c>
      <c r="D1278" s="45"/>
      <c r="E1278" s="45"/>
      <c r="F1278" s="63" t="s">
        <v>24</v>
      </c>
      <c r="G1278" s="58">
        <f>IF($J$1="January",X1271,IF($J$1="February",X1272,IF($J$1="March",X1273,IF($J$1="April",X1274,IF($J$1="May",X1275,IF($J$1="June",X1276,IF($J$1="July",X1277,IF($J$1="August",X1278,IF($J$1="August",X1278,IF($J$1="September",X1279,IF($J$1="October",X1280,IF($J$1="November",X1281,IF($J$1="December",X1282)))))))))))))</f>
        <v>0</v>
      </c>
      <c r="H1278" s="62"/>
      <c r="I1278" s="361" t="s">
        <v>75</v>
      </c>
      <c r="J1278" s="362"/>
      <c r="K1278" s="58">
        <f>G1278</f>
        <v>0</v>
      </c>
      <c r="L1278" s="70"/>
      <c r="M1278" s="45"/>
      <c r="N1278" s="88"/>
      <c r="O1278" s="89" t="s">
        <v>56</v>
      </c>
      <c r="P1278" s="89">
        <v>26</v>
      </c>
      <c r="Q1278" s="89">
        <v>5</v>
      </c>
      <c r="R1278" s="89">
        <f>R1277-Q1278</f>
        <v>9</v>
      </c>
      <c r="S1278" s="93"/>
      <c r="T1278" s="89" t="s">
        <v>56</v>
      </c>
      <c r="U1278" s="162">
        <f>IF($J$1="July","",Y1277)</f>
        <v>0</v>
      </c>
      <c r="V1278" s="91"/>
      <c r="W1278" s="162">
        <f t="shared" si="236"/>
        <v>0</v>
      </c>
      <c r="X1278" s="91"/>
      <c r="Y1278" s="162">
        <f t="shared" si="237"/>
        <v>0</v>
      </c>
      <c r="Z1278" s="94"/>
    </row>
    <row r="1279" spans="1:26" s="43" customFormat="1" ht="21" customHeight="1" x14ac:dyDescent="0.25">
      <c r="A1279" s="44"/>
      <c r="B1279" s="71" t="s">
        <v>73</v>
      </c>
      <c r="C1279" s="54">
        <f>IF($J$1="January",R1271,IF($J$1="February",R1272,IF($J$1="March",R1273,IF($J$1="April",R1274,IF($J$1="May",R1275,IF($J$1="June",R1276,IF($J$1="July",R1277,IF($J$1="August",R1278,IF($J$1="August",R1278,IF($J$1="September",R1279,IF($J$1="October",R1280,IF($J$1="November",R1281,IF($J$1="December",R1282)))))))))))))</f>
        <v>7</v>
      </c>
      <c r="D1279" s="45"/>
      <c r="E1279" s="45"/>
      <c r="F1279" s="63" t="s">
        <v>72</v>
      </c>
      <c r="G1279" s="58">
        <f>IF($J$1="January",Y1271,IF($J$1="February",Y1272,IF($J$1="March",Y1273,IF($J$1="April",Y1274,IF($J$1="May",Y1275,IF($J$1="June",Y1276,IF($J$1="July",Y1277,IF($J$1="August",Y1278,IF($J$1="August",Y1278,IF($J$1="September",Y1279,IF($J$1="October",Y1280,IF($J$1="November",Y1281,IF($J$1="December",Y1282)))))))))))))</f>
        <v>0</v>
      </c>
      <c r="H1279" s="45"/>
      <c r="I1279" s="363" t="s">
        <v>68</v>
      </c>
      <c r="J1279" s="364"/>
      <c r="K1279" s="72">
        <f>K1277-K1278</f>
        <v>21548.387096774193</v>
      </c>
      <c r="L1279" s="73"/>
      <c r="M1279" s="45"/>
      <c r="N1279" s="88"/>
      <c r="O1279" s="89" t="s">
        <v>61</v>
      </c>
      <c r="P1279" s="89">
        <v>30</v>
      </c>
      <c r="Q1279" s="89">
        <v>0</v>
      </c>
      <c r="R1279" s="89">
        <f>R1278-Q1279</f>
        <v>9</v>
      </c>
      <c r="S1279" s="93"/>
      <c r="T1279" s="89" t="s">
        <v>61</v>
      </c>
      <c r="U1279" s="162">
        <f>IF($J$1="August","",Y1278)</f>
        <v>0</v>
      </c>
      <c r="V1279" s="91"/>
      <c r="W1279" s="162">
        <f t="shared" si="236"/>
        <v>0</v>
      </c>
      <c r="X1279" s="91"/>
      <c r="Y1279" s="162">
        <f t="shared" si="237"/>
        <v>0</v>
      </c>
      <c r="Z1279" s="94"/>
    </row>
    <row r="1280" spans="1:26" s="43" customFormat="1" ht="21" customHeight="1" x14ac:dyDescent="0.25">
      <c r="A1280" s="44"/>
      <c r="B1280" s="45"/>
      <c r="C1280" s="45"/>
      <c r="D1280" s="45"/>
      <c r="E1280" s="45"/>
      <c r="F1280" s="45"/>
      <c r="G1280" s="45"/>
      <c r="H1280" s="45"/>
      <c r="I1280" s="45"/>
      <c r="J1280" s="45"/>
      <c r="K1280" s="45"/>
      <c r="L1280" s="61"/>
      <c r="M1280" s="45"/>
      <c r="N1280" s="88"/>
      <c r="O1280" s="89" t="s">
        <v>57</v>
      </c>
      <c r="P1280" s="89">
        <v>29</v>
      </c>
      <c r="Q1280" s="89">
        <v>2</v>
      </c>
      <c r="R1280" s="89">
        <f>R1279-Q1280</f>
        <v>7</v>
      </c>
      <c r="S1280" s="93"/>
      <c r="T1280" s="89" t="s">
        <v>57</v>
      </c>
      <c r="U1280" s="162">
        <f>IF($J$1="September","",Y1279)</f>
        <v>0</v>
      </c>
      <c r="V1280" s="91"/>
      <c r="W1280" s="162">
        <f t="shared" si="236"/>
        <v>0</v>
      </c>
      <c r="X1280" s="91"/>
      <c r="Y1280" s="162">
        <f t="shared" si="237"/>
        <v>0</v>
      </c>
      <c r="Z1280" s="94"/>
    </row>
    <row r="1281" spans="1:27" s="43" customFormat="1" ht="21" customHeight="1" x14ac:dyDescent="0.25">
      <c r="A1281" s="44"/>
      <c r="B1281" s="365" t="s">
        <v>103</v>
      </c>
      <c r="C1281" s="365"/>
      <c r="D1281" s="365"/>
      <c r="E1281" s="365"/>
      <c r="F1281" s="365"/>
      <c r="G1281" s="365"/>
      <c r="H1281" s="365"/>
      <c r="I1281" s="365"/>
      <c r="J1281" s="365"/>
      <c r="K1281" s="365"/>
      <c r="L1281" s="61"/>
      <c r="M1281" s="45"/>
      <c r="N1281" s="88"/>
      <c r="O1281" s="89" t="s">
        <v>62</v>
      </c>
      <c r="P1281" s="89"/>
      <c r="Q1281" s="89"/>
      <c r="R1281" s="89">
        <v>0</v>
      </c>
      <c r="S1281" s="93"/>
      <c r="T1281" s="89" t="s">
        <v>62</v>
      </c>
      <c r="U1281" s="162" t="str">
        <f>IF($J$1="October","",Y1280)</f>
        <v/>
      </c>
      <c r="V1281" s="91"/>
      <c r="W1281" s="162" t="str">
        <f t="shared" si="236"/>
        <v/>
      </c>
      <c r="X1281" s="91"/>
      <c r="Y1281" s="162" t="str">
        <f t="shared" si="237"/>
        <v/>
      </c>
      <c r="Z1281" s="94"/>
    </row>
    <row r="1282" spans="1:27" s="43" customFormat="1" ht="21" customHeight="1" x14ac:dyDescent="0.25">
      <c r="A1282" s="44"/>
      <c r="B1282" s="365"/>
      <c r="C1282" s="365"/>
      <c r="D1282" s="365"/>
      <c r="E1282" s="365"/>
      <c r="F1282" s="365"/>
      <c r="G1282" s="365"/>
      <c r="H1282" s="365"/>
      <c r="I1282" s="365"/>
      <c r="J1282" s="365"/>
      <c r="K1282" s="365"/>
      <c r="L1282" s="61"/>
      <c r="M1282" s="45"/>
      <c r="N1282" s="88"/>
      <c r="O1282" s="89" t="s">
        <v>63</v>
      </c>
      <c r="P1282" s="89"/>
      <c r="Q1282" s="89"/>
      <c r="R1282" s="89">
        <v>0</v>
      </c>
      <c r="S1282" s="93"/>
      <c r="T1282" s="89" t="s">
        <v>63</v>
      </c>
      <c r="U1282" s="162" t="str">
        <f>IF($J$1="November","",Y1281)</f>
        <v/>
      </c>
      <c r="V1282" s="91"/>
      <c r="W1282" s="162" t="str">
        <f t="shared" si="236"/>
        <v/>
      </c>
      <c r="X1282" s="91"/>
      <c r="Y1282" s="162" t="str">
        <f t="shared" si="237"/>
        <v/>
      </c>
      <c r="Z1282" s="94"/>
    </row>
    <row r="1283" spans="1:27" s="43" customFormat="1" ht="21" customHeight="1" thickBot="1" x14ac:dyDescent="0.3">
      <c r="A1283" s="74"/>
      <c r="B1283" s="75"/>
      <c r="C1283" s="75"/>
      <c r="D1283" s="75"/>
      <c r="E1283" s="75"/>
      <c r="F1283" s="75"/>
      <c r="G1283" s="75"/>
      <c r="H1283" s="75"/>
      <c r="I1283" s="75"/>
      <c r="J1283" s="75"/>
      <c r="K1283" s="75"/>
      <c r="L1283" s="76"/>
      <c r="N1283" s="95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7"/>
    </row>
    <row r="1284" spans="1:27" ht="15" thickBot="1" x14ac:dyDescent="0.35"/>
    <row r="1285" spans="1:27" s="43" customFormat="1" ht="21" customHeight="1" x14ac:dyDescent="0.25">
      <c r="A1285" s="383" t="s">
        <v>45</v>
      </c>
      <c r="B1285" s="384"/>
      <c r="C1285" s="384"/>
      <c r="D1285" s="384"/>
      <c r="E1285" s="384"/>
      <c r="F1285" s="384"/>
      <c r="G1285" s="384"/>
      <c r="H1285" s="384"/>
      <c r="I1285" s="384"/>
      <c r="J1285" s="384"/>
      <c r="K1285" s="384"/>
      <c r="L1285" s="385"/>
      <c r="M1285" s="42"/>
      <c r="N1285" s="81"/>
      <c r="O1285" s="372" t="s">
        <v>47</v>
      </c>
      <c r="P1285" s="373"/>
      <c r="Q1285" s="373"/>
      <c r="R1285" s="374"/>
      <c r="S1285" s="82"/>
      <c r="T1285" s="372" t="s">
        <v>48</v>
      </c>
      <c r="U1285" s="373"/>
      <c r="V1285" s="373"/>
      <c r="W1285" s="373"/>
      <c r="X1285" s="373"/>
      <c r="Y1285" s="374"/>
      <c r="Z1285" s="83"/>
      <c r="AA1285" s="42"/>
    </row>
    <row r="1286" spans="1:27" s="43" customFormat="1" ht="21" customHeight="1" x14ac:dyDescent="0.25">
      <c r="A1286" s="44"/>
      <c r="B1286" s="45"/>
      <c r="C1286" s="375" t="s">
        <v>101</v>
      </c>
      <c r="D1286" s="375"/>
      <c r="E1286" s="375"/>
      <c r="F1286" s="375"/>
      <c r="G1286" s="46" t="str">
        <f>$J$1</f>
        <v>October</v>
      </c>
      <c r="H1286" s="376">
        <f>$K$1</f>
        <v>2020</v>
      </c>
      <c r="I1286" s="376"/>
      <c r="J1286" s="45"/>
      <c r="K1286" s="47"/>
      <c r="L1286" s="48"/>
      <c r="M1286" s="47"/>
      <c r="N1286" s="84"/>
      <c r="O1286" s="85" t="s">
        <v>58</v>
      </c>
      <c r="P1286" s="85" t="s">
        <v>7</v>
      </c>
      <c r="Q1286" s="85" t="s">
        <v>6</v>
      </c>
      <c r="R1286" s="85" t="s">
        <v>59</v>
      </c>
      <c r="S1286" s="86"/>
      <c r="T1286" s="85" t="s">
        <v>58</v>
      </c>
      <c r="U1286" s="85" t="s">
        <v>60</v>
      </c>
      <c r="V1286" s="85" t="s">
        <v>23</v>
      </c>
      <c r="W1286" s="85" t="s">
        <v>22</v>
      </c>
      <c r="X1286" s="85" t="s">
        <v>24</v>
      </c>
      <c r="Y1286" s="85" t="s">
        <v>64</v>
      </c>
      <c r="Z1286" s="87"/>
      <c r="AA1286" s="47"/>
    </row>
    <row r="1287" spans="1:27" s="43" customFormat="1" ht="21" customHeight="1" x14ac:dyDescent="0.25">
      <c r="A1287" s="44"/>
      <c r="B1287" s="45"/>
      <c r="C1287" s="45"/>
      <c r="D1287" s="50"/>
      <c r="E1287" s="50"/>
      <c r="F1287" s="50"/>
      <c r="G1287" s="50"/>
      <c r="H1287" s="50"/>
      <c r="I1287" s="45"/>
      <c r="J1287" s="51" t="s">
        <v>1</v>
      </c>
      <c r="K1287" s="52">
        <v>35000</v>
      </c>
      <c r="L1287" s="53"/>
      <c r="M1287" s="45"/>
      <c r="N1287" s="88"/>
      <c r="O1287" s="89" t="s">
        <v>50</v>
      </c>
      <c r="P1287" s="89">
        <v>31</v>
      </c>
      <c r="Q1287" s="89">
        <v>0</v>
      </c>
      <c r="R1287" s="89">
        <v>0</v>
      </c>
      <c r="S1287" s="90"/>
      <c r="T1287" s="89" t="s">
        <v>50</v>
      </c>
      <c r="U1287" s="91"/>
      <c r="V1287" s="91">
        <v>5000</v>
      </c>
      <c r="W1287" s="91">
        <f>V1287+U1287</f>
        <v>5000</v>
      </c>
      <c r="X1287" s="91">
        <v>5000</v>
      </c>
      <c r="Y1287" s="91">
        <f>W1287-X1287</f>
        <v>0</v>
      </c>
      <c r="Z1287" s="87"/>
      <c r="AA1287" s="45"/>
    </row>
    <row r="1288" spans="1:27" s="43" customFormat="1" ht="21" customHeight="1" x14ac:dyDescent="0.25">
      <c r="A1288" s="44"/>
      <c r="B1288" s="45" t="s">
        <v>0</v>
      </c>
      <c r="C1288" s="55" t="s">
        <v>240</v>
      </c>
      <c r="D1288" s="45"/>
      <c r="E1288" s="45"/>
      <c r="F1288" s="45"/>
      <c r="G1288" s="45"/>
      <c r="H1288" s="56"/>
      <c r="I1288" s="50"/>
      <c r="J1288" s="45"/>
      <c r="K1288" s="45"/>
      <c r="L1288" s="57"/>
      <c r="M1288" s="42"/>
      <c r="N1288" s="92"/>
      <c r="O1288" s="89" t="s">
        <v>76</v>
      </c>
      <c r="P1288" s="89">
        <v>29</v>
      </c>
      <c r="Q1288" s="89">
        <v>0</v>
      </c>
      <c r="R1288" s="89">
        <f>IF(Q1288="","",R1287-Q1288)</f>
        <v>0</v>
      </c>
      <c r="S1288" s="93"/>
      <c r="T1288" s="89" t="s">
        <v>76</v>
      </c>
      <c r="U1288" s="162">
        <f>IF($J$1="January","",Y1287)</f>
        <v>0</v>
      </c>
      <c r="V1288" s="91"/>
      <c r="W1288" s="162">
        <f>IF(U1288="","",U1288+V1288)</f>
        <v>0</v>
      </c>
      <c r="X1288" s="91"/>
      <c r="Y1288" s="162">
        <f>IF(W1288="","",W1288-X1288)</f>
        <v>0</v>
      </c>
      <c r="Z1288" s="94"/>
      <c r="AA1288" s="42"/>
    </row>
    <row r="1289" spans="1:27" s="43" customFormat="1" ht="21" customHeight="1" x14ac:dyDescent="0.25">
      <c r="A1289" s="44"/>
      <c r="B1289" s="59" t="s">
        <v>46</v>
      </c>
      <c r="C1289" s="60"/>
      <c r="D1289" s="45"/>
      <c r="E1289" s="45"/>
      <c r="F1289" s="366" t="s">
        <v>48</v>
      </c>
      <c r="G1289" s="366"/>
      <c r="H1289" s="45"/>
      <c r="I1289" s="366" t="s">
        <v>49</v>
      </c>
      <c r="J1289" s="366"/>
      <c r="K1289" s="366"/>
      <c r="L1289" s="61"/>
      <c r="M1289" s="45"/>
      <c r="N1289" s="88"/>
      <c r="O1289" s="89" t="s">
        <v>51</v>
      </c>
      <c r="P1289" s="89">
        <v>30</v>
      </c>
      <c r="Q1289" s="89">
        <v>1</v>
      </c>
      <c r="R1289" s="89">
        <v>0</v>
      </c>
      <c r="S1289" s="93"/>
      <c r="T1289" s="89" t="s">
        <v>51</v>
      </c>
      <c r="U1289" s="162">
        <f>IF($J$1="February","",Y1288)</f>
        <v>0</v>
      </c>
      <c r="V1289" s="91"/>
      <c r="W1289" s="162">
        <f t="shared" ref="W1289:W1298" si="238">IF(U1289="","",U1289+V1289)</f>
        <v>0</v>
      </c>
      <c r="X1289" s="91"/>
      <c r="Y1289" s="162">
        <f t="shared" ref="Y1289:Y1298" si="239">IF(W1289="","",W1289-X1289)</f>
        <v>0</v>
      </c>
      <c r="Z1289" s="94"/>
      <c r="AA1289" s="45"/>
    </row>
    <row r="1290" spans="1:27" s="43" customFormat="1" ht="21" customHeight="1" x14ac:dyDescent="0.25">
      <c r="A1290" s="44"/>
      <c r="B1290" s="45"/>
      <c r="C1290" s="45"/>
      <c r="D1290" s="45"/>
      <c r="E1290" s="45"/>
      <c r="F1290" s="45"/>
      <c r="G1290" s="45"/>
      <c r="H1290" s="62"/>
      <c r="L1290" s="49"/>
      <c r="M1290" s="45"/>
      <c r="N1290" s="88"/>
      <c r="O1290" s="89" t="s">
        <v>52</v>
      </c>
      <c r="P1290" s="89">
        <v>24</v>
      </c>
      <c r="Q1290" s="89">
        <v>6</v>
      </c>
      <c r="R1290" s="89">
        <v>0</v>
      </c>
      <c r="S1290" s="93"/>
      <c r="T1290" s="89" t="s">
        <v>52</v>
      </c>
      <c r="U1290" s="162">
        <f>IF($J$1="March","",Y1289)</f>
        <v>0</v>
      </c>
      <c r="V1290" s="91"/>
      <c r="W1290" s="162">
        <f t="shared" si="238"/>
        <v>0</v>
      </c>
      <c r="X1290" s="91"/>
      <c r="Y1290" s="162">
        <f t="shared" si="239"/>
        <v>0</v>
      </c>
      <c r="Z1290" s="94"/>
      <c r="AA1290" s="45"/>
    </row>
    <row r="1291" spans="1:27" s="43" customFormat="1" ht="21" customHeight="1" x14ac:dyDescent="0.25">
      <c r="A1291" s="44"/>
      <c r="B1291" s="367" t="s">
        <v>47</v>
      </c>
      <c r="C1291" s="368"/>
      <c r="D1291" s="45"/>
      <c r="E1291" s="45"/>
      <c r="F1291" s="63" t="s">
        <v>69</v>
      </c>
      <c r="G1291" s="58">
        <f>IF($J$1="January",U1287,IF($J$1="February",U1288,IF($J$1="March",U1289,IF($J$1="April",U1290,IF($J$1="May",U1291,IF($J$1="June",U1292,IF($J$1="July",U1293,IF($J$1="August",U1294,IF($J$1="August",U1294,IF($J$1="September",U1295,IF($J$1="October",U1296,IF($J$1="November",U1297,IF($J$1="December",U1298)))))))))))))</f>
        <v>0</v>
      </c>
      <c r="H1291" s="62"/>
      <c r="I1291" s="64">
        <f>IF(C1295&gt;0,$K$2,C1293)</f>
        <v>31</v>
      </c>
      <c r="J1291" s="65" t="s">
        <v>66</v>
      </c>
      <c r="K1291" s="66">
        <f>K1287/$K$2*I1291</f>
        <v>35000</v>
      </c>
      <c r="L1291" s="67"/>
      <c r="M1291" s="45"/>
      <c r="N1291" s="88"/>
      <c r="O1291" s="89" t="s">
        <v>53</v>
      </c>
      <c r="P1291" s="89">
        <v>31</v>
      </c>
      <c r="Q1291" s="89">
        <v>0</v>
      </c>
      <c r="R1291" s="89">
        <v>0</v>
      </c>
      <c r="S1291" s="93"/>
      <c r="T1291" s="89" t="s">
        <v>53</v>
      </c>
      <c r="U1291" s="162">
        <f>IF($J$1="April","",Y1290)</f>
        <v>0</v>
      </c>
      <c r="V1291" s="91"/>
      <c r="W1291" s="162">
        <f t="shared" si="238"/>
        <v>0</v>
      </c>
      <c r="X1291" s="91"/>
      <c r="Y1291" s="162">
        <f t="shared" si="239"/>
        <v>0</v>
      </c>
      <c r="Z1291" s="94"/>
      <c r="AA1291" s="45"/>
    </row>
    <row r="1292" spans="1:27" s="43" customFormat="1" ht="21" customHeight="1" x14ac:dyDescent="0.25">
      <c r="A1292" s="44"/>
      <c r="B1292" s="54"/>
      <c r="C1292" s="54"/>
      <c r="D1292" s="45"/>
      <c r="E1292" s="45"/>
      <c r="F1292" s="63" t="s">
        <v>23</v>
      </c>
      <c r="G1292" s="58">
        <f>IF($J$1="January",V1287,IF($J$1="February",V1288,IF($J$1="March",V1289,IF($J$1="April",V1290,IF($J$1="May",V1291,IF($J$1="June",V1292,IF($J$1="July",V1293,IF($J$1="August",V1294,IF($J$1="August",V1294,IF($J$1="September",V1295,IF($J$1="October",V1296,IF($J$1="November",V1297,IF($J$1="December",V1298)))))))))))))</f>
        <v>0</v>
      </c>
      <c r="H1292" s="62"/>
      <c r="I1292" s="108"/>
      <c r="J1292" s="65" t="s">
        <v>67</v>
      </c>
      <c r="K1292" s="68">
        <f>K1287/$K$2/8*I1292</f>
        <v>0</v>
      </c>
      <c r="L1292" s="69"/>
      <c r="M1292" s="45"/>
      <c r="N1292" s="88"/>
      <c r="O1292" s="89" t="s">
        <v>54</v>
      </c>
      <c r="P1292" s="89"/>
      <c r="Q1292" s="89"/>
      <c r="R1292" s="89" t="str">
        <f t="shared" ref="R1292:R1296" si="240">IF(Q1292="","",R1291-Q1292)</f>
        <v/>
      </c>
      <c r="S1292" s="93"/>
      <c r="T1292" s="89" t="s">
        <v>54</v>
      </c>
      <c r="U1292" s="162">
        <f>IF($J$1="May","",Y1291)</f>
        <v>0</v>
      </c>
      <c r="V1292" s="91"/>
      <c r="W1292" s="162">
        <f t="shared" si="238"/>
        <v>0</v>
      </c>
      <c r="X1292" s="91"/>
      <c r="Y1292" s="162">
        <f t="shared" si="239"/>
        <v>0</v>
      </c>
      <c r="Z1292" s="94"/>
      <c r="AA1292" s="45"/>
    </row>
    <row r="1293" spans="1:27" s="43" customFormat="1" ht="21" customHeight="1" x14ac:dyDescent="0.25">
      <c r="A1293" s="44"/>
      <c r="B1293" s="63" t="s">
        <v>7</v>
      </c>
      <c r="C1293" s="54">
        <f>IF($J$1="January",P1287,IF($J$1="February",P1288,IF($J$1="March",P1289,IF($J$1="April",P1290,IF($J$1="May",P1291,IF($J$1="June",P1292,IF($J$1="July",P1293,IF($J$1="August",P1294,IF($J$1="August",P1294,IF($J$1="September",P1295,IF($J$1="October",P1296,IF($J$1="November",P1297,IF($J$1="December",P1298)))))))))))))</f>
        <v>31</v>
      </c>
      <c r="D1293" s="45"/>
      <c r="E1293" s="45"/>
      <c r="F1293" s="63" t="s">
        <v>70</v>
      </c>
      <c r="G1293" s="58">
        <f>IF($J$1="January",W1287,IF($J$1="February",W1288,IF($J$1="March",W1289,IF($J$1="April",W1290,IF($J$1="May",W1291,IF($J$1="June",W1292,IF($J$1="July",W1293,IF($J$1="August",W1294,IF($J$1="August",W1294,IF($J$1="September",W1295,IF($J$1="October",W1296,IF($J$1="November",W1297,IF($J$1="December",W1298)))))))))))))</f>
        <v>0</v>
      </c>
      <c r="H1293" s="62"/>
      <c r="I1293" s="361" t="s">
        <v>74</v>
      </c>
      <c r="J1293" s="362"/>
      <c r="K1293" s="68">
        <f>K1291+K1292</f>
        <v>35000</v>
      </c>
      <c r="L1293" s="69"/>
      <c r="M1293" s="45"/>
      <c r="N1293" s="88"/>
      <c r="O1293" s="89" t="s">
        <v>55</v>
      </c>
      <c r="P1293" s="89">
        <v>14</v>
      </c>
      <c r="Q1293" s="89">
        <v>17</v>
      </c>
      <c r="R1293" s="89">
        <v>0</v>
      </c>
      <c r="S1293" s="93"/>
      <c r="T1293" s="89" t="s">
        <v>55</v>
      </c>
      <c r="U1293" s="162">
        <f>IF($J$1="June","",Y1292)</f>
        <v>0</v>
      </c>
      <c r="V1293" s="91"/>
      <c r="W1293" s="162">
        <f t="shared" si="238"/>
        <v>0</v>
      </c>
      <c r="X1293" s="91"/>
      <c r="Y1293" s="162">
        <f t="shared" si="239"/>
        <v>0</v>
      </c>
      <c r="Z1293" s="94"/>
      <c r="AA1293" s="45"/>
    </row>
    <row r="1294" spans="1:27" s="43" customFormat="1" ht="21" customHeight="1" x14ac:dyDescent="0.25">
      <c r="A1294" s="44"/>
      <c r="B1294" s="63" t="s">
        <v>6</v>
      </c>
      <c r="C1294" s="54">
        <f>IF($J$1="January",Q1287,IF($J$1="February",Q1288,IF($J$1="March",Q1289,IF($J$1="April",Q1290,IF($J$1="May",Q1291,IF($J$1="June",Q1292,IF($J$1="July",Q1293,IF($J$1="August",Q1294,IF($J$1="August",Q1294,IF($J$1="September",Q1295,IF($J$1="October",Q1296,IF($J$1="November",Q1297,IF($J$1="December",Q1298)))))))))))))</f>
        <v>0</v>
      </c>
      <c r="D1294" s="45"/>
      <c r="E1294" s="45"/>
      <c r="F1294" s="63" t="s">
        <v>24</v>
      </c>
      <c r="G1294" s="58">
        <f>IF($J$1="January",X1287,IF($J$1="February",X1288,IF($J$1="March",X1289,IF($J$1="April",X1290,IF($J$1="May",X1291,IF($J$1="June",X1292,IF($J$1="July",X1293,IF($J$1="August",X1294,IF($J$1="August",X1294,IF($J$1="September",X1295,IF($J$1="October",X1296,IF($J$1="November",X1297,IF($J$1="December",X1298)))))))))))))</f>
        <v>0</v>
      </c>
      <c r="H1294" s="62"/>
      <c r="I1294" s="361" t="s">
        <v>75</v>
      </c>
      <c r="J1294" s="362"/>
      <c r="K1294" s="58">
        <f>G1294</f>
        <v>0</v>
      </c>
      <c r="L1294" s="70"/>
      <c r="M1294" s="45"/>
      <c r="N1294" s="88"/>
      <c r="O1294" s="89" t="s">
        <v>56</v>
      </c>
      <c r="P1294" s="89"/>
      <c r="Q1294" s="89"/>
      <c r="R1294" s="89" t="str">
        <f t="shared" si="240"/>
        <v/>
      </c>
      <c r="S1294" s="93"/>
      <c r="T1294" s="89" t="s">
        <v>56</v>
      </c>
      <c r="U1294" s="162">
        <f>IF($J$1="July","",Y1293)</f>
        <v>0</v>
      </c>
      <c r="V1294" s="91"/>
      <c r="W1294" s="162">
        <f t="shared" si="238"/>
        <v>0</v>
      </c>
      <c r="X1294" s="91"/>
      <c r="Y1294" s="162">
        <f t="shared" si="239"/>
        <v>0</v>
      </c>
      <c r="Z1294" s="94"/>
      <c r="AA1294" s="45"/>
    </row>
    <row r="1295" spans="1:27" s="43" customFormat="1" ht="21" customHeight="1" x14ac:dyDescent="0.25">
      <c r="A1295" s="44"/>
      <c r="B1295" s="71" t="s">
        <v>73</v>
      </c>
      <c r="C1295" s="54">
        <f>IF($J$1="January",R1287,IF($J$1="February",R1288,IF($J$1="March",R1289,IF($J$1="April",R1290,IF($J$1="May",R1291,IF($J$1="June",R1292,IF($J$1="July",R1293,IF($J$1="August",R1294,IF($J$1="August",R1294,IF($J$1="September",R1295,IF($J$1="October",R1296,IF($J$1="November",R1297,IF($J$1="December",R1298)))))))))))))</f>
        <v>0</v>
      </c>
      <c r="D1295" s="45"/>
      <c r="E1295" s="45"/>
      <c r="F1295" s="63" t="s">
        <v>72</v>
      </c>
      <c r="G1295" s="58">
        <f>IF($J$1="January",Y1287,IF($J$1="February",Y1288,IF($J$1="March",Y1289,IF($J$1="April",Y1290,IF($J$1="May",Y1291,IF($J$1="June",Y1292,IF($J$1="July",Y1293,IF($J$1="August",Y1294,IF($J$1="August",Y1294,IF($J$1="September",Y1295,IF($J$1="October",Y1296,IF($J$1="November",Y1297,IF($J$1="December",Y1298)))))))))))))</f>
        <v>0</v>
      </c>
      <c r="H1295" s="45"/>
      <c r="I1295" s="363" t="s">
        <v>68</v>
      </c>
      <c r="J1295" s="364"/>
      <c r="K1295" s="72">
        <f>K1293-K1294</f>
        <v>35000</v>
      </c>
      <c r="L1295" s="73"/>
      <c r="M1295" s="45"/>
      <c r="N1295" s="88"/>
      <c r="O1295" s="89" t="s">
        <v>61</v>
      </c>
      <c r="P1295" s="89">
        <v>17</v>
      </c>
      <c r="Q1295" s="89">
        <v>13</v>
      </c>
      <c r="R1295" s="89">
        <v>0</v>
      </c>
      <c r="S1295" s="93"/>
      <c r="T1295" s="89" t="s">
        <v>61</v>
      </c>
      <c r="U1295" s="162">
        <f>IF($J$1="August","",Y1294)</f>
        <v>0</v>
      </c>
      <c r="V1295" s="91"/>
      <c r="W1295" s="162">
        <f t="shared" si="238"/>
        <v>0</v>
      </c>
      <c r="X1295" s="91"/>
      <c r="Y1295" s="162">
        <f t="shared" si="239"/>
        <v>0</v>
      </c>
      <c r="Z1295" s="94"/>
      <c r="AA1295" s="45"/>
    </row>
    <row r="1296" spans="1:27" s="43" customFormat="1" ht="21" customHeight="1" x14ac:dyDescent="0.25">
      <c r="A1296" s="44"/>
      <c r="B1296" s="45"/>
      <c r="C1296" s="45"/>
      <c r="D1296" s="45"/>
      <c r="E1296" s="45"/>
      <c r="F1296" s="45"/>
      <c r="G1296" s="45"/>
      <c r="H1296" s="45"/>
      <c r="I1296" s="45"/>
      <c r="J1296" s="62"/>
      <c r="K1296" s="177"/>
      <c r="L1296" s="61"/>
      <c r="M1296" s="45"/>
      <c r="N1296" s="88"/>
      <c r="O1296" s="89" t="s">
        <v>57</v>
      </c>
      <c r="P1296" s="89">
        <v>31</v>
      </c>
      <c r="Q1296" s="89">
        <v>0</v>
      </c>
      <c r="R1296" s="89">
        <f t="shared" si="240"/>
        <v>0</v>
      </c>
      <c r="S1296" s="93"/>
      <c r="T1296" s="89" t="s">
        <v>57</v>
      </c>
      <c r="U1296" s="162">
        <f>IF($J$1="September","",Y1295)</f>
        <v>0</v>
      </c>
      <c r="V1296" s="91"/>
      <c r="W1296" s="162">
        <f t="shared" si="238"/>
        <v>0</v>
      </c>
      <c r="X1296" s="91"/>
      <c r="Y1296" s="162">
        <f t="shared" si="239"/>
        <v>0</v>
      </c>
      <c r="Z1296" s="94"/>
      <c r="AA1296" s="45"/>
    </row>
    <row r="1297" spans="1:27" s="43" customFormat="1" ht="21" customHeight="1" x14ac:dyDescent="0.25">
      <c r="A1297" s="44"/>
      <c r="B1297" s="365" t="s">
        <v>103</v>
      </c>
      <c r="C1297" s="365"/>
      <c r="D1297" s="365"/>
      <c r="E1297" s="365"/>
      <c r="F1297" s="365"/>
      <c r="G1297" s="365"/>
      <c r="H1297" s="365"/>
      <c r="I1297" s="365"/>
      <c r="J1297" s="365"/>
      <c r="K1297" s="365"/>
      <c r="L1297" s="61"/>
      <c r="M1297" s="45"/>
      <c r="N1297" s="88"/>
      <c r="O1297" s="89" t="s">
        <v>62</v>
      </c>
      <c r="P1297" s="89"/>
      <c r="Q1297" s="89"/>
      <c r="R1297" s="89">
        <v>0</v>
      </c>
      <c r="S1297" s="93"/>
      <c r="T1297" s="89" t="s">
        <v>62</v>
      </c>
      <c r="U1297" s="162" t="str">
        <f>IF($J$1="October","",Y1296)</f>
        <v/>
      </c>
      <c r="V1297" s="91"/>
      <c r="W1297" s="162" t="str">
        <f t="shared" si="238"/>
        <v/>
      </c>
      <c r="X1297" s="91"/>
      <c r="Y1297" s="162" t="str">
        <f t="shared" si="239"/>
        <v/>
      </c>
      <c r="Z1297" s="94"/>
      <c r="AA1297" s="45"/>
    </row>
    <row r="1298" spans="1:27" s="43" customFormat="1" ht="21" customHeight="1" x14ac:dyDescent="0.25">
      <c r="A1298" s="44"/>
      <c r="B1298" s="365"/>
      <c r="C1298" s="365"/>
      <c r="D1298" s="365"/>
      <c r="E1298" s="365"/>
      <c r="F1298" s="365"/>
      <c r="G1298" s="365"/>
      <c r="H1298" s="365"/>
      <c r="I1298" s="365"/>
      <c r="J1298" s="365"/>
      <c r="K1298" s="365"/>
      <c r="L1298" s="61"/>
      <c r="M1298" s="45"/>
      <c r="N1298" s="88"/>
      <c r="O1298" s="89" t="s">
        <v>63</v>
      </c>
      <c r="P1298" s="89"/>
      <c r="Q1298" s="89"/>
      <c r="R1298" s="89">
        <v>0</v>
      </c>
      <c r="S1298" s="93"/>
      <c r="T1298" s="89" t="s">
        <v>63</v>
      </c>
      <c r="U1298" s="162" t="str">
        <f>IF($J$1="November","",Y1297)</f>
        <v/>
      </c>
      <c r="V1298" s="91"/>
      <c r="W1298" s="162" t="str">
        <f t="shared" si="238"/>
        <v/>
      </c>
      <c r="X1298" s="91"/>
      <c r="Y1298" s="162" t="str">
        <f t="shared" si="239"/>
        <v/>
      </c>
      <c r="Z1298" s="94"/>
      <c r="AA1298" s="45"/>
    </row>
    <row r="1299" spans="1:27" s="43" customFormat="1" ht="21" customHeight="1" thickBot="1" x14ac:dyDescent="0.3">
      <c r="A1299" s="74"/>
      <c r="B1299" s="75"/>
      <c r="C1299" s="75"/>
      <c r="D1299" s="75"/>
      <c r="E1299" s="75"/>
      <c r="F1299" s="75"/>
      <c r="G1299" s="75"/>
      <c r="H1299" s="75"/>
      <c r="I1299" s="75"/>
      <c r="J1299" s="75"/>
      <c r="K1299" s="75"/>
      <c r="L1299" s="76"/>
      <c r="N1299" s="95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7"/>
    </row>
    <row r="1300" spans="1:27" s="43" customFormat="1" ht="21" customHeight="1" x14ac:dyDescent="0.25">
      <c r="A1300" s="377" t="s">
        <v>45</v>
      </c>
      <c r="B1300" s="378"/>
      <c r="C1300" s="378"/>
      <c r="D1300" s="378"/>
      <c r="E1300" s="378"/>
      <c r="F1300" s="378"/>
      <c r="G1300" s="378"/>
      <c r="H1300" s="378"/>
      <c r="I1300" s="378"/>
      <c r="J1300" s="378"/>
      <c r="K1300" s="378"/>
      <c r="L1300" s="379"/>
      <c r="M1300" s="183"/>
      <c r="N1300" s="81"/>
      <c r="O1300" s="372" t="s">
        <v>47</v>
      </c>
      <c r="P1300" s="373"/>
      <c r="Q1300" s="373"/>
      <c r="R1300" s="374"/>
      <c r="S1300" s="82"/>
      <c r="T1300" s="372" t="s">
        <v>48</v>
      </c>
      <c r="U1300" s="373"/>
      <c r="V1300" s="373"/>
      <c r="W1300" s="373"/>
      <c r="X1300" s="373"/>
      <c r="Y1300" s="374"/>
      <c r="Z1300" s="83"/>
    </row>
    <row r="1301" spans="1:27" s="43" customFormat="1" ht="21" customHeight="1" x14ac:dyDescent="0.25">
      <c r="A1301" s="44"/>
      <c r="B1301" s="45"/>
      <c r="C1301" s="375" t="s">
        <v>101</v>
      </c>
      <c r="D1301" s="375"/>
      <c r="E1301" s="375"/>
      <c r="F1301" s="375"/>
      <c r="G1301" s="46" t="str">
        <f>$J$1</f>
        <v>October</v>
      </c>
      <c r="H1301" s="376">
        <f>$K$1</f>
        <v>2020</v>
      </c>
      <c r="I1301" s="376"/>
      <c r="J1301" s="45"/>
      <c r="K1301" s="47"/>
      <c r="L1301" s="48"/>
      <c r="M1301" s="47"/>
      <c r="N1301" s="84"/>
      <c r="O1301" s="85" t="s">
        <v>58</v>
      </c>
      <c r="P1301" s="85" t="s">
        <v>7</v>
      </c>
      <c r="Q1301" s="85" t="s">
        <v>6</v>
      </c>
      <c r="R1301" s="85" t="s">
        <v>59</v>
      </c>
      <c r="S1301" s="86"/>
      <c r="T1301" s="85" t="s">
        <v>58</v>
      </c>
      <c r="U1301" s="85" t="s">
        <v>60</v>
      </c>
      <c r="V1301" s="85" t="s">
        <v>23</v>
      </c>
      <c r="W1301" s="85" t="s">
        <v>22</v>
      </c>
      <c r="X1301" s="85" t="s">
        <v>24</v>
      </c>
      <c r="Y1301" s="85" t="s">
        <v>64</v>
      </c>
      <c r="Z1301" s="87"/>
    </row>
    <row r="1302" spans="1:27" s="43" customFormat="1" ht="21" customHeight="1" x14ac:dyDescent="0.25">
      <c r="A1302" s="44"/>
      <c r="B1302" s="45"/>
      <c r="C1302" s="45"/>
      <c r="D1302" s="50"/>
      <c r="E1302" s="50"/>
      <c r="F1302" s="50"/>
      <c r="G1302" s="50"/>
      <c r="H1302" s="50"/>
      <c r="I1302" s="45"/>
      <c r="J1302" s="51" t="s">
        <v>1</v>
      </c>
      <c r="K1302" s="52">
        <f>SUM(25000)-25000*0.25</f>
        <v>18750</v>
      </c>
      <c r="L1302" s="53"/>
      <c r="M1302" s="45"/>
      <c r="N1302" s="88"/>
      <c r="O1302" s="89" t="s">
        <v>50</v>
      </c>
      <c r="P1302" s="89">
        <v>31</v>
      </c>
      <c r="Q1302" s="89">
        <v>0</v>
      </c>
      <c r="R1302" s="89">
        <v>0</v>
      </c>
      <c r="S1302" s="90"/>
      <c r="T1302" s="89" t="s">
        <v>50</v>
      </c>
      <c r="U1302" s="91"/>
      <c r="V1302" s="91">
        <v>10000</v>
      </c>
      <c r="W1302" s="91">
        <f>V1302+U1302</f>
        <v>10000</v>
      </c>
      <c r="X1302" s="91"/>
      <c r="Y1302" s="91">
        <f>W1302-X1302</f>
        <v>10000</v>
      </c>
      <c r="Z1302" s="87"/>
    </row>
    <row r="1303" spans="1:27" s="43" customFormat="1" ht="21" customHeight="1" x14ac:dyDescent="0.25">
      <c r="A1303" s="44"/>
      <c r="B1303" s="45" t="s">
        <v>0</v>
      </c>
      <c r="C1303" s="100" t="s">
        <v>125</v>
      </c>
      <c r="D1303" s="45"/>
      <c r="E1303" s="45"/>
      <c r="F1303" s="45"/>
      <c r="G1303" s="45"/>
      <c r="H1303" s="56"/>
      <c r="I1303" s="50"/>
      <c r="J1303" s="45"/>
      <c r="K1303" s="45"/>
      <c r="L1303" s="57"/>
      <c r="M1303" s="183"/>
      <c r="N1303" s="92"/>
      <c r="O1303" s="89" t="s">
        <v>76</v>
      </c>
      <c r="P1303" s="89">
        <v>29</v>
      </c>
      <c r="Q1303" s="89">
        <v>0</v>
      </c>
      <c r="R1303" s="89">
        <v>0</v>
      </c>
      <c r="S1303" s="93"/>
      <c r="T1303" s="89" t="s">
        <v>76</v>
      </c>
      <c r="U1303" s="162">
        <f>IF($J$1="January","",Y1302)</f>
        <v>10000</v>
      </c>
      <c r="V1303" s="91"/>
      <c r="W1303" s="162">
        <f>IF(U1303="","",U1303+V1303)</f>
        <v>10000</v>
      </c>
      <c r="X1303" s="91">
        <v>2500</v>
      </c>
      <c r="Y1303" s="162">
        <f>IF(W1303="","",W1303-X1303)</f>
        <v>7500</v>
      </c>
      <c r="Z1303" s="94"/>
    </row>
    <row r="1304" spans="1:27" s="43" customFormat="1" ht="21" customHeight="1" x14ac:dyDescent="0.25">
      <c r="A1304" s="44"/>
      <c r="B1304" s="59" t="s">
        <v>46</v>
      </c>
      <c r="C1304" s="100"/>
      <c r="D1304" s="45"/>
      <c r="E1304" s="45"/>
      <c r="F1304" s="366" t="s">
        <v>48</v>
      </c>
      <c r="G1304" s="366"/>
      <c r="H1304" s="45"/>
      <c r="I1304" s="366" t="s">
        <v>49</v>
      </c>
      <c r="J1304" s="366"/>
      <c r="K1304" s="366"/>
      <c r="L1304" s="61"/>
      <c r="M1304" s="45"/>
      <c r="N1304" s="88"/>
      <c r="O1304" s="89" t="s">
        <v>51</v>
      </c>
      <c r="P1304" s="89">
        <v>30</v>
      </c>
      <c r="Q1304" s="89">
        <v>1</v>
      </c>
      <c r="R1304" s="89">
        <v>0</v>
      </c>
      <c r="S1304" s="93"/>
      <c r="T1304" s="89" t="s">
        <v>51</v>
      </c>
      <c r="U1304" s="162">
        <f>IF($J$1="February","",Y1303)</f>
        <v>7500</v>
      </c>
      <c r="V1304" s="91"/>
      <c r="W1304" s="162">
        <f t="shared" ref="W1304:W1313" si="241">IF(U1304="","",U1304+V1304)</f>
        <v>7500</v>
      </c>
      <c r="X1304" s="91"/>
      <c r="Y1304" s="162">
        <f t="shared" ref="Y1304:Y1313" si="242">IF(W1304="","",W1304-X1304)</f>
        <v>7500</v>
      </c>
      <c r="Z1304" s="94"/>
    </row>
    <row r="1305" spans="1:27" s="43" customFormat="1" ht="21" customHeight="1" x14ac:dyDescent="0.25">
      <c r="A1305" s="44"/>
      <c r="B1305" s="45"/>
      <c r="C1305" s="45"/>
      <c r="D1305" s="45"/>
      <c r="E1305" s="45"/>
      <c r="F1305" s="45"/>
      <c r="G1305" s="45"/>
      <c r="H1305" s="62"/>
      <c r="L1305" s="49"/>
      <c r="M1305" s="45"/>
      <c r="N1305" s="88"/>
      <c r="O1305" s="89" t="s">
        <v>52</v>
      </c>
      <c r="P1305" s="89">
        <v>28</v>
      </c>
      <c r="Q1305" s="89">
        <v>2</v>
      </c>
      <c r="R1305" s="89">
        <v>0</v>
      </c>
      <c r="S1305" s="93"/>
      <c r="T1305" s="89" t="s">
        <v>52</v>
      </c>
      <c r="U1305" s="162">
        <f>IF($J$1="March","",Y1304)</f>
        <v>7500</v>
      </c>
      <c r="V1305" s="91"/>
      <c r="W1305" s="162">
        <f t="shared" si="241"/>
        <v>7500</v>
      </c>
      <c r="X1305" s="91">
        <v>1000</v>
      </c>
      <c r="Y1305" s="162">
        <f t="shared" si="242"/>
        <v>6500</v>
      </c>
      <c r="Z1305" s="94"/>
    </row>
    <row r="1306" spans="1:27" s="43" customFormat="1" ht="21" customHeight="1" x14ac:dyDescent="0.25">
      <c r="A1306" s="44"/>
      <c r="B1306" s="367" t="s">
        <v>47</v>
      </c>
      <c r="C1306" s="368"/>
      <c r="D1306" s="45"/>
      <c r="E1306" s="45"/>
      <c r="F1306" s="63" t="s">
        <v>69</v>
      </c>
      <c r="G1306" s="58">
        <f>IF($J$1="January",U1302,IF($J$1="February",U1303,IF($J$1="March",U1304,IF($J$1="April",U1305,IF($J$1="May",U1306,IF($J$1="June",U1307,IF($J$1="July",U1308,IF($J$1="August",U1309,IF($J$1="August",U1309,IF($J$1="September",U1310,IF($J$1="October",U1311,IF($J$1="November",U1312,IF($J$1="December",U1313)))))))))))))</f>
        <v>1500</v>
      </c>
      <c r="H1306" s="62"/>
      <c r="I1306" s="64">
        <f>IF(C1310&gt;0,$K$2,C1308)</f>
        <v>31</v>
      </c>
      <c r="J1306" s="65" t="s">
        <v>66</v>
      </c>
      <c r="K1306" s="66">
        <f>K1302/$K$2*I1306</f>
        <v>18750</v>
      </c>
      <c r="L1306" s="67"/>
      <c r="M1306" s="45"/>
      <c r="N1306" s="88"/>
      <c r="O1306" s="89" t="s">
        <v>53</v>
      </c>
      <c r="P1306" s="89">
        <v>31</v>
      </c>
      <c r="Q1306" s="89">
        <v>0</v>
      </c>
      <c r="R1306" s="89">
        <v>0</v>
      </c>
      <c r="S1306" s="93"/>
      <c r="T1306" s="89" t="s">
        <v>53</v>
      </c>
      <c r="U1306" s="162">
        <f>IF($J$1="April","",Y1305)</f>
        <v>6500</v>
      </c>
      <c r="V1306" s="91"/>
      <c r="W1306" s="162">
        <f t="shared" si="241"/>
        <v>6500</v>
      </c>
      <c r="X1306" s="91">
        <v>1000</v>
      </c>
      <c r="Y1306" s="162">
        <f t="shared" si="242"/>
        <v>5500</v>
      </c>
      <c r="Z1306" s="94"/>
    </row>
    <row r="1307" spans="1:27" s="43" customFormat="1" ht="21" customHeight="1" x14ac:dyDescent="0.25">
      <c r="A1307" s="44"/>
      <c r="B1307" s="54"/>
      <c r="C1307" s="54"/>
      <c r="D1307" s="45"/>
      <c r="E1307" s="45"/>
      <c r="F1307" s="63" t="s">
        <v>23</v>
      </c>
      <c r="G1307" s="58">
        <f>IF($J$1="January",V1302,IF($J$1="February",V1303,IF($J$1="March",V1304,IF($J$1="April",V1305,IF($J$1="May",V1306,IF($J$1="June",V1307,IF($J$1="July",V1308,IF($J$1="August",V1309,IF($J$1="August",V1309,IF($J$1="September",V1310,IF($J$1="October",V1311,IF($J$1="November",V1312,IF($J$1="December",V1313)))))))))))))</f>
        <v>0</v>
      </c>
      <c r="H1307" s="62"/>
      <c r="I1307" s="108">
        <v>48</v>
      </c>
      <c r="J1307" s="65" t="s">
        <v>67</v>
      </c>
      <c r="K1307" s="68">
        <f>K1302/$K$2/8*I1307</f>
        <v>3629.0322580645161</v>
      </c>
      <c r="L1307" s="69"/>
      <c r="M1307" s="45"/>
      <c r="N1307" s="88"/>
      <c r="O1307" s="89" t="s">
        <v>54</v>
      </c>
      <c r="P1307" s="89">
        <v>30</v>
      </c>
      <c r="Q1307" s="89">
        <v>0</v>
      </c>
      <c r="R1307" s="89">
        <v>0</v>
      </c>
      <c r="S1307" s="93"/>
      <c r="T1307" s="89" t="s">
        <v>54</v>
      </c>
      <c r="U1307" s="162">
        <f>IF($J$1="May","",Y1306)</f>
        <v>5500</v>
      </c>
      <c r="V1307" s="91"/>
      <c r="W1307" s="162">
        <f t="shared" si="241"/>
        <v>5500</v>
      </c>
      <c r="X1307" s="91">
        <v>1000</v>
      </c>
      <c r="Y1307" s="162">
        <f t="shared" si="242"/>
        <v>4500</v>
      </c>
      <c r="Z1307" s="94"/>
    </row>
    <row r="1308" spans="1:27" s="43" customFormat="1" ht="21" customHeight="1" x14ac:dyDescent="0.25">
      <c r="A1308" s="44"/>
      <c r="B1308" s="63" t="s">
        <v>7</v>
      </c>
      <c r="C1308" s="54">
        <f>IF($J$1="January",P1302,IF($J$1="February",P1303,IF($J$1="March",P1304,IF($J$1="April",P1305,IF($J$1="May",P1306,IF($J$1="June",P1307,IF($J$1="July",P1308,IF($J$1="August",P1309,IF($J$1="August",P1309,IF($J$1="September",P1310,IF($J$1="October",P1311,IF($J$1="November",P1312,IF($J$1="December",P1313)))))))))))))</f>
        <v>31</v>
      </c>
      <c r="D1308" s="45"/>
      <c r="E1308" s="45"/>
      <c r="F1308" s="63" t="s">
        <v>70</v>
      </c>
      <c r="G1308" s="58">
        <f>IF($J$1="January",W1302,IF($J$1="February",W1303,IF($J$1="March",W1304,IF($J$1="April",W1305,IF($J$1="May",W1306,IF($J$1="June",W1307,IF($J$1="July",W1308,IF($J$1="August",W1309,IF($J$1="August",W1309,IF($J$1="September",W1310,IF($J$1="October",W1311,IF($J$1="November",W1312,IF($J$1="December",W1313)))))))))))))</f>
        <v>1500</v>
      </c>
      <c r="H1308" s="62"/>
      <c r="I1308" s="361" t="s">
        <v>74</v>
      </c>
      <c r="J1308" s="362"/>
      <c r="K1308" s="68">
        <f>K1306+K1307</f>
        <v>22379.032258064515</v>
      </c>
      <c r="L1308" s="69"/>
      <c r="M1308" s="45"/>
      <c r="N1308" s="88"/>
      <c r="O1308" s="89" t="s">
        <v>55</v>
      </c>
      <c r="P1308" s="89">
        <v>28</v>
      </c>
      <c r="Q1308" s="89">
        <v>3</v>
      </c>
      <c r="R1308" s="89">
        <v>0</v>
      </c>
      <c r="S1308" s="93"/>
      <c r="T1308" s="89" t="s">
        <v>55</v>
      </c>
      <c r="U1308" s="162">
        <f>IF($J$1="June","",Y1307)</f>
        <v>4500</v>
      </c>
      <c r="V1308" s="91"/>
      <c r="W1308" s="162">
        <f t="shared" si="241"/>
        <v>4500</v>
      </c>
      <c r="X1308" s="91">
        <v>1500</v>
      </c>
      <c r="Y1308" s="162">
        <f t="shared" si="242"/>
        <v>3000</v>
      </c>
      <c r="Z1308" s="94"/>
    </row>
    <row r="1309" spans="1:27" s="43" customFormat="1" ht="21" customHeight="1" x14ac:dyDescent="0.25">
      <c r="A1309" s="44"/>
      <c r="B1309" s="63" t="s">
        <v>6</v>
      </c>
      <c r="C1309" s="54">
        <f>IF($J$1="January",Q1302,IF($J$1="February",Q1303,IF($J$1="March",Q1304,IF($J$1="April",Q1305,IF($J$1="May",Q1306,IF($J$1="June",Q1307,IF($J$1="July",Q1308,IF($J$1="August",Q1309,IF($J$1="August",Q1309,IF($J$1="September",Q1310,IF($J$1="October",Q1311,IF($J$1="November",Q1312,IF($J$1="December",Q1313)))))))))))))</f>
        <v>0</v>
      </c>
      <c r="D1309" s="45"/>
      <c r="E1309" s="45"/>
      <c r="F1309" s="63" t="s">
        <v>24</v>
      </c>
      <c r="G1309" s="58">
        <f>IF($J$1="January",X1302,IF($J$1="February",X1303,IF($J$1="March",X1304,IF($J$1="April",X1305,IF($J$1="May",X1306,IF($J$1="June",X1307,IF($J$1="July",X1308,IF($J$1="August",X1309,IF($J$1="August",X1309,IF($J$1="September",X1310,IF($J$1="October",X1311,IF($J$1="November",X1312,IF($J$1="December",X1313)))))))))))))</f>
        <v>1500</v>
      </c>
      <c r="H1309" s="62"/>
      <c r="I1309" s="361" t="s">
        <v>75</v>
      </c>
      <c r="J1309" s="362"/>
      <c r="K1309" s="58">
        <f>G1309</f>
        <v>1500</v>
      </c>
      <c r="L1309" s="70"/>
      <c r="M1309" s="45"/>
      <c r="N1309" s="88"/>
      <c r="O1309" s="89" t="s">
        <v>56</v>
      </c>
      <c r="P1309" s="89">
        <v>31</v>
      </c>
      <c r="Q1309" s="89">
        <v>0</v>
      </c>
      <c r="R1309" s="89">
        <v>0</v>
      </c>
      <c r="S1309" s="93"/>
      <c r="T1309" s="89" t="s">
        <v>56</v>
      </c>
      <c r="U1309" s="162">
        <f>IF($J$1="July","",Y1308)</f>
        <v>3000</v>
      </c>
      <c r="V1309" s="91"/>
      <c r="W1309" s="162">
        <f t="shared" si="241"/>
        <v>3000</v>
      </c>
      <c r="X1309" s="91"/>
      <c r="Y1309" s="162">
        <f t="shared" si="242"/>
        <v>3000</v>
      </c>
      <c r="Z1309" s="94"/>
    </row>
    <row r="1310" spans="1:27" s="43" customFormat="1" ht="21" customHeight="1" x14ac:dyDescent="0.25">
      <c r="A1310" s="44"/>
      <c r="B1310" s="71" t="s">
        <v>73</v>
      </c>
      <c r="C1310" s="54">
        <f>IF($J$1="January",R1302,IF($J$1="February",R1303,IF($J$1="March",R1304,IF($J$1="April",R1305,IF($J$1="May",R1306,IF($J$1="June",R1307,IF($J$1="July",R1308,IF($J$1="August",R1309,IF($J$1="August",R1309,IF($J$1="September",R1310,IF($J$1="October",R1311,IF($J$1="November",R1312,IF($J$1="December",R1313)))))))))))))</f>
        <v>0</v>
      </c>
      <c r="D1310" s="45"/>
      <c r="E1310" s="45"/>
      <c r="F1310" s="63" t="s">
        <v>257</v>
      </c>
      <c r="G1310" s="58">
        <f>IF($J$1="January",Y1302,IF($J$1="February",Y1303,IF($J$1="March",Y1304,IF($J$1="April",Y1305,IF($J$1="May",Y1306,IF($J$1="June",Y1307,IF($J$1="July",Y1308,IF($J$1="August",Y1309,IF($J$1="August",Y1309,IF($J$1="September",Y1310,IF($J$1="October",Y1311,IF($J$1="November",Y1312,IF($J$1="December",Y1313)))))))))))))</f>
        <v>0</v>
      </c>
      <c r="H1310" s="45"/>
      <c r="I1310" s="363" t="s">
        <v>68</v>
      </c>
      <c r="J1310" s="364"/>
      <c r="K1310" s="72">
        <f>K1308-K1309</f>
        <v>20879.032258064515</v>
      </c>
      <c r="L1310" s="73"/>
      <c r="M1310" s="45"/>
      <c r="N1310" s="88"/>
      <c r="O1310" s="89" t="s">
        <v>61</v>
      </c>
      <c r="P1310" s="89">
        <v>30</v>
      </c>
      <c r="Q1310" s="89">
        <v>0</v>
      </c>
      <c r="R1310" s="89">
        <f>IF(Q1310="","",R1309-Q1310)</f>
        <v>0</v>
      </c>
      <c r="S1310" s="93"/>
      <c r="T1310" s="89" t="s">
        <v>61</v>
      </c>
      <c r="U1310" s="162">
        <f>IF($J$1="August","",Y1309)</f>
        <v>3000</v>
      </c>
      <c r="V1310" s="91"/>
      <c r="W1310" s="162">
        <f t="shared" si="241"/>
        <v>3000</v>
      </c>
      <c r="X1310" s="91">
        <v>1500</v>
      </c>
      <c r="Y1310" s="162">
        <f t="shared" si="242"/>
        <v>1500</v>
      </c>
      <c r="Z1310" s="94"/>
    </row>
    <row r="1311" spans="1:27" s="43" customFormat="1" ht="21" customHeight="1" x14ac:dyDescent="0.25">
      <c r="A1311" s="44"/>
      <c r="B1311" s="45"/>
      <c r="C1311" s="45"/>
      <c r="D1311" s="45"/>
      <c r="E1311" s="45"/>
      <c r="F1311" s="45"/>
      <c r="G1311" s="45"/>
      <c r="H1311" s="45"/>
      <c r="I1311" s="45"/>
      <c r="J1311" s="45"/>
      <c r="K1311" s="177"/>
      <c r="L1311" s="61"/>
      <c r="M1311" s="45"/>
      <c r="N1311" s="88"/>
      <c r="O1311" s="89" t="s">
        <v>57</v>
      </c>
      <c r="P1311" s="89">
        <v>31</v>
      </c>
      <c r="Q1311" s="89">
        <v>0</v>
      </c>
      <c r="R1311" s="89">
        <v>0</v>
      </c>
      <c r="S1311" s="93"/>
      <c r="T1311" s="89" t="s">
        <v>57</v>
      </c>
      <c r="U1311" s="162">
        <f>IF($J$1="September","",Y1310)</f>
        <v>1500</v>
      </c>
      <c r="V1311" s="91"/>
      <c r="W1311" s="162">
        <f t="shared" si="241"/>
        <v>1500</v>
      </c>
      <c r="X1311" s="91">
        <v>1500</v>
      </c>
      <c r="Y1311" s="162">
        <f t="shared" si="242"/>
        <v>0</v>
      </c>
      <c r="Z1311" s="94"/>
    </row>
    <row r="1312" spans="1:27" s="43" customFormat="1" ht="21" customHeight="1" x14ac:dyDescent="0.25">
      <c r="A1312" s="44"/>
      <c r="B1312" s="365" t="s">
        <v>103</v>
      </c>
      <c r="C1312" s="365"/>
      <c r="D1312" s="365"/>
      <c r="E1312" s="365"/>
      <c r="F1312" s="365"/>
      <c r="G1312" s="365"/>
      <c r="H1312" s="365"/>
      <c r="I1312" s="365"/>
      <c r="J1312" s="365"/>
      <c r="K1312" s="365"/>
      <c r="L1312" s="61"/>
      <c r="M1312" s="45"/>
      <c r="N1312" s="88"/>
      <c r="O1312" s="89" t="s">
        <v>62</v>
      </c>
      <c r="P1312" s="89"/>
      <c r="Q1312" s="89"/>
      <c r="R1312" s="89">
        <v>0</v>
      </c>
      <c r="S1312" s="93"/>
      <c r="T1312" s="89" t="s">
        <v>62</v>
      </c>
      <c r="U1312" s="162" t="str">
        <f>IF($J$1="October","",Y1311)</f>
        <v/>
      </c>
      <c r="V1312" s="91"/>
      <c r="W1312" s="162" t="str">
        <f t="shared" si="241"/>
        <v/>
      </c>
      <c r="X1312" s="91"/>
      <c r="Y1312" s="162" t="str">
        <f t="shared" si="242"/>
        <v/>
      </c>
      <c r="Z1312" s="94"/>
    </row>
    <row r="1313" spans="1:26" s="43" customFormat="1" ht="21" customHeight="1" x14ac:dyDescent="0.25">
      <c r="A1313" s="44"/>
      <c r="B1313" s="365"/>
      <c r="C1313" s="365"/>
      <c r="D1313" s="365"/>
      <c r="E1313" s="365"/>
      <c r="F1313" s="365"/>
      <c r="G1313" s="365"/>
      <c r="H1313" s="365"/>
      <c r="I1313" s="365"/>
      <c r="J1313" s="365"/>
      <c r="K1313" s="365"/>
      <c r="L1313" s="61"/>
      <c r="M1313" s="45"/>
      <c r="N1313" s="88"/>
      <c r="O1313" s="89" t="s">
        <v>63</v>
      </c>
      <c r="P1313" s="89"/>
      <c r="Q1313" s="89"/>
      <c r="R1313" s="89" t="str">
        <f>IF(Q1313="","",R1312-Q1313)</f>
        <v/>
      </c>
      <c r="S1313" s="93"/>
      <c r="T1313" s="89" t="s">
        <v>63</v>
      </c>
      <c r="U1313" s="162" t="str">
        <f>IF($J$1="November","",Y1312)</f>
        <v/>
      </c>
      <c r="V1313" s="91"/>
      <c r="W1313" s="162" t="str">
        <f t="shared" si="241"/>
        <v/>
      </c>
      <c r="X1313" s="91"/>
      <c r="Y1313" s="162" t="str">
        <f t="shared" si="242"/>
        <v/>
      </c>
      <c r="Z1313" s="94"/>
    </row>
    <row r="1314" spans="1:26" s="43" customFormat="1" ht="21" customHeight="1" thickBot="1" x14ac:dyDescent="0.3">
      <c r="A1314" s="74"/>
      <c r="B1314" s="75"/>
      <c r="C1314" s="75"/>
      <c r="D1314" s="75"/>
      <c r="E1314" s="75"/>
      <c r="F1314" s="75"/>
      <c r="G1314" s="75"/>
      <c r="H1314" s="75"/>
      <c r="I1314" s="75"/>
      <c r="J1314" s="75"/>
      <c r="K1314" s="75"/>
      <c r="L1314" s="76"/>
      <c r="N1314" s="95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7"/>
    </row>
    <row r="1315" spans="1:26" s="43" customFormat="1" ht="21" customHeight="1" x14ac:dyDescent="0.25">
      <c r="A1315" s="380" t="s">
        <v>45</v>
      </c>
      <c r="B1315" s="381"/>
      <c r="C1315" s="381"/>
      <c r="D1315" s="381"/>
      <c r="E1315" s="381"/>
      <c r="F1315" s="381"/>
      <c r="G1315" s="381"/>
      <c r="H1315" s="381"/>
      <c r="I1315" s="381"/>
      <c r="J1315" s="381"/>
      <c r="K1315" s="381"/>
      <c r="L1315" s="382"/>
      <c r="M1315" s="183"/>
      <c r="N1315" s="81"/>
      <c r="O1315" s="372" t="s">
        <v>47</v>
      </c>
      <c r="P1315" s="373"/>
      <c r="Q1315" s="373"/>
      <c r="R1315" s="374"/>
      <c r="S1315" s="82"/>
      <c r="T1315" s="372" t="s">
        <v>48</v>
      </c>
      <c r="U1315" s="373"/>
      <c r="V1315" s="373"/>
      <c r="W1315" s="373"/>
      <c r="X1315" s="373"/>
      <c r="Y1315" s="374"/>
      <c r="Z1315" s="83"/>
    </row>
    <row r="1316" spans="1:26" s="43" customFormat="1" ht="21" customHeight="1" x14ac:dyDescent="0.25">
      <c r="A1316" s="44"/>
      <c r="B1316" s="45"/>
      <c r="C1316" s="375" t="s">
        <v>101</v>
      </c>
      <c r="D1316" s="375"/>
      <c r="E1316" s="375"/>
      <c r="F1316" s="375"/>
      <c r="G1316" s="46" t="str">
        <f>$J$1</f>
        <v>October</v>
      </c>
      <c r="H1316" s="376">
        <f>$K$1</f>
        <v>2020</v>
      </c>
      <c r="I1316" s="376"/>
      <c r="J1316" s="45"/>
      <c r="K1316" s="47"/>
      <c r="L1316" s="48"/>
      <c r="M1316" s="47"/>
      <c r="N1316" s="84"/>
      <c r="O1316" s="85" t="s">
        <v>58</v>
      </c>
      <c r="P1316" s="85" t="s">
        <v>7</v>
      </c>
      <c r="Q1316" s="85" t="s">
        <v>6</v>
      </c>
      <c r="R1316" s="85" t="s">
        <v>59</v>
      </c>
      <c r="S1316" s="86"/>
      <c r="T1316" s="85" t="s">
        <v>58</v>
      </c>
      <c r="U1316" s="85" t="s">
        <v>60</v>
      </c>
      <c r="V1316" s="85" t="s">
        <v>23</v>
      </c>
      <c r="W1316" s="85" t="s">
        <v>22</v>
      </c>
      <c r="X1316" s="85" t="s">
        <v>24</v>
      </c>
      <c r="Y1316" s="85" t="s">
        <v>64</v>
      </c>
      <c r="Z1316" s="87"/>
    </row>
    <row r="1317" spans="1:26" s="43" customFormat="1" ht="21" customHeight="1" x14ac:dyDescent="0.25">
      <c r="A1317" s="44"/>
      <c r="B1317" s="45"/>
      <c r="C1317" s="45"/>
      <c r="D1317" s="50"/>
      <c r="E1317" s="50"/>
      <c r="F1317" s="50"/>
      <c r="G1317" s="50"/>
      <c r="H1317" s="50"/>
      <c r="I1317" s="45"/>
      <c r="J1317" s="51" t="s">
        <v>1</v>
      </c>
      <c r="K1317" s="52">
        <v>13500</v>
      </c>
      <c r="L1317" s="53"/>
      <c r="M1317" s="45"/>
      <c r="N1317" s="88"/>
      <c r="O1317" s="89" t="s">
        <v>50</v>
      </c>
      <c r="P1317" s="89"/>
      <c r="Q1317" s="89"/>
      <c r="R1317" s="89">
        <v>0</v>
      </c>
      <c r="S1317" s="90"/>
      <c r="T1317" s="89" t="s">
        <v>50</v>
      </c>
      <c r="U1317" s="91"/>
      <c r="V1317" s="91"/>
      <c r="W1317" s="91">
        <f>V1317+U1317</f>
        <v>0</v>
      </c>
      <c r="X1317" s="91"/>
      <c r="Y1317" s="91">
        <f>W1317-X1317</f>
        <v>0</v>
      </c>
      <c r="Z1317" s="87"/>
    </row>
    <row r="1318" spans="1:26" s="43" customFormat="1" ht="21" customHeight="1" x14ac:dyDescent="0.25">
      <c r="A1318" s="44"/>
      <c r="B1318" s="45" t="s">
        <v>0</v>
      </c>
      <c r="C1318" s="100" t="s">
        <v>242</v>
      </c>
      <c r="D1318" s="45"/>
      <c r="E1318" s="45"/>
      <c r="F1318" s="45"/>
      <c r="G1318" s="45"/>
      <c r="H1318" s="56"/>
      <c r="I1318" s="50"/>
      <c r="J1318" s="45"/>
      <c r="K1318" s="45"/>
      <c r="L1318" s="57"/>
      <c r="M1318" s="183"/>
      <c r="N1318" s="92"/>
      <c r="O1318" s="89" t="s">
        <v>76</v>
      </c>
      <c r="P1318" s="89"/>
      <c r="Q1318" s="89"/>
      <c r="R1318" s="89">
        <v>0</v>
      </c>
      <c r="S1318" s="93"/>
      <c r="T1318" s="89" t="s">
        <v>76</v>
      </c>
      <c r="U1318" s="162">
        <f>Y1317</f>
        <v>0</v>
      </c>
      <c r="V1318" s="91"/>
      <c r="W1318" s="162">
        <f>IF(U1318="","",U1318+V1318)</f>
        <v>0</v>
      </c>
      <c r="X1318" s="91"/>
      <c r="Y1318" s="162">
        <f>IF(W1318="","",W1318-X1318)</f>
        <v>0</v>
      </c>
      <c r="Z1318" s="94"/>
    </row>
    <row r="1319" spans="1:26" s="43" customFormat="1" ht="21" customHeight="1" x14ac:dyDescent="0.25">
      <c r="A1319" s="44"/>
      <c r="B1319" s="59" t="s">
        <v>46</v>
      </c>
      <c r="C1319" s="100"/>
      <c r="D1319" s="45"/>
      <c r="E1319" s="45"/>
      <c r="F1319" s="366" t="s">
        <v>48</v>
      </c>
      <c r="G1319" s="366"/>
      <c r="H1319" s="45"/>
      <c r="I1319" s="366" t="s">
        <v>49</v>
      </c>
      <c r="J1319" s="366"/>
      <c r="K1319" s="366"/>
      <c r="L1319" s="61"/>
      <c r="M1319" s="45"/>
      <c r="N1319" s="88"/>
      <c r="O1319" s="89" t="s">
        <v>51</v>
      </c>
      <c r="P1319" s="89"/>
      <c r="Q1319" s="89"/>
      <c r="R1319" s="89">
        <v>0</v>
      </c>
      <c r="S1319" s="93"/>
      <c r="T1319" s="89" t="s">
        <v>51</v>
      </c>
      <c r="U1319" s="162">
        <f>IF($J$1="April",Y1318,Y1318)</f>
        <v>0</v>
      </c>
      <c r="V1319" s="91"/>
      <c r="W1319" s="162">
        <f t="shared" ref="W1319:W1328" si="243">IF(U1319="","",U1319+V1319)</f>
        <v>0</v>
      </c>
      <c r="X1319" s="91"/>
      <c r="Y1319" s="162">
        <f t="shared" ref="Y1319:Y1328" si="244">IF(W1319="","",W1319-X1319)</f>
        <v>0</v>
      </c>
      <c r="Z1319" s="94"/>
    </row>
    <row r="1320" spans="1:26" s="43" customFormat="1" ht="21" customHeight="1" x14ac:dyDescent="0.25">
      <c r="A1320" s="44"/>
      <c r="B1320" s="45"/>
      <c r="C1320" s="45"/>
      <c r="D1320" s="45"/>
      <c r="E1320" s="45"/>
      <c r="F1320" s="45"/>
      <c r="G1320" s="45"/>
      <c r="H1320" s="62"/>
      <c r="L1320" s="49"/>
      <c r="M1320" s="45"/>
      <c r="N1320" s="88"/>
      <c r="O1320" s="89" t="s">
        <v>52</v>
      </c>
      <c r="P1320" s="89"/>
      <c r="Q1320" s="89"/>
      <c r="R1320" s="89">
        <v>0</v>
      </c>
      <c r="S1320" s="93"/>
      <c r="T1320" s="89" t="s">
        <v>52</v>
      </c>
      <c r="U1320" s="162">
        <f>IF($J$1="April",Y1319,Y1319)</f>
        <v>0</v>
      </c>
      <c r="V1320" s="91"/>
      <c r="W1320" s="162">
        <f t="shared" si="243"/>
        <v>0</v>
      </c>
      <c r="X1320" s="91"/>
      <c r="Y1320" s="162">
        <f t="shared" si="244"/>
        <v>0</v>
      </c>
      <c r="Z1320" s="94"/>
    </row>
    <row r="1321" spans="1:26" s="43" customFormat="1" ht="21" customHeight="1" x14ac:dyDescent="0.25">
      <c r="A1321" s="44"/>
      <c r="B1321" s="367" t="s">
        <v>47</v>
      </c>
      <c r="C1321" s="368"/>
      <c r="D1321" s="45"/>
      <c r="E1321" s="45"/>
      <c r="F1321" s="63" t="s">
        <v>69</v>
      </c>
      <c r="G1321" s="58">
        <f>IF($J$1="January",U1317,IF($J$1="February",U1318,IF($J$1="March",U1319,IF($J$1="April",U1320,IF($J$1="May",U1321,IF($J$1="June",U1322,IF($J$1="July",U1323,IF($J$1="August",U1324,IF($J$1="August",U1324,IF($J$1="September",U1325,IF($J$1="October",U1326,IF($J$1="November",U1327,IF($J$1="December",U1328)))))))))))))</f>
        <v>0</v>
      </c>
      <c r="H1321" s="62"/>
      <c r="I1321" s="64">
        <f>IF(C1325&gt;0,$K$2,C1323)</f>
        <v>31</v>
      </c>
      <c r="J1321" s="65" t="s">
        <v>66</v>
      </c>
      <c r="K1321" s="66">
        <f>K1317/$K$2*I1321</f>
        <v>13500</v>
      </c>
      <c r="L1321" s="67"/>
      <c r="M1321" s="45"/>
      <c r="N1321" s="88"/>
      <c r="O1321" s="89" t="s">
        <v>53</v>
      </c>
      <c r="P1321" s="89"/>
      <c r="Q1321" s="89"/>
      <c r="R1321" s="89">
        <v>0</v>
      </c>
      <c r="S1321" s="93"/>
      <c r="T1321" s="89" t="s">
        <v>53</v>
      </c>
      <c r="U1321" s="162">
        <f>IF($J$1="May",Y1320,Y1320)</f>
        <v>0</v>
      </c>
      <c r="V1321" s="91"/>
      <c r="W1321" s="162">
        <f t="shared" si="243"/>
        <v>0</v>
      </c>
      <c r="X1321" s="91"/>
      <c r="Y1321" s="162">
        <f t="shared" si="244"/>
        <v>0</v>
      </c>
      <c r="Z1321" s="94"/>
    </row>
    <row r="1322" spans="1:26" s="43" customFormat="1" ht="21" customHeight="1" x14ac:dyDescent="0.25">
      <c r="A1322" s="44"/>
      <c r="B1322" s="54"/>
      <c r="C1322" s="54"/>
      <c r="D1322" s="45"/>
      <c r="E1322" s="45"/>
      <c r="F1322" s="63" t="s">
        <v>23</v>
      </c>
      <c r="G1322" s="58">
        <f>IF($J$1="January",V1317,IF($J$1="February",V1318,IF($J$1="March",V1319,IF($J$1="April",V1320,IF($J$1="May",V1321,IF($J$1="June",V1322,IF($J$1="July",V1323,IF($J$1="August",V1324,IF($J$1="August",V1324,IF($J$1="September",V1325,IF($J$1="October",V1326,IF($J$1="November",V1327,IF($J$1="December",V1328)))))))))))))</f>
        <v>0</v>
      </c>
      <c r="H1322" s="62"/>
      <c r="I1322" s="108"/>
      <c r="J1322" s="65" t="s">
        <v>67</v>
      </c>
      <c r="K1322" s="68">
        <f>K1317/$K$2/8*I1322</f>
        <v>0</v>
      </c>
      <c r="L1322" s="69"/>
      <c r="M1322" s="45"/>
      <c r="N1322" s="88"/>
      <c r="O1322" s="89" t="s">
        <v>54</v>
      </c>
      <c r="P1322" s="89"/>
      <c r="Q1322" s="89"/>
      <c r="R1322" s="89">
        <v>0</v>
      </c>
      <c r="S1322" s="93"/>
      <c r="T1322" s="89" t="s">
        <v>54</v>
      </c>
      <c r="U1322" s="162">
        <f>IF($J$1="May",Y1321,Y1321)</f>
        <v>0</v>
      </c>
      <c r="V1322" s="91"/>
      <c r="W1322" s="162">
        <f t="shared" si="243"/>
        <v>0</v>
      </c>
      <c r="X1322" s="91"/>
      <c r="Y1322" s="162">
        <f t="shared" si="244"/>
        <v>0</v>
      </c>
      <c r="Z1322" s="94"/>
    </row>
    <row r="1323" spans="1:26" s="43" customFormat="1" ht="21" customHeight="1" x14ac:dyDescent="0.25">
      <c r="A1323" s="44"/>
      <c r="B1323" s="63" t="s">
        <v>7</v>
      </c>
      <c r="C1323" s="54">
        <f>IF($J$1="January",P1317,IF($J$1="February",P1318,IF($J$1="March",P1319,IF($J$1="April",P1320,IF($J$1="May",P1321,IF($J$1="June",P1322,IF($J$1="July",P1323,IF($J$1="August",P1324,IF($J$1="August",P1324,IF($J$1="September",P1325,IF($J$1="October",P1326,IF($J$1="November",P1327,IF($J$1="December",P1328)))))))))))))</f>
        <v>31</v>
      </c>
      <c r="D1323" s="45"/>
      <c r="E1323" s="45"/>
      <c r="F1323" s="63" t="s">
        <v>70</v>
      </c>
      <c r="G1323" s="58" t="str">
        <f>IF($J$1="January",W1317,IF($J$1="February",W1318,IF($J$1="March",W1319,IF($J$1="April",W1320,IF($J$1="May",W1321,IF($J$1="June",W1322,IF($J$1="July",W1323,IF($J$1="August",W1324,IF($J$1="August",W1324,IF($J$1="September",W1325,IF($J$1="October",W1326,IF($J$1="November",W1327,IF($J$1="December",W1328)))))))))))))</f>
        <v/>
      </c>
      <c r="H1323" s="62"/>
      <c r="I1323" s="361" t="s">
        <v>74</v>
      </c>
      <c r="J1323" s="362"/>
      <c r="K1323" s="68">
        <f>K1321+K1322</f>
        <v>13500</v>
      </c>
      <c r="L1323" s="69"/>
      <c r="M1323" s="45"/>
      <c r="N1323" s="88"/>
      <c r="O1323" s="89" t="s">
        <v>55</v>
      </c>
      <c r="P1323" s="89"/>
      <c r="Q1323" s="89"/>
      <c r="R1323" s="89">
        <v>0</v>
      </c>
      <c r="S1323" s="93"/>
      <c r="T1323" s="89" t="s">
        <v>55</v>
      </c>
      <c r="U1323" s="162">
        <f>IF($J$1="May",Y1322,Y1322)</f>
        <v>0</v>
      </c>
      <c r="V1323" s="91"/>
      <c r="W1323" s="162">
        <f t="shared" si="243"/>
        <v>0</v>
      </c>
      <c r="X1323" s="91"/>
      <c r="Y1323" s="162">
        <f t="shared" si="244"/>
        <v>0</v>
      </c>
      <c r="Z1323" s="94"/>
    </row>
    <row r="1324" spans="1:26" s="43" customFormat="1" ht="21" customHeight="1" x14ac:dyDescent="0.25">
      <c r="A1324" s="44"/>
      <c r="B1324" s="63" t="s">
        <v>6</v>
      </c>
      <c r="C1324" s="54">
        <f>IF($J$1="January",Q1317,IF($J$1="February",Q1318,IF($J$1="March",Q1319,IF($J$1="April",Q1320,IF($J$1="May",Q1321,IF($J$1="June",Q1322,IF($J$1="July",Q1323,IF($J$1="August",Q1324,IF($J$1="August",Q1324,IF($J$1="September",Q1325,IF($J$1="October",Q1326,IF($J$1="November",Q1327,IF($J$1="December",Q1328)))))))))))))</f>
        <v>0</v>
      </c>
      <c r="D1324" s="45"/>
      <c r="E1324" s="45"/>
      <c r="F1324" s="63" t="s">
        <v>24</v>
      </c>
      <c r="G1324" s="58">
        <f>IF($J$1="January",X1317,IF($J$1="February",X1318,IF($J$1="March",X1319,IF($J$1="April",X1320,IF($J$1="May",X1321,IF($J$1="June",X1322,IF($J$1="July",X1323,IF($J$1="August",X1324,IF($J$1="August",X1324,IF($J$1="September",X1325,IF($J$1="October",X1326,IF($J$1="November",X1327,IF($J$1="December",X1328)))))))))))))</f>
        <v>0</v>
      </c>
      <c r="H1324" s="62"/>
      <c r="I1324" s="361" t="s">
        <v>75</v>
      </c>
      <c r="J1324" s="362"/>
      <c r="K1324" s="58">
        <f>G1324</f>
        <v>0</v>
      </c>
      <c r="L1324" s="70"/>
      <c r="M1324" s="45"/>
      <c r="N1324" s="88"/>
      <c r="O1324" s="89" t="s">
        <v>56</v>
      </c>
      <c r="P1324" s="89"/>
      <c r="Q1324" s="89"/>
      <c r="R1324" s="89">
        <v>0</v>
      </c>
      <c r="S1324" s="93"/>
      <c r="T1324" s="89" t="s">
        <v>56</v>
      </c>
      <c r="U1324" s="162"/>
      <c r="V1324" s="91"/>
      <c r="W1324" s="162" t="str">
        <f t="shared" si="243"/>
        <v/>
      </c>
      <c r="X1324" s="91"/>
      <c r="Y1324" s="162" t="str">
        <f t="shared" si="244"/>
        <v/>
      </c>
      <c r="Z1324" s="94"/>
    </row>
    <row r="1325" spans="1:26" s="43" customFormat="1" ht="21" customHeight="1" x14ac:dyDescent="0.25">
      <c r="A1325" s="44"/>
      <c r="B1325" s="71" t="s">
        <v>73</v>
      </c>
      <c r="C1325" s="54">
        <f>IF($J$1="January",R1317,IF($J$1="February",R1318,IF($J$1="March",R1319,IF($J$1="April",R1320,IF($J$1="May",R1321,IF($J$1="June",R1322,IF($J$1="July",R1323,IF($J$1="August",R1324,IF($J$1="August",R1324,IF($J$1="September",R1325,IF($J$1="October",R1326,IF($J$1="November",R1327,IF($J$1="December",R1328)))))))))))))</f>
        <v>0</v>
      </c>
      <c r="D1325" s="45"/>
      <c r="E1325" s="45"/>
      <c r="F1325" s="63" t="s">
        <v>257</v>
      </c>
      <c r="G1325" s="58" t="str">
        <f>IF($J$1="January",Y1317,IF($J$1="February",Y1318,IF($J$1="March",Y1319,IF($J$1="April",Y1320,IF($J$1="May",Y1321,IF($J$1="June",Y1322,IF($J$1="July",Y1323,IF($J$1="August",Y1324,IF($J$1="August",Y1324,IF($J$1="September",Y1325,IF($J$1="October",Y1326,IF($J$1="November",Y1327,IF($J$1="December",Y1328)))))))))))))</f>
        <v/>
      </c>
      <c r="H1325" s="45"/>
      <c r="I1325" s="363" t="s">
        <v>68</v>
      </c>
      <c r="J1325" s="364"/>
      <c r="K1325" s="72">
        <f>K1323-K1324</f>
        <v>13500</v>
      </c>
      <c r="L1325" s="73"/>
      <c r="M1325" s="45"/>
      <c r="N1325" s="88"/>
      <c r="O1325" s="89" t="s">
        <v>61</v>
      </c>
      <c r="P1325" s="89">
        <v>25</v>
      </c>
      <c r="Q1325" s="89">
        <v>5</v>
      </c>
      <c r="R1325" s="89">
        <v>0</v>
      </c>
      <c r="S1325" s="93"/>
      <c r="T1325" s="89" t="s">
        <v>61</v>
      </c>
      <c r="U1325" s="162"/>
      <c r="V1325" s="91"/>
      <c r="W1325" s="162" t="str">
        <f t="shared" si="243"/>
        <v/>
      </c>
      <c r="X1325" s="91"/>
      <c r="Y1325" s="162" t="str">
        <f t="shared" si="244"/>
        <v/>
      </c>
      <c r="Z1325" s="94"/>
    </row>
    <row r="1326" spans="1:26" s="43" customFormat="1" ht="21" customHeight="1" x14ac:dyDescent="0.25">
      <c r="A1326" s="44"/>
      <c r="B1326" s="45"/>
      <c r="C1326" s="45"/>
      <c r="D1326" s="45"/>
      <c r="E1326" s="45"/>
      <c r="F1326" s="45"/>
      <c r="G1326" s="45"/>
      <c r="H1326" s="45"/>
      <c r="I1326" s="45"/>
      <c r="J1326" s="45"/>
      <c r="K1326" s="45"/>
      <c r="L1326" s="61"/>
      <c r="M1326" s="45"/>
      <c r="N1326" s="88"/>
      <c r="O1326" s="89" t="s">
        <v>57</v>
      </c>
      <c r="P1326" s="89">
        <v>31</v>
      </c>
      <c r="Q1326" s="89">
        <v>0</v>
      </c>
      <c r="R1326" s="89">
        <f>IF(Q1326="","",R1325-Q1326)</f>
        <v>0</v>
      </c>
      <c r="S1326" s="93"/>
      <c r="T1326" s="89" t="s">
        <v>57</v>
      </c>
      <c r="U1326" s="162"/>
      <c r="V1326" s="91"/>
      <c r="W1326" s="162" t="str">
        <f t="shared" si="243"/>
        <v/>
      </c>
      <c r="X1326" s="91"/>
      <c r="Y1326" s="162" t="str">
        <f t="shared" si="244"/>
        <v/>
      </c>
      <c r="Z1326" s="94"/>
    </row>
    <row r="1327" spans="1:26" s="43" customFormat="1" ht="21" customHeight="1" x14ac:dyDescent="0.25">
      <c r="A1327" s="44"/>
      <c r="B1327" s="365" t="s">
        <v>103</v>
      </c>
      <c r="C1327" s="365"/>
      <c r="D1327" s="365"/>
      <c r="E1327" s="365"/>
      <c r="F1327" s="365"/>
      <c r="G1327" s="365"/>
      <c r="H1327" s="365"/>
      <c r="I1327" s="365"/>
      <c r="J1327" s="365"/>
      <c r="K1327" s="365"/>
      <c r="L1327" s="61"/>
      <c r="M1327" s="45"/>
      <c r="N1327" s="88"/>
      <c r="O1327" s="89" t="s">
        <v>62</v>
      </c>
      <c r="P1327" s="89"/>
      <c r="Q1327" s="89"/>
      <c r="R1327" s="89" t="str">
        <f>IF(Q1327="","",R1326-Q1327)</f>
        <v/>
      </c>
      <c r="S1327" s="93"/>
      <c r="T1327" s="89" t="s">
        <v>62</v>
      </c>
      <c r="U1327" s="162"/>
      <c r="V1327" s="91"/>
      <c r="W1327" s="162" t="str">
        <f t="shared" si="243"/>
        <v/>
      </c>
      <c r="X1327" s="91"/>
      <c r="Y1327" s="162" t="str">
        <f t="shared" si="244"/>
        <v/>
      </c>
      <c r="Z1327" s="94"/>
    </row>
    <row r="1328" spans="1:26" s="43" customFormat="1" ht="21" customHeight="1" x14ac:dyDescent="0.25">
      <c r="A1328" s="44"/>
      <c r="B1328" s="365"/>
      <c r="C1328" s="365"/>
      <c r="D1328" s="365"/>
      <c r="E1328" s="365"/>
      <c r="F1328" s="365"/>
      <c r="G1328" s="365"/>
      <c r="H1328" s="365"/>
      <c r="I1328" s="365"/>
      <c r="J1328" s="365"/>
      <c r="K1328" s="365"/>
      <c r="L1328" s="61"/>
      <c r="M1328" s="45"/>
      <c r="N1328" s="88"/>
      <c r="O1328" s="89" t="s">
        <v>63</v>
      </c>
      <c r="P1328" s="89"/>
      <c r="Q1328" s="89"/>
      <c r="R1328" s="89" t="str">
        <f>IF(Q1328="","",R1327-Q1328)</f>
        <v/>
      </c>
      <c r="S1328" s="93"/>
      <c r="T1328" s="89" t="s">
        <v>63</v>
      </c>
      <c r="U1328" s="162" t="str">
        <f>IF($J$1="Dec",Y1327,"")</f>
        <v/>
      </c>
      <c r="V1328" s="91"/>
      <c r="W1328" s="162" t="str">
        <f t="shared" si="243"/>
        <v/>
      </c>
      <c r="X1328" s="91"/>
      <c r="Y1328" s="162" t="str">
        <f t="shared" si="244"/>
        <v/>
      </c>
      <c r="Z1328" s="94"/>
    </row>
    <row r="1329" spans="1:26" s="43" customFormat="1" ht="21" customHeight="1" thickBot="1" x14ac:dyDescent="0.3">
      <c r="A1329" s="74"/>
      <c r="B1329" s="75"/>
      <c r="C1329" s="75"/>
      <c r="D1329" s="75"/>
      <c r="E1329" s="75"/>
      <c r="F1329" s="75"/>
      <c r="G1329" s="75"/>
      <c r="H1329" s="75"/>
      <c r="I1329" s="75"/>
      <c r="J1329" s="75"/>
      <c r="K1329" s="75"/>
      <c r="L1329" s="76"/>
      <c r="N1329" s="95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7"/>
    </row>
    <row r="1330" spans="1:26" ht="15" thickBot="1" x14ac:dyDescent="0.35"/>
    <row r="1331" spans="1:26" s="43" customFormat="1" ht="21" customHeight="1" x14ac:dyDescent="0.25">
      <c r="A1331" s="404" t="s">
        <v>45</v>
      </c>
      <c r="B1331" s="405"/>
      <c r="C1331" s="405"/>
      <c r="D1331" s="405"/>
      <c r="E1331" s="405"/>
      <c r="F1331" s="405"/>
      <c r="G1331" s="405"/>
      <c r="H1331" s="405"/>
      <c r="I1331" s="405"/>
      <c r="J1331" s="405"/>
      <c r="K1331" s="405"/>
      <c r="L1331" s="406"/>
      <c r="M1331" s="183"/>
      <c r="N1331" s="81"/>
      <c r="O1331" s="372" t="s">
        <v>47</v>
      </c>
      <c r="P1331" s="373"/>
      <c r="Q1331" s="373"/>
      <c r="R1331" s="374"/>
      <c r="S1331" s="82"/>
      <c r="T1331" s="372" t="s">
        <v>48</v>
      </c>
      <c r="U1331" s="373"/>
      <c r="V1331" s="373"/>
      <c r="W1331" s="373"/>
      <c r="X1331" s="373"/>
      <c r="Y1331" s="374"/>
      <c r="Z1331" s="83"/>
    </row>
    <row r="1332" spans="1:26" s="43" customFormat="1" ht="21" customHeight="1" x14ac:dyDescent="0.25">
      <c r="A1332" s="44"/>
      <c r="B1332" s="45"/>
      <c r="C1332" s="375" t="s">
        <v>101</v>
      </c>
      <c r="D1332" s="375"/>
      <c r="E1332" s="375"/>
      <c r="F1332" s="375"/>
      <c r="G1332" s="46" t="str">
        <f>$J$1</f>
        <v>October</v>
      </c>
      <c r="H1332" s="376">
        <f>$K$1</f>
        <v>2020</v>
      </c>
      <c r="I1332" s="376"/>
      <c r="J1332" s="45"/>
      <c r="K1332" s="47"/>
      <c r="L1332" s="48"/>
      <c r="M1332" s="47"/>
      <c r="N1332" s="84"/>
      <c r="O1332" s="85" t="s">
        <v>58</v>
      </c>
      <c r="P1332" s="85" t="s">
        <v>7</v>
      </c>
      <c r="Q1332" s="85" t="s">
        <v>6</v>
      </c>
      <c r="R1332" s="85" t="s">
        <v>59</v>
      </c>
      <c r="S1332" s="86"/>
      <c r="T1332" s="85" t="s">
        <v>58</v>
      </c>
      <c r="U1332" s="85" t="s">
        <v>60</v>
      </c>
      <c r="V1332" s="85" t="s">
        <v>23</v>
      </c>
      <c r="W1332" s="85" t="s">
        <v>22</v>
      </c>
      <c r="X1332" s="85" t="s">
        <v>24</v>
      </c>
      <c r="Y1332" s="85" t="s">
        <v>64</v>
      </c>
      <c r="Z1332" s="87"/>
    </row>
    <row r="1333" spans="1:26" s="43" customFormat="1" ht="21" customHeight="1" x14ac:dyDescent="0.25">
      <c r="A1333" s="44"/>
      <c r="B1333" s="45"/>
      <c r="C1333" s="45"/>
      <c r="D1333" s="50"/>
      <c r="E1333" s="50"/>
      <c r="F1333" s="50"/>
      <c r="G1333" s="50"/>
      <c r="H1333" s="50"/>
      <c r="I1333" s="45"/>
      <c r="J1333" s="51" t="s">
        <v>1</v>
      </c>
      <c r="K1333" s="52">
        <v>13500</v>
      </c>
      <c r="L1333" s="53"/>
      <c r="M1333" s="45"/>
      <c r="N1333" s="88"/>
      <c r="O1333" s="89" t="s">
        <v>50</v>
      </c>
      <c r="P1333" s="89"/>
      <c r="Q1333" s="89"/>
      <c r="R1333" s="89">
        <v>0</v>
      </c>
      <c r="S1333" s="90"/>
      <c r="T1333" s="89" t="s">
        <v>50</v>
      </c>
      <c r="U1333" s="91"/>
      <c r="V1333" s="91"/>
      <c r="W1333" s="91">
        <f>V1333+U1333</f>
        <v>0</v>
      </c>
      <c r="X1333" s="91"/>
      <c r="Y1333" s="91">
        <f>W1333-X1333</f>
        <v>0</v>
      </c>
      <c r="Z1333" s="87"/>
    </row>
    <row r="1334" spans="1:26" s="43" customFormat="1" ht="21" customHeight="1" x14ac:dyDescent="0.25">
      <c r="A1334" s="44"/>
      <c r="B1334" s="45" t="s">
        <v>0</v>
      </c>
      <c r="C1334" s="100" t="s">
        <v>243</v>
      </c>
      <c r="D1334" s="45"/>
      <c r="E1334" s="45"/>
      <c r="F1334" s="45"/>
      <c r="G1334" s="45"/>
      <c r="H1334" s="56"/>
      <c r="I1334" s="50"/>
      <c r="J1334" s="45"/>
      <c r="K1334" s="45"/>
      <c r="L1334" s="57"/>
      <c r="M1334" s="183"/>
      <c r="N1334" s="92"/>
      <c r="O1334" s="89" t="s">
        <v>76</v>
      </c>
      <c r="P1334" s="89"/>
      <c r="Q1334" s="89"/>
      <c r="R1334" s="89">
        <v>0</v>
      </c>
      <c r="S1334" s="93"/>
      <c r="T1334" s="89" t="s">
        <v>76</v>
      </c>
      <c r="U1334" s="162"/>
      <c r="V1334" s="91"/>
      <c r="W1334" s="91">
        <f>V1334+U1334</f>
        <v>0</v>
      </c>
      <c r="X1334" s="91"/>
      <c r="Y1334" s="162">
        <f>IF(W1334="","",W1334-X1334)</f>
        <v>0</v>
      </c>
      <c r="Z1334" s="94"/>
    </row>
    <row r="1335" spans="1:26" s="43" customFormat="1" ht="21" customHeight="1" x14ac:dyDescent="0.25">
      <c r="A1335" s="44"/>
      <c r="B1335" s="59" t="s">
        <v>46</v>
      </c>
      <c r="C1335" s="100"/>
      <c r="D1335" s="45"/>
      <c r="E1335" s="45"/>
      <c r="F1335" s="366" t="s">
        <v>48</v>
      </c>
      <c r="G1335" s="366"/>
      <c r="H1335" s="45"/>
      <c r="I1335" s="366" t="s">
        <v>49</v>
      </c>
      <c r="J1335" s="366"/>
      <c r="K1335" s="366"/>
      <c r="L1335" s="61"/>
      <c r="M1335" s="45"/>
      <c r="N1335" s="88"/>
      <c r="O1335" s="89" t="s">
        <v>51</v>
      </c>
      <c r="P1335" s="89"/>
      <c r="Q1335" s="89"/>
      <c r="R1335" s="89" t="str">
        <f>IF(Q1335="","",R1334-Q1335)</f>
        <v/>
      </c>
      <c r="S1335" s="93"/>
      <c r="T1335" s="89" t="s">
        <v>51</v>
      </c>
      <c r="U1335" s="162"/>
      <c r="V1335" s="91"/>
      <c r="W1335" s="162" t="str">
        <f t="shared" ref="W1335:W1344" si="245">IF(U1335="","",U1335+V1335)</f>
        <v/>
      </c>
      <c r="X1335" s="91"/>
      <c r="Y1335" s="162" t="str">
        <f t="shared" ref="Y1335:Y1344" si="246">IF(W1335="","",W1335-X1335)</f>
        <v/>
      </c>
      <c r="Z1335" s="94"/>
    </row>
    <row r="1336" spans="1:26" s="43" customFormat="1" ht="21" customHeight="1" x14ac:dyDescent="0.25">
      <c r="A1336" s="44"/>
      <c r="B1336" s="45"/>
      <c r="C1336" s="45"/>
      <c r="D1336" s="45"/>
      <c r="E1336" s="45"/>
      <c r="F1336" s="45"/>
      <c r="G1336" s="45"/>
      <c r="H1336" s="62"/>
      <c r="L1336" s="49"/>
      <c r="M1336" s="45"/>
      <c r="N1336" s="88"/>
      <c r="O1336" s="89" t="s">
        <v>52</v>
      </c>
      <c r="P1336" s="89"/>
      <c r="Q1336" s="89"/>
      <c r="R1336" s="89">
        <v>0</v>
      </c>
      <c r="S1336" s="93"/>
      <c r="T1336" s="89" t="s">
        <v>52</v>
      </c>
      <c r="U1336" s="162"/>
      <c r="V1336" s="91"/>
      <c r="W1336" s="162" t="str">
        <f t="shared" si="245"/>
        <v/>
      </c>
      <c r="X1336" s="91"/>
      <c r="Y1336" s="162" t="str">
        <f t="shared" si="246"/>
        <v/>
      </c>
      <c r="Z1336" s="94"/>
    </row>
    <row r="1337" spans="1:26" s="43" customFormat="1" ht="21" customHeight="1" x14ac:dyDescent="0.25">
      <c r="A1337" s="44"/>
      <c r="B1337" s="367" t="s">
        <v>47</v>
      </c>
      <c r="C1337" s="368"/>
      <c r="D1337" s="45"/>
      <c r="E1337" s="45"/>
      <c r="F1337" s="63" t="s">
        <v>69</v>
      </c>
      <c r="G1337" s="58">
        <f>IF($J$1="January",U1333,IF($J$1="February",U1334,IF($J$1="March",U1335,IF($J$1="April",U1336,IF($J$1="May",U1337,IF($J$1="June",U1338,IF($J$1="July",U1339,IF($J$1="August",U1340,IF($J$1="August",U1340,IF($J$1="September",U1341,IF($J$1="October",U1342,IF($J$1="November",U1343,IF($J$1="December",U1344)))))))))))))</f>
        <v>0</v>
      </c>
      <c r="H1337" s="62"/>
      <c r="I1337" s="64">
        <f>IF(C1341&gt;0,$K$2,C1339)</f>
        <v>31</v>
      </c>
      <c r="J1337" s="65" t="s">
        <v>66</v>
      </c>
      <c r="K1337" s="66">
        <f>K1333/$K$2*I1337</f>
        <v>13500</v>
      </c>
      <c r="L1337" s="67"/>
      <c r="M1337" s="45"/>
      <c r="N1337" s="88"/>
      <c r="O1337" s="89" t="s">
        <v>53</v>
      </c>
      <c r="P1337" s="89"/>
      <c r="Q1337" s="89"/>
      <c r="R1337" s="89">
        <v>0</v>
      </c>
      <c r="S1337" s="93"/>
      <c r="T1337" s="89" t="s">
        <v>53</v>
      </c>
      <c r="U1337" s="162"/>
      <c r="V1337" s="91"/>
      <c r="W1337" s="162" t="str">
        <f t="shared" si="245"/>
        <v/>
      </c>
      <c r="X1337" s="91"/>
      <c r="Y1337" s="162" t="str">
        <f t="shared" si="246"/>
        <v/>
      </c>
      <c r="Z1337" s="94"/>
    </row>
    <row r="1338" spans="1:26" s="43" customFormat="1" ht="21" customHeight="1" x14ac:dyDescent="0.25">
      <c r="A1338" s="44"/>
      <c r="B1338" s="54"/>
      <c r="C1338" s="54"/>
      <c r="D1338" s="45"/>
      <c r="E1338" s="45"/>
      <c r="F1338" s="63" t="s">
        <v>23</v>
      </c>
      <c r="G1338" s="58">
        <f>IF($J$1="January",V1333,IF($J$1="February",V1334,IF($J$1="March",V1335,IF($J$1="April",V1336,IF($J$1="May",V1337,IF($J$1="June",V1338,IF($J$1="July",V1339,IF($J$1="August",V1340,IF($J$1="August",V1340,IF($J$1="September",V1341,IF($J$1="October",V1342,IF($J$1="November",V1343,IF($J$1="December",V1344)))))))))))))</f>
        <v>0</v>
      </c>
      <c r="H1338" s="62"/>
      <c r="I1338" s="108"/>
      <c r="J1338" s="65" t="s">
        <v>67</v>
      </c>
      <c r="K1338" s="68">
        <f>K1333/$K$2/8*I1338</f>
        <v>0</v>
      </c>
      <c r="L1338" s="69"/>
      <c r="M1338" s="45"/>
      <c r="N1338" s="88"/>
      <c r="O1338" s="89" t="s">
        <v>54</v>
      </c>
      <c r="P1338" s="89"/>
      <c r="Q1338" s="89"/>
      <c r="R1338" s="89">
        <v>0</v>
      </c>
      <c r="S1338" s="93"/>
      <c r="T1338" s="89" t="s">
        <v>54</v>
      </c>
      <c r="U1338" s="162"/>
      <c r="V1338" s="91"/>
      <c r="W1338" s="162" t="str">
        <f t="shared" si="245"/>
        <v/>
      </c>
      <c r="X1338" s="91"/>
      <c r="Y1338" s="162" t="str">
        <f t="shared" si="246"/>
        <v/>
      </c>
      <c r="Z1338" s="94"/>
    </row>
    <row r="1339" spans="1:26" s="43" customFormat="1" ht="21" customHeight="1" x14ac:dyDescent="0.25">
      <c r="A1339" s="44"/>
      <c r="B1339" s="63" t="s">
        <v>7</v>
      </c>
      <c r="C1339" s="54">
        <f>IF($J$1="January",P1333,IF($J$1="February",P1334,IF($J$1="March",P1335,IF($J$1="April",P1336,IF($J$1="May",P1337,IF($J$1="June",P1338,IF($J$1="July",P1339,IF($J$1="August",P1340,IF($J$1="August",P1340,IF($J$1="September",P1341,IF($J$1="October",P1342,IF($J$1="November",P1343,IF($J$1="December",P1344)))))))))))))</f>
        <v>31</v>
      </c>
      <c r="D1339" s="45"/>
      <c r="E1339" s="45"/>
      <c r="F1339" s="63" t="s">
        <v>70</v>
      </c>
      <c r="G1339" s="58" t="str">
        <f>IF($J$1="January",W1333,IF($J$1="February",W1334,IF($J$1="March",W1335,IF($J$1="April",W1336,IF($J$1="May",W1337,IF($J$1="June",W1338,IF($J$1="July",W1339,IF($J$1="August",W1340,IF($J$1="August",W1340,IF($J$1="September",W1341,IF($J$1="October",W1342,IF($J$1="November",W1343,IF($J$1="December",W1344)))))))))))))</f>
        <v/>
      </c>
      <c r="H1339" s="62"/>
      <c r="I1339" s="361" t="s">
        <v>74</v>
      </c>
      <c r="J1339" s="362"/>
      <c r="K1339" s="68">
        <f>K1337+K1338</f>
        <v>13500</v>
      </c>
      <c r="L1339" s="69"/>
      <c r="M1339" s="45"/>
      <c r="N1339" s="88"/>
      <c r="O1339" s="89" t="s">
        <v>55</v>
      </c>
      <c r="P1339" s="89"/>
      <c r="Q1339" s="89"/>
      <c r="R1339" s="89">
        <v>0</v>
      </c>
      <c r="S1339" s="93"/>
      <c r="T1339" s="89" t="s">
        <v>55</v>
      </c>
      <c r="U1339" s="162"/>
      <c r="V1339" s="91"/>
      <c r="W1339" s="162" t="str">
        <f t="shared" si="245"/>
        <v/>
      </c>
      <c r="X1339" s="91"/>
      <c r="Y1339" s="162" t="str">
        <f t="shared" si="246"/>
        <v/>
      </c>
      <c r="Z1339" s="94"/>
    </row>
    <row r="1340" spans="1:26" s="43" customFormat="1" ht="21" customHeight="1" x14ac:dyDescent="0.25">
      <c r="A1340" s="44"/>
      <c r="B1340" s="63" t="s">
        <v>6</v>
      </c>
      <c r="C1340" s="54">
        <f>IF($J$1="January",Q1333,IF($J$1="February",Q1334,IF($J$1="March",Q1335,IF($J$1="April",Q1336,IF($J$1="May",Q1337,IF($J$1="June",Q1338,IF($J$1="July",Q1339,IF($J$1="August",Q1340,IF($J$1="August",Q1340,IF($J$1="September",Q1341,IF($J$1="October",Q1342,IF($J$1="November",Q1343,IF($J$1="December",Q1344)))))))))))))</f>
        <v>0</v>
      </c>
      <c r="D1340" s="45"/>
      <c r="E1340" s="45"/>
      <c r="F1340" s="63" t="s">
        <v>24</v>
      </c>
      <c r="G1340" s="58">
        <f>IF($J$1="January",X1333,IF($J$1="February",X1334,IF($J$1="March",X1335,IF($J$1="April",X1336,IF($J$1="May",X1337,IF($J$1="June",X1338,IF($J$1="July",X1339,IF($J$1="August",X1340,IF($J$1="August",X1340,IF($J$1="September",X1341,IF($J$1="October",X1342,IF($J$1="November",X1343,IF($J$1="December",X1344)))))))))))))</f>
        <v>0</v>
      </c>
      <c r="H1340" s="62"/>
      <c r="I1340" s="361" t="s">
        <v>75</v>
      </c>
      <c r="J1340" s="362"/>
      <c r="K1340" s="58">
        <f>G1340</f>
        <v>0</v>
      </c>
      <c r="L1340" s="70"/>
      <c r="M1340" s="45"/>
      <c r="N1340" s="88"/>
      <c r="O1340" s="89" t="s">
        <v>56</v>
      </c>
      <c r="P1340" s="89"/>
      <c r="Q1340" s="89"/>
      <c r="R1340" s="89">
        <v>0</v>
      </c>
      <c r="S1340" s="93"/>
      <c r="T1340" s="89" t="s">
        <v>56</v>
      </c>
      <c r="U1340" s="162"/>
      <c r="V1340" s="91"/>
      <c r="W1340" s="162" t="str">
        <f t="shared" si="245"/>
        <v/>
      </c>
      <c r="X1340" s="91"/>
      <c r="Y1340" s="162" t="str">
        <f t="shared" si="246"/>
        <v/>
      </c>
      <c r="Z1340" s="94"/>
    </row>
    <row r="1341" spans="1:26" s="43" customFormat="1" ht="21" customHeight="1" x14ac:dyDescent="0.25">
      <c r="A1341" s="44"/>
      <c r="B1341" s="71" t="s">
        <v>73</v>
      </c>
      <c r="C1341" s="54">
        <f>IF($J$1="January",R1333,IF($J$1="February",R1334,IF($J$1="March",R1335,IF($J$1="April",R1336,IF($J$1="May",R1337,IF($J$1="June",R1338,IF($J$1="July",R1339,IF($J$1="August",R1340,IF($J$1="August",R1340,IF($J$1="September",R1341,IF($J$1="October",R1342,IF($J$1="November",R1343,IF($J$1="December",R1344)))))))))))))</f>
        <v>0</v>
      </c>
      <c r="D1341" s="45"/>
      <c r="E1341" s="45"/>
      <c r="F1341" s="63" t="s">
        <v>257</v>
      </c>
      <c r="G1341" s="58" t="str">
        <f>IF($J$1="January",Y1333,IF($J$1="February",Y1334,IF($J$1="March",Y1335,IF($J$1="April",Y1336,IF($J$1="May",Y1337,IF($J$1="June",Y1338,IF($J$1="July",Y1339,IF($J$1="August",Y1340,IF($J$1="August",Y1340,IF($J$1="September",Y1341,IF($J$1="October",Y1342,IF($J$1="November",Y1343,IF($J$1="December",Y1344)))))))))))))</f>
        <v/>
      </c>
      <c r="H1341" s="45"/>
      <c r="I1341" s="363" t="s">
        <v>68</v>
      </c>
      <c r="J1341" s="364"/>
      <c r="K1341" s="72">
        <f>K1339-K1340</f>
        <v>13500</v>
      </c>
      <c r="L1341" s="73"/>
      <c r="M1341" s="45"/>
      <c r="N1341" s="88"/>
      <c r="O1341" s="89" t="s">
        <v>61</v>
      </c>
      <c r="P1341" s="89">
        <v>30</v>
      </c>
      <c r="Q1341" s="89">
        <v>0</v>
      </c>
      <c r="R1341" s="89">
        <v>0</v>
      </c>
      <c r="S1341" s="93"/>
      <c r="T1341" s="89" t="s">
        <v>61</v>
      </c>
      <c r="U1341" s="162"/>
      <c r="V1341" s="91"/>
      <c r="W1341" s="162" t="str">
        <f t="shared" si="245"/>
        <v/>
      </c>
      <c r="X1341" s="91"/>
      <c r="Y1341" s="162" t="str">
        <f t="shared" si="246"/>
        <v/>
      </c>
      <c r="Z1341" s="94"/>
    </row>
    <row r="1342" spans="1:26" s="43" customFormat="1" ht="21" customHeight="1" x14ac:dyDescent="0.25">
      <c r="A1342" s="44"/>
      <c r="B1342" s="45"/>
      <c r="C1342" s="45"/>
      <c r="D1342" s="45"/>
      <c r="E1342" s="45"/>
      <c r="F1342" s="45"/>
      <c r="G1342" s="45"/>
      <c r="H1342" s="45"/>
      <c r="I1342" s="45"/>
      <c r="J1342" s="45"/>
      <c r="K1342" s="45"/>
      <c r="L1342" s="61"/>
      <c r="M1342" s="45"/>
      <c r="N1342" s="88"/>
      <c r="O1342" s="89" t="s">
        <v>57</v>
      </c>
      <c r="P1342" s="89">
        <v>31</v>
      </c>
      <c r="Q1342" s="89">
        <v>0</v>
      </c>
      <c r="R1342" s="89">
        <f>IF(Q1342="","",R1341-Q1342)</f>
        <v>0</v>
      </c>
      <c r="S1342" s="93"/>
      <c r="T1342" s="89" t="s">
        <v>57</v>
      </c>
      <c r="U1342" s="162"/>
      <c r="V1342" s="91"/>
      <c r="W1342" s="162" t="str">
        <f t="shared" si="245"/>
        <v/>
      </c>
      <c r="X1342" s="91"/>
      <c r="Y1342" s="162" t="str">
        <f t="shared" si="246"/>
        <v/>
      </c>
      <c r="Z1342" s="94"/>
    </row>
    <row r="1343" spans="1:26" s="43" customFormat="1" ht="21" customHeight="1" x14ac:dyDescent="0.25">
      <c r="A1343" s="44"/>
      <c r="B1343" s="365" t="s">
        <v>103</v>
      </c>
      <c r="C1343" s="365"/>
      <c r="D1343" s="365"/>
      <c r="E1343" s="365"/>
      <c r="F1343" s="365"/>
      <c r="G1343" s="365"/>
      <c r="H1343" s="365"/>
      <c r="I1343" s="365"/>
      <c r="J1343" s="365"/>
      <c r="K1343" s="365"/>
      <c r="L1343" s="61"/>
      <c r="M1343" s="45"/>
      <c r="N1343" s="88"/>
      <c r="O1343" s="89" t="s">
        <v>62</v>
      </c>
      <c r="P1343" s="89"/>
      <c r="Q1343" s="89"/>
      <c r="R1343" s="89" t="str">
        <f>IF(Q1343="","",R1342-Q1343)</f>
        <v/>
      </c>
      <c r="S1343" s="93"/>
      <c r="T1343" s="89" t="s">
        <v>62</v>
      </c>
      <c r="U1343" s="162"/>
      <c r="V1343" s="91"/>
      <c r="W1343" s="162" t="str">
        <f t="shared" si="245"/>
        <v/>
      </c>
      <c r="X1343" s="91"/>
      <c r="Y1343" s="162" t="str">
        <f t="shared" si="246"/>
        <v/>
      </c>
      <c r="Z1343" s="94"/>
    </row>
    <row r="1344" spans="1:26" s="43" customFormat="1" ht="21" customHeight="1" x14ac:dyDescent="0.25">
      <c r="A1344" s="44"/>
      <c r="B1344" s="365"/>
      <c r="C1344" s="365"/>
      <c r="D1344" s="365"/>
      <c r="E1344" s="365"/>
      <c r="F1344" s="365"/>
      <c r="G1344" s="365"/>
      <c r="H1344" s="365"/>
      <c r="I1344" s="365"/>
      <c r="J1344" s="365"/>
      <c r="K1344" s="365"/>
      <c r="L1344" s="61"/>
      <c r="M1344" s="45"/>
      <c r="N1344" s="88"/>
      <c r="O1344" s="89" t="s">
        <v>63</v>
      </c>
      <c r="P1344" s="89"/>
      <c r="Q1344" s="89"/>
      <c r="R1344" s="89" t="str">
        <f>IF(Q1344="","",R1343-Q1344)</f>
        <v/>
      </c>
      <c r="S1344" s="93"/>
      <c r="T1344" s="89" t="s">
        <v>63</v>
      </c>
      <c r="U1344" s="162" t="str">
        <f>IF($J$1="Dec",Y1343,"")</f>
        <v/>
      </c>
      <c r="V1344" s="91"/>
      <c r="W1344" s="162" t="str">
        <f t="shared" si="245"/>
        <v/>
      </c>
      <c r="X1344" s="91"/>
      <c r="Y1344" s="162" t="str">
        <f t="shared" si="246"/>
        <v/>
      </c>
      <c r="Z1344" s="94"/>
    </row>
    <row r="1345" spans="1:26" s="43" customFormat="1" ht="21" customHeight="1" thickBot="1" x14ac:dyDescent="0.3">
      <c r="A1345" s="74"/>
      <c r="B1345" s="75"/>
      <c r="C1345" s="75"/>
      <c r="D1345" s="75"/>
      <c r="E1345" s="75"/>
      <c r="F1345" s="75"/>
      <c r="G1345" s="75"/>
      <c r="H1345" s="75"/>
      <c r="I1345" s="75"/>
      <c r="J1345" s="75"/>
      <c r="K1345" s="75"/>
      <c r="L1345" s="76"/>
      <c r="N1345" s="95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7"/>
    </row>
    <row r="1346" spans="1:26" ht="15" thickBot="1" x14ac:dyDescent="0.35"/>
    <row r="1347" spans="1:26" s="43" customFormat="1" ht="21" customHeight="1" x14ac:dyDescent="0.25">
      <c r="A1347" s="383" t="s">
        <v>45</v>
      </c>
      <c r="B1347" s="384"/>
      <c r="C1347" s="384"/>
      <c r="D1347" s="384"/>
      <c r="E1347" s="384"/>
      <c r="F1347" s="384"/>
      <c r="G1347" s="384"/>
      <c r="H1347" s="384"/>
      <c r="I1347" s="384"/>
      <c r="J1347" s="384"/>
      <c r="K1347" s="384"/>
      <c r="L1347" s="385"/>
      <c r="M1347" s="183"/>
      <c r="N1347" s="81"/>
      <c r="O1347" s="372" t="s">
        <v>47</v>
      </c>
      <c r="P1347" s="373"/>
      <c r="Q1347" s="373"/>
      <c r="R1347" s="374"/>
      <c r="S1347" s="82"/>
      <c r="T1347" s="372" t="s">
        <v>48</v>
      </c>
      <c r="U1347" s="373"/>
      <c r="V1347" s="373"/>
      <c r="W1347" s="373"/>
      <c r="X1347" s="373"/>
      <c r="Y1347" s="374"/>
      <c r="Z1347" s="83"/>
    </row>
    <row r="1348" spans="1:26" s="43" customFormat="1" ht="21" customHeight="1" x14ac:dyDescent="0.25">
      <c r="A1348" s="44"/>
      <c r="B1348" s="45"/>
      <c r="C1348" s="375" t="s">
        <v>101</v>
      </c>
      <c r="D1348" s="375"/>
      <c r="E1348" s="375"/>
      <c r="F1348" s="375"/>
      <c r="G1348" s="46" t="str">
        <f>$J$1</f>
        <v>October</v>
      </c>
      <c r="H1348" s="376">
        <f>$K$1</f>
        <v>2020</v>
      </c>
      <c r="I1348" s="376"/>
      <c r="J1348" s="45"/>
      <c r="K1348" s="47"/>
      <c r="L1348" s="48"/>
      <c r="M1348" s="47"/>
      <c r="N1348" s="84"/>
      <c r="O1348" s="85" t="s">
        <v>58</v>
      </c>
      <c r="P1348" s="85" t="s">
        <v>7</v>
      </c>
      <c r="Q1348" s="85" t="s">
        <v>6</v>
      </c>
      <c r="R1348" s="85" t="s">
        <v>59</v>
      </c>
      <c r="S1348" s="86"/>
      <c r="T1348" s="85" t="s">
        <v>58</v>
      </c>
      <c r="U1348" s="85" t="s">
        <v>60</v>
      </c>
      <c r="V1348" s="85" t="s">
        <v>23</v>
      </c>
      <c r="W1348" s="85" t="s">
        <v>22</v>
      </c>
      <c r="X1348" s="85" t="s">
        <v>24</v>
      </c>
      <c r="Y1348" s="85" t="s">
        <v>64</v>
      </c>
      <c r="Z1348" s="87"/>
    </row>
    <row r="1349" spans="1:26" s="43" customFormat="1" ht="21" customHeight="1" x14ac:dyDescent="0.25">
      <c r="A1349" s="44"/>
      <c r="B1349" s="45"/>
      <c r="C1349" s="45"/>
      <c r="D1349" s="50"/>
      <c r="E1349" s="50"/>
      <c r="F1349" s="50"/>
      <c r="G1349" s="50"/>
      <c r="H1349" s="50"/>
      <c r="I1349" s="45"/>
      <c r="J1349" s="51" t="s">
        <v>1</v>
      </c>
      <c r="K1349" s="52">
        <v>16500</v>
      </c>
      <c r="L1349" s="53"/>
      <c r="M1349" s="45"/>
      <c r="N1349" s="88"/>
      <c r="O1349" s="89" t="s">
        <v>50</v>
      </c>
      <c r="P1349" s="89"/>
      <c r="Q1349" s="89"/>
      <c r="R1349" s="89">
        <f>15-Q1349</f>
        <v>15</v>
      </c>
      <c r="S1349" s="90"/>
      <c r="T1349" s="89" t="s">
        <v>50</v>
      </c>
      <c r="U1349" s="91"/>
      <c r="V1349" s="91"/>
      <c r="W1349" s="91">
        <f>V1349+U1349</f>
        <v>0</v>
      </c>
      <c r="X1349" s="91"/>
      <c r="Y1349" s="91">
        <f>W1349-X1349</f>
        <v>0</v>
      </c>
      <c r="Z1349" s="87"/>
    </row>
    <row r="1350" spans="1:26" s="43" customFormat="1" ht="21" customHeight="1" x14ac:dyDescent="0.25">
      <c r="A1350" s="44"/>
      <c r="B1350" s="45" t="s">
        <v>0</v>
      </c>
      <c r="C1350" s="100" t="s">
        <v>244</v>
      </c>
      <c r="D1350" s="45"/>
      <c r="E1350" s="45"/>
      <c r="F1350" s="45"/>
      <c r="G1350" s="45"/>
      <c r="H1350" s="56"/>
      <c r="I1350" s="50"/>
      <c r="J1350" s="45"/>
      <c r="K1350" s="45"/>
      <c r="L1350" s="57"/>
      <c r="M1350" s="183"/>
      <c r="N1350" s="92"/>
      <c r="O1350" s="89" t="s">
        <v>76</v>
      </c>
      <c r="P1350" s="89"/>
      <c r="Q1350" s="89"/>
      <c r="R1350" s="89">
        <f>R1349-Q1350</f>
        <v>15</v>
      </c>
      <c r="S1350" s="93"/>
      <c r="T1350" s="89" t="s">
        <v>76</v>
      </c>
      <c r="U1350" s="162">
        <f>IF($J$1="January","",Y1349)</f>
        <v>0</v>
      </c>
      <c r="V1350" s="91"/>
      <c r="W1350" s="162">
        <f>IF(U1350="","",U1350+V1350)</f>
        <v>0</v>
      </c>
      <c r="X1350" s="91"/>
      <c r="Y1350" s="162">
        <f>IF(W1350="","",W1350-X1350)</f>
        <v>0</v>
      </c>
      <c r="Z1350" s="94"/>
    </row>
    <row r="1351" spans="1:26" s="43" customFormat="1" ht="21" customHeight="1" x14ac:dyDescent="0.25">
      <c r="A1351" s="44"/>
      <c r="B1351" s="59" t="s">
        <v>46</v>
      </c>
      <c r="C1351" s="100"/>
      <c r="D1351" s="45"/>
      <c r="E1351" s="45"/>
      <c r="F1351" s="366" t="s">
        <v>48</v>
      </c>
      <c r="G1351" s="366"/>
      <c r="H1351" s="45"/>
      <c r="I1351" s="366" t="s">
        <v>49</v>
      </c>
      <c r="J1351" s="366"/>
      <c r="K1351" s="366"/>
      <c r="L1351" s="61"/>
      <c r="M1351" s="45"/>
      <c r="N1351" s="88"/>
      <c r="O1351" s="89" t="s">
        <v>51</v>
      </c>
      <c r="P1351" s="89"/>
      <c r="Q1351" s="89"/>
      <c r="R1351" s="89">
        <v>0</v>
      </c>
      <c r="S1351" s="93"/>
      <c r="T1351" s="89" t="s">
        <v>51</v>
      </c>
      <c r="U1351" s="162">
        <f>IF($J$1="February","",Y1350)</f>
        <v>0</v>
      </c>
      <c r="V1351" s="91"/>
      <c r="W1351" s="162">
        <f t="shared" ref="W1351:W1360" si="247">IF(U1351="","",U1351+V1351)</f>
        <v>0</v>
      </c>
      <c r="X1351" s="91"/>
      <c r="Y1351" s="162">
        <f t="shared" ref="Y1351:Y1360" si="248">IF(W1351="","",W1351-X1351)</f>
        <v>0</v>
      </c>
      <c r="Z1351" s="94"/>
    </row>
    <row r="1352" spans="1:26" s="43" customFormat="1" ht="21" customHeight="1" x14ac:dyDescent="0.25">
      <c r="A1352" s="44"/>
      <c r="B1352" s="45"/>
      <c r="C1352" s="45"/>
      <c r="D1352" s="45"/>
      <c r="E1352" s="45"/>
      <c r="F1352" s="45"/>
      <c r="G1352" s="45"/>
      <c r="H1352" s="62"/>
      <c r="L1352" s="49"/>
      <c r="M1352" s="45"/>
      <c r="N1352" s="88"/>
      <c r="O1352" s="89" t="s">
        <v>52</v>
      </c>
      <c r="P1352" s="89"/>
      <c r="Q1352" s="89"/>
      <c r="R1352" s="89">
        <v>0</v>
      </c>
      <c r="S1352" s="93"/>
      <c r="T1352" s="89" t="s">
        <v>52</v>
      </c>
      <c r="U1352" s="162">
        <f>IF($J$1="March","",Y1351)</f>
        <v>0</v>
      </c>
      <c r="V1352" s="91"/>
      <c r="W1352" s="162">
        <f t="shared" si="247"/>
        <v>0</v>
      </c>
      <c r="X1352" s="91"/>
      <c r="Y1352" s="162">
        <f t="shared" si="248"/>
        <v>0</v>
      </c>
      <c r="Z1352" s="94"/>
    </row>
    <row r="1353" spans="1:26" s="43" customFormat="1" ht="21" customHeight="1" x14ac:dyDescent="0.25">
      <c r="A1353" s="44"/>
      <c r="B1353" s="367" t="s">
        <v>47</v>
      </c>
      <c r="C1353" s="368"/>
      <c r="D1353" s="45"/>
      <c r="E1353" s="45"/>
      <c r="F1353" s="63" t="s">
        <v>69</v>
      </c>
      <c r="G1353" s="58">
        <f>IF($J$1="January",U1349,IF($J$1="February",U1350,IF($J$1="March",U1351,IF($J$1="April",U1352,IF($J$1="May",U1353,IF($J$1="June",U1354,IF($J$1="July",U1355,IF($J$1="August",U1356,IF($J$1="August",U1356,IF($J$1="September",U1357,IF($J$1="October",U1358,IF($J$1="November",U1359,IF($J$1="December",U1360)))))))))))))</f>
        <v>0</v>
      </c>
      <c r="H1353" s="62"/>
      <c r="I1353" s="324">
        <f>IF(C1357&gt;0,$K$2,C1355)</f>
        <v>31</v>
      </c>
      <c r="J1353" s="65" t="s">
        <v>66</v>
      </c>
      <c r="K1353" s="66">
        <f>K1349/$K$2*I1353</f>
        <v>16500</v>
      </c>
      <c r="L1353" s="67"/>
      <c r="M1353" s="45"/>
      <c r="N1353" s="88"/>
      <c r="O1353" s="89" t="s">
        <v>53</v>
      </c>
      <c r="P1353" s="89"/>
      <c r="Q1353" s="89"/>
      <c r="R1353" s="89">
        <v>0</v>
      </c>
      <c r="S1353" s="93"/>
      <c r="T1353" s="89" t="s">
        <v>53</v>
      </c>
      <c r="U1353" s="162">
        <f>IF($J$1="April","",Y1352)</f>
        <v>0</v>
      </c>
      <c r="V1353" s="91"/>
      <c r="W1353" s="162">
        <f t="shared" si="247"/>
        <v>0</v>
      </c>
      <c r="X1353" s="91"/>
      <c r="Y1353" s="162">
        <f t="shared" si="248"/>
        <v>0</v>
      </c>
      <c r="Z1353" s="94"/>
    </row>
    <row r="1354" spans="1:26" s="43" customFormat="1" ht="21" customHeight="1" x14ac:dyDescent="0.25">
      <c r="A1354" s="44"/>
      <c r="B1354" s="54"/>
      <c r="C1354" s="54"/>
      <c r="D1354" s="45"/>
      <c r="E1354" s="45"/>
      <c r="F1354" s="63" t="s">
        <v>23</v>
      </c>
      <c r="G1354" s="58">
        <f>IF($J$1="January",V1349,IF($J$1="February",V1350,IF($J$1="March",V1351,IF($J$1="April",V1352,IF($J$1="May",V1353,IF($J$1="June",V1354,IF($J$1="July",V1355,IF($J$1="August",V1356,IF($J$1="August",V1356,IF($J$1="September",V1357,IF($J$1="October",V1358,IF($J$1="November",V1359,IF($J$1="December",V1360)))))))))))))</f>
        <v>0</v>
      </c>
      <c r="H1354" s="62"/>
      <c r="I1354" s="108"/>
      <c r="J1354" s="65" t="s">
        <v>67</v>
      </c>
      <c r="K1354" s="68">
        <f>K1349/$K$2/8*I1354</f>
        <v>0</v>
      </c>
      <c r="L1354" s="69"/>
      <c r="M1354" s="45"/>
      <c r="N1354" s="88"/>
      <c r="O1354" s="89" t="s">
        <v>54</v>
      </c>
      <c r="P1354" s="89"/>
      <c r="Q1354" s="89"/>
      <c r="R1354" s="89">
        <v>0</v>
      </c>
      <c r="S1354" s="93"/>
      <c r="T1354" s="89" t="s">
        <v>54</v>
      </c>
      <c r="U1354" s="162">
        <f>IF($J$1="May","",Y1353)</f>
        <v>0</v>
      </c>
      <c r="V1354" s="91"/>
      <c r="W1354" s="162">
        <f t="shared" si="247"/>
        <v>0</v>
      </c>
      <c r="X1354" s="91"/>
      <c r="Y1354" s="162">
        <f t="shared" si="248"/>
        <v>0</v>
      </c>
      <c r="Z1354" s="94"/>
    </row>
    <row r="1355" spans="1:26" s="43" customFormat="1" ht="21" customHeight="1" x14ac:dyDescent="0.25">
      <c r="A1355" s="44"/>
      <c r="B1355" s="63" t="s">
        <v>7</v>
      </c>
      <c r="C1355" s="54">
        <f>IF($J$1="January",P1349,IF($J$1="February",P1350,IF($J$1="March",P1351,IF($J$1="April",P1352,IF($J$1="May",P1353,IF($J$1="June",P1354,IF($J$1="July",P1355,IF($J$1="August",P1356,IF($J$1="August",P1356,IF($J$1="September",P1357,IF($J$1="October",P1358,IF($J$1="November",P1359,IF($J$1="December",P1360)))))))))))))</f>
        <v>31</v>
      </c>
      <c r="D1355" s="45"/>
      <c r="E1355" s="45"/>
      <c r="F1355" s="63" t="s">
        <v>70</v>
      </c>
      <c r="G1355" s="58">
        <f>IF($J$1="January",W1349,IF($J$1="February",W1350,IF($J$1="March",W1351,IF($J$1="April",W1352,IF($J$1="May",W1353,IF($J$1="June",W1354,IF($J$1="July",W1355,IF($J$1="August",W1356,IF($J$1="August",W1356,IF($J$1="September",W1357,IF($J$1="October",W1358,IF($J$1="November",W1359,IF($J$1="December",W1360)))))))))))))</f>
        <v>0</v>
      </c>
      <c r="H1355" s="62"/>
      <c r="I1355" s="361" t="s">
        <v>74</v>
      </c>
      <c r="J1355" s="362"/>
      <c r="K1355" s="68">
        <f>K1353+K1354</f>
        <v>16500</v>
      </c>
      <c r="L1355" s="69"/>
      <c r="M1355" s="45"/>
      <c r="N1355" s="88"/>
      <c r="O1355" s="89" t="s">
        <v>55</v>
      </c>
      <c r="P1355" s="89"/>
      <c r="Q1355" s="89"/>
      <c r="R1355" s="89">
        <v>0</v>
      </c>
      <c r="S1355" s="93"/>
      <c r="T1355" s="89" t="s">
        <v>55</v>
      </c>
      <c r="U1355" s="162">
        <f>IF($J$1="June","",Y1354)</f>
        <v>0</v>
      </c>
      <c r="V1355" s="91"/>
      <c r="W1355" s="162">
        <f t="shared" si="247"/>
        <v>0</v>
      </c>
      <c r="X1355" s="91"/>
      <c r="Y1355" s="162">
        <f t="shared" si="248"/>
        <v>0</v>
      </c>
      <c r="Z1355" s="94"/>
    </row>
    <row r="1356" spans="1:26" s="43" customFormat="1" ht="21" customHeight="1" x14ac:dyDescent="0.25">
      <c r="A1356" s="44"/>
      <c r="B1356" s="63" t="s">
        <v>6</v>
      </c>
      <c r="C1356" s="54">
        <f>IF($J$1="January",Q1349,IF($J$1="February",Q1350,IF($J$1="March",Q1351,IF($J$1="April",Q1352,IF($J$1="May",Q1353,IF($J$1="June",Q1354,IF($J$1="July",Q1355,IF($J$1="August",Q1356,IF($J$1="August",Q1356,IF($J$1="September",Q1357,IF($J$1="October",Q1358,IF($J$1="November",Q1359,IF($J$1="December",Q1360)))))))))))))</f>
        <v>0</v>
      </c>
      <c r="D1356" s="45"/>
      <c r="E1356" s="45"/>
      <c r="F1356" s="63" t="s">
        <v>24</v>
      </c>
      <c r="G1356" s="58">
        <f>IF($J$1="January",X1349,IF($J$1="February",X1350,IF($J$1="March",X1351,IF($J$1="April",X1352,IF($J$1="May",X1353,IF($J$1="June",X1354,IF($J$1="July",X1355,IF($J$1="August",X1356,IF($J$1="August",X1356,IF($J$1="September",X1357,IF($J$1="October",X1358,IF($J$1="November",X1359,IF($J$1="December",X1360)))))))))))))</f>
        <v>0</v>
      </c>
      <c r="H1356" s="62"/>
      <c r="I1356" s="361" t="s">
        <v>75</v>
      </c>
      <c r="J1356" s="362"/>
      <c r="K1356" s="58">
        <f>G1356</f>
        <v>0</v>
      </c>
      <c r="L1356" s="70"/>
      <c r="M1356" s="45"/>
      <c r="N1356" s="88"/>
      <c r="O1356" s="89" t="s">
        <v>56</v>
      </c>
      <c r="P1356" s="89"/>
      <c r="Q1356" s="89"/>
      <c r="R1356" s="89">
        <v>0</v>
      </c>
      <c r="S1356" s="93"/>
      <c r="T1356" s="89" t="s">
        <v>56</v>
      </c>
      <c r="U1356" s="162">
        <f>IF($J$1="July","",Y1355)</f>
        <v>0</v>
      </c>
      <c r="V1356" s="91"/>
      <c r="W1356" s="162">
        <f t="shared" si="247"/>
        <v>0</v>
      </c>
      <c r="X1356" s="91"/>
      <c r="Y1356" s="162">
        <f t="shared" si="248"/>
        <v>0</v>
      </c>
      <c r="Z1356" s="94"/>
    </row>
    <row r="1357" spans="1:26" s="43" customFormat="1" ht="21" customHeight="1" x14ac:dyDescent="0.25">
      <c r="A1357" s="44"/>
      <c r="B1357" s="71" t="s">
        <v>73</v>
      </c>
      <c r="C1357" s="54">
        <f>IF($J$1="January",R1349,IF($J$1="February",R1350,IF($J$1="March",R1351,IF($J$1="April",R1352,IF($J$1="May",R1353,IF($J$1="June",R1354,IF($J$1="July",R1355,IF($J$1="August",R1356,IF($J$1="August",R1356,IF($J$1="September",R1357,IF($J$1="October",R1358,IF($J$1="November",R1359,IF($J$1="December",R1360)))))))))))))</f>
        <v>0</v>
      </c>
      <c r="D1357" s="45"/>
      <c r="E1357" s="45"/>
      <c r="F1357" s="63" t="s">
        <v>257</v>
      </c>
      <c r="G1357" s="58">
        <f>IF($J$1="January",Y1349,IF($J$1="February",Y1350,IF($J$1="March",Y1351,IF($J$1="April",Y1352,IF($J$1="May",Y1353,IF($J$1="June",Y1354,IF($J$1="July",Y1355,IF($J$1="August",Y1356,IF($J$1="August",Y1356,IF($J$1="September",Y1357,IF($J$1="October",Y1358,IF($J$1="November",Y1359,IF($J$1="December",Y1360)))))))))))))</f>
        <v>0</v>
      </c>
      <c r="H1357" s="45"/>
      <c r="I1357" s="363" t="s">
        <v>68</v>
      </c>
      <c r="J1357" s="364"/>
      <c r="K1357" s="72">
        <f>K1355-K1356</f>
        <v>16500</v>
      </c>
      <c r="L1357" s="73"/>
      <c r="M1357" s="45"/>
      <c r="N1357" s="88"/>
      <c r="O1357" s="89" t="s">
        <v>61</v>
      </c>
      <c r="P1357" s="89">
        <v>30</v>
      </c>
      <c r="Q1357" s="89">
        <v>0</v>
      </c>
      <c r="R1357" s="89">
        <v>0</v>
      </c>
      <c r="S1357" s="93"/>
      <c r="T1357" s="89" t="s">
        <v>61</v>
      </c>
      <c r="U1357" s="162">
        <f>IF($J$1="August","",Y1356)</f>
        <v>0</v>
      </c>
      <c r="V1357" s="91"/>
      <c r="W1357" s="162">
        <f t="shared" si="247"/>
        <v>0</v>
      </c>
      <c r="X1357" s="91"/>
      <c r="Y1357" s="162">
        <f t="shared" si="248"/>
        <v>0</v>
      </c>
      <c r="Z1357" s="94"/>
    </row>
    <row r="1358" spans="1:26" s="43" customFormat="1" ht="21" customHeight="1" x14ac:dyDescent="0.25">
      <c r="A1358" s="44"/>
      <c r="B1358" s="45"/>
      <c r="C1358" s="45"/>
      <c r="D1358" s="45"/>
      <c r="E1358" s="45"/>
      <c r="F1358" s="45"/>
      <c r="G1358" s="45"/>
      <c r="H1358" s="45"/>
      <c r="I1358" s="45"/>
      <c r="J1358" s="45"/>
      <c r="K1358" s="45"/>
      <c r="L1358" s="61"/>
      <c r="M1358" s="45"/>
      <c r="N1358" s="88"/>
      <c r="O1358" s="89" t="s">
        <v>57</v>
      </c>
      <c r="P1358" s="89">
        <v>31</v>
      </c>
      <c r="Q1358" s="89">
        <v>0</v>
      </c>
      <c r="R1358" s="89">
        <v>0</v>
      </c>
      <c r="S1358" s="93"/>
      <c r="T1358" s="89" t="s">
        <v>57</v>
      </c>
      <c r="U1358" s="162">
        <f>IF($J$1="September","",Y1357)</f>
        <v>0</v>
      </c>
      <c r="V1358" s="91"/>
      <c r="W1358" s="162">
        <f t="shared" si="247"/>
        <v>0</v>
      </c>
      <c r="X1358" s="91"/>
      <c r="Y1358" s="162">
        <f t="shared" si="248"/>
        <v>0</v>
      </c>
      <c r="Z1358" s="94"/>
    </row>
    <row r="1359" spans="1:26" s="43" customFormat="1" ht="21" customHeight="1" x14ac:dyDescent="0.25">
      <c r="A1359" s="44"/>
      <c r="B1359" s="365" t="s">
        <v>103</v>
      </c>
      <c r="C1359" s="365"/>
      <c r="D1359" s="365"/>
      <c r="E1359" s="365"/>
      <c r="F1359" s="365"/>
      <c r="G1359" s="365"/>
      <c r="H1359" s="365"/>
      <c r="I1359" s="365"/>
      <c r="J1359" s="365"/>
      <c r="K1359" s="365"/>
      <c r="L1359" s="61"/>
      <c r="M1359" s="45"/>
      <c r="N1359" s="88"/>
      <c r="O1359" s="89" t="s">
        <v>62</v>
      </c>
      <c r="P1359" s="89"/>
      <c r="Q1359" s="89"/>
      <c r="R1359" s="89">
        <v>0</v>
      </c>
      <c r="S1359" s="93"/>
      <c r="T1359" s="89" t="s">
        <v>62</v>
      </c>
      <c r="U1359" s="162" t="str">
        <f>IF($J$1="October","",Y1358)</f>
        <v/>
      </c>
      <c r="V1359" s="91"/>
      <c r="W1359" s="162" t="str">
        <f t="shared" si="247"/>
        <v/>
      </c>
      <c r="X1359" s="91"/>
      <c r="Y1359" s="162" t="str">
        <f t="shared" si="248"/>
        <v/>
      </c>
      <c r="Z1359" s="94"/>
    </row>
    <row r="1360" spans="1:26" s="43" customFormat="1" ht="21" customHeight="1" x14ac:dyDescent="0.25">
      <c r="A1360" s="44"/>
      <c r="B1360" s="365"/>
      <c r="C1360" s="365"/>
      <c r="D1360" s="365"/>
      <c r="E1360" s="365"/>
      <c r="F1360" s="365"/>
      <c r="G1360" s="365"/>
      <c r="H1360" s="365"/>
      <c r="I1360" s="365"/>
      <c r="J1360" s="365"/>
      <c r="K1360" s="365"/>
      <c r="L1360" s="61"/>
      <c r="M1360" s="45"/>
      <c r="N1360" s="88"/>
      <c r="O1360" s="89" t="s">
        <v>63</v>
      </c>
      <c r="P1360" s="89"/>
      <c r="Q1360" s="89"/>
      <c r="R1360" s="89" t="str">
        <f>IF(Q1360="","",R1359-Q1360)</f>
        <v/>
      </c>
      <c r="S1360" s="93"/>
      <c r="T1360" s="89" t="s">
        <v>63</v>
      </c>
      <c r="U1360" s="162" t="str">
        <f>IF($J$1="November","",Y1359)</f>
        <v/>
      </c>
      <c r="V1360" s="91"/>
      <c r="W1360" s="162" t="str">
        <f t="shared" si="247"/>
        <v/>
      </c>
      <c r="X1360" s="91"/>
      <c r="Y1360" s="162" t="str">
        <f t="shared" si="248"/>
        <v/>
      </c>
      <c r="Z1360" s="94"/>
    </row>
    <row r="1361" spans="1:26" s="43" customFormat="1" ht="21" customHeight="1" thickBot="1" x14ac:dyDescent="0.3">
      <c r="A1361" s="74"/>
      <c r="B1361" s="75"/>
      <c r="C1361" s="75"/>
      <c r="D1361" s="75"/>
      <c r="E1361" s="75"/>
      <c r="F1361" s="75"/>
      <c r="G1361" s="75"/>
      <c r="H1361" s="75"/>
      <c r="I1361" s="75"/>
      <c r="J1361" s="75"/>
      <c r="K1361" s="75"/>
      <c r="L1361" s="76"/>
      <c r="N1361" s="95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7"/>
    </row>
    <row r="1362" spans="1:26" ht="15" thickBot="1" x14ac:dyDescent="0.35"/>
    <row r="1363" spans="1:26" s="43" customFormat="1" ht="21" customHeight="1" x14ac:dyDescent="0.25">
      <c r="A1363" s="377" t="s">
        <v>45</v>
      </c>
      <c r="B1363" s="378"/>
      <c r="C1363" s="378"/>
      <c r="D1363" s="378"/>
      <c r="E1363" s="378"/>
      <c r="F1363" s="378"/>
      <c r="G1363" s="378"/>
      <c r="H1363" s="378"/>
      <c r="I1363" s="378"/>
      <c r="J1363" s="378"/>
      <c r="K1363" s="378"/>
      <c r="L1363" s="379"/>
      <c r="M1363" s="187"/>
      <c r="N1363" s="81"/>
      <c r="O1363" s="372" t="s">
        <v>47</v>
      </c>
      <c r="P1363" s="373"/>
      <c r="Q1363" s="373"/>
      <c r="R1363" s="374"/>
      <c r="S1363" s="82"/>
      <c r="T1363" s="372" t="s">
        <v>48</v>
      </c>
      <c r="U1363" s="373"/>
      <c r="V1363" s="373"/>
      <c r="W1363" s="373"/>
      <c r="X1363" s="373"/>
      <c r="Y1363" s="374"/>
      <c r="Z1363" s="83"/>
    </row>
    <row r="1364" spans="1:26" s="43" customFormat="1" ht="21" customHeight="1" x14ac:dyDescent="0.25">
      <c r="A1364" s="44"/>
      <c r="B1364" s="45"/>
      <c r="C1364" s="375" t="s">
        <v>101</v>
      </c>
      <c r="D1364" s="375"/>
      <c r="E1364" s="375"/>
      <c r="F1364" s="375"/>
      <c r="G1364" s="46" t="str">
        <f>$J$1</f>
        <v>October</v>
      </c>
      <c r="H1364" s="376">
        <f>$K$1</f>
        <v>2020</v>
      </c>
      <c r="I1364" s="376"/>
      <c r="J1364" s="45"/>
      <c r="K1364" s="47"/>
      <c r="L1364" s="48"/>
      <c r="M1364" s="47"/>
      <c r="N1364" s="84"/>
      <c r="O1364" s="85" t="s">
        <v>58</v>
      </c>
      <c r="P1364" s="85" t="s">
        <v>7</v>
      </c>
      <c r="Q1364" s="85" t="s">
        <v>6</v>
      </c>
      <c r="R1364" s="85" t="s">
        <v>59</v>
      </c>
      <c r="S1364" s="86"/>
      <c r="T1364" s="85" t="s">
        <v>58</v>
      </c>
      <c r="U1364" s="85" t="s">
        <v>60</v>
      </c>
      <c r="V1364" s="85" t="s">
        <v>23</v>
      </c>
      <c r="W1364" s="85" t="s">
        <v>22</v>
      </c>
      <c r="X1364" s="85" t="s">
        <v>24</v>
      </c>
      <c r="Y1364" s="85" t="s">
        <v>64</v>
      </c>
      <c r="Z1364" s="87"/>
    </row>
    <row r="1365" spans="1:26" s="43" customFormat="1" ht="21" customHeight="1" x14ac:dyDescent="0.25">
      <c r="A1365" s="44"/>
      <c r="B1365" s="45"/>
      <c r="C1365" s="45"/>
      <c r="D1365" s="50"/>
      <c r="E1365" s="50"/>
      <c r="F1365" s="50"/>
      <c r="G1365" s="50"/>
      <c r="H1365" s="50"/>
      <c r="I1365" s="45"/>
      <c r="J1365" s="51" t="s">
        <v>1</v>
      </c>
      <c r="K1365" s="52">
        <v>16500</v>
      </c>
      <c r="L1365" s="53"/>
      <c r="M1365" s="45"/>
      <c r="N1365" s="88"/>
      <c r="O1365" s="89" t="s">
        <v>50</v>
      </c>
      <c r="P1365" s="89"/>
      <c r="Q1365" s="89"/>
      <c r="R1365" s="89">
        <v>0</v>
      </c>
      <c r="S1365" s="90"/>
      <c r="T1365" s="89" t="s">
        <v>50</v>
      </c>
      <c r="U1365" s="91"/>
      <c r="V1365" s="91"/>
      <c r="W1365" s="91">
        <f>V1365+U1365</f>
        <v>0</v>
      </c>
      <c r="X1365" s="91"/>
      <c r="Y1365" s="91">
        <f>W1365-X1365</f>
        <v>0</v>
      </c>
      <c r="Z1365" s="87"/>
    </row>
    <row r="1366" spans="1:26" s="43" customFormat="1" ht="21" customHeight="1" x14ac:dyDescent="0.25">
      <c r="A1366" s="44"/>
      <c r="B1366" s="45" t="s">
        <v>0</v>
      </c>
      <c r="C1366" s="100" t="s">
        <v>169</v>
      </c>
      <c r="D1366" s="45"/>
      <c r="E1366" s="45"/>
      <c r="F1366" s="45"/>
      <c r="G1366" s="45"/>
      <c r="H1366" s="56"/>
      <c r="I1366" s="50"/>
      <c r="J1366" s="45"/>
      <c r="K1366" s="45"/>
      <c r="L1366" s="57"/>
      <c r="M1366" s="187"/>
      <c r="N1366" s="92"/>
      <c r="O1366" s="89" t="s">
        <v>76</v>
      </c>
      <c r="P1366" s="89"/>
      <c r="Q1366" s="89"/>
      <c r="R1366" s="89">
        <v>0</v>
      </c>
      <c r="S1366" s="93"/>
      <c r="T1366" s="89" t="s">
        <v>76</v>
      </c>
      <c r="U1366" s="162">
        <f>IF($J$1="January","",Y1365)</f>
        <v>0</v>
      </c>
      <c r="V1366" s="91"/>
      <c r="W1366" s="162">
        <f>IF(U1366="","",U1366+V1366)</f>
        <v>0</v>
      </c>
      <c r="X1366" s="91"/>
      <c r="Y1366" s="162">
        <f>IF(W1366="","",W1366-X1366)</f>
        <v>0</v>
      </c>
      <c r="Z1366" s="94"/>
    </row>
    <row r="1367" spans="1:26" s="43" customFormat="1" ht="21" customHeight="1" x14ac:dyDescent="0.25">
      <c r="A1367" s="44"/>
      <c r="B1367" s="59" t="s">
        <v>46</v>
      </c>
      <c r="C1367" s="193"/>
      <c r="D1367" s="45"/>
      <c r="E1367" s="45"/>
      <c r="F1367" s="366" t="s">
        <v>48</v>
      </c>
      <c r="G1367" s="366"/>
      <c r="H1367" s="45"/>
      <c r="I1367" s="366" t="s">
        <v>49</v>
      </c>
      <c r="J1367" s="366"/>
      <c r="K1367" s="366"/>
      <c r="L1367" s="61"/>
      <c r="M1367" s="45"/>
      <c r="N1367" s="88"/>
      <c r="O1367" s="89" t="s">
        <v>51</v>
      </c>
      <c r="P1367" s="89"/>
      <c r="Q1367" s="89"/>
      <c r="R1367" s="89">
        <v>0</v>
      </c>
      <c r="S1367" s="93"/>
      <c r="T1367" s="89" t="s">
        <v>51</v>
      </c>
      <c r="U1367" s="162">
        <f>IF($J$1="February","",Y1366)</f>
        <v>0</v>
      </c>
      <c r="V1367" s="91"/>
      <c r="W1367" s="162">
        <f t="shared" ref="W1367:W1376" si="249">IF(U1367="","",U1367+V1367)</f>
        <v>0</v>
      </c>
      <c r="X1367" s="91"/>
      <c r="Y1367" s="162">
        <f t="shared" ref="Y1367:Y1376" si="250">IF(W1367="","",W1367-X1367)</f>
        <v>0</v>
      </c>
      <c r="Z1367" s="94"/>
    </row>
    <row r="1368" spans="1:26" s="43" customFormat="1" ht="21" customHeight="1" x14ac:dyDescent="0.25">
      <c r="A1368" s="44"/>
      <c r="B1368" s="45"/>
      <c r="C1368" s="45"/>
      <c r="D1368" s="45"/>
      <c r="E1368" s="45"/>
      <c r="F1368" s="45"/>
      <c r="G1368" s="45"/>
      <c r="H1368" s="62"/>
      <c r="L1368" s="49"/>
      <c r="M1368" s="45"/>
      <c r="N1368" s="88"/>
      <c r="O1368" s="89" t="s">
        <v>52</v>
      </c>
      <c r="P1368" s="89"/>
      <c r="Q1368" s="89"/>
      <c r="R1368" s="89">
        <v>0</v>
      </c>
      <c r="S1368" s="93"/>
      <c r="T1368" s="89" t="s">
        <v>52</v>
      </c>
      <c r="U1368" s="162">
        <f>IF($J$1="March","",Y1367)</f>
        <v>0</v>
      </c>
      <c r="V1368" s="91"/>
      <c r="W1368" s="162">
        <f t="shared" si="249"/>
        <v>0</v>
      </c>
      <c r="X1368" s="91"/>
      <c r="Y1368" s="162">
        <f t="shared" si="250"/>
        <v>0</v>
      </c>
      <c r="Z1368" s="94"/>
    </row>
    <row r="1369" spans="1:26" s="43" customFormat="1" ht="21" customHeight="1" x14ac:dyDescent="0.25">
      <c r="A1369" s="44"/>
      <c r="B1369" s="367" t="s">
        <v>47</v>
      </c>
      <c r="C1369" s="368"/>
      <c r="D1369" s="45"/>
      <c r="E1369" s="45"/>
      <c r="F1369" s="63" t="s">
        <v>69</v>
      </c>
      <c r="G1369" s="58">
        <f>IF($J$1="January",U1365,IF($J$1="February",U1366,IF($J$1="March",U1367,IF($J$1="April",U1368,IF($J$1="May",U1369,IF($J$1="June",U1370,IF($J$1="July",U1371,IF($J$1="August",U1372,IF($J$1="August",U1372,IF($J$1="September",U1373,IF($J$1="October",U1374,IF($J$1="November",U1375,IF($J$1="December",U1376)))))))))))))</f>
        <v>0</v>
      </c>
      <c r="H1369" s="62"/>
      <c r="I1369" s="324">
        <f>IF(C1373&gt;0,$K$2,C1371)</f>
        <v>31</v>
      </c>
      <c r="J1369" s="65" t="s">
        <v>66</v>
      </c>
      <c r="K1369" s="66">
        <f>K1365/$K$2*I1369</f>
        <v>16500</v>
      </c>
      <c r="L1369" s="67"/>
      <c r="M1369" s="45"/>
      <c r="N1369" s="88"/>
      <c r="O1369" s="89" t="s">
        <v>53</v>
      </c>
      <c r="P1369" s="89"/>
      <c r="Q1369" s="89"/>
      <c r="R1369" s="89">
        <v>0</v>
      </c>
      <c r="S1369" s="93"/>
      <c r="T1369" s="89" t="s">
        <v>53</v>
      </c>
      <c r="U1369" s="162">
        <f>IF($J$1="April","",Y1368)</f>
        <v>0</v>
      </c>
      <c r="V1369" s="91"/>
      <c r="W1369" s="162">
        <f t="shared" si="249"/>
        <v>0</v>
      </c>
      <c r="X1369" s="91"/>
      <c r="Y1369" s="162">
        <f t="shared" si="250"/>
        <v>0</v>
      </c>
      <c r="Z1369" s="94"/>
    </row>
    <row r="1370" spans="1:26" s="43" customFormat="1" ht="21" customHeight="1" x14ac:dyDescent="0.25">
      <c r="A1370" s="44"/>
      <c r="B1370" s="54"/>
      <c r="C1370" s="54"/>
      <c r="D1370" s="45"/>
      <c r="E1370" s="45"/>
      <c r="F1370" s="63" t="s">
        <v>23</v>
      </c>
      <c r="G1370" s="58">
        <f>IF($J$1="January",V1365,IF($J$1="February",V1366,IF($J$1="March",V1367,IF($J$1="April",V1368,IF($J$1="May",V1369,IF($J$1="June",V1370,IF($J$1="July",V1371,IF($J$1="August",V1372,IF($J$1="August",V1372,IF($J$1="September",V1373,IF($J$1="October",V1374,IF($J$1="November",V1375,IF($J$1="December",V1376)))))))))))))</f>
        <v>0</v>
      </c>
      <c r="H1370" s="62"/>
      <c r="I1370" s="108">
        <v>4</v>
      </c>
      <c r="J1370" s="65" t="s">
        <v>67</v>
      </c>
      <c r="K1370" s="68">
        <f>K1365/$K$2/8*I1370</f>
        <v>266.12903225806451</v>
      </c>
      <c r="L1370" s="69"/>
      <c r="M1370" s="45"/>
      <c r="N1370" s="88"/>
      <c r="O1370" s="89" t="s">
        <v>54</v>
      </c>
      <c r="P1370" s="89"/>
      <c r="Q1370" s="89"/>
      <c r="R1370" s="89">
        <v>0</v>
      </c>
      <c r="S1370" s="93"/>
      <c r="T1370" s="89" t="s">
        <v>54</v>
      </c>
      <c r="U1370" s="162">
        <f>IF($J$1="May","",Y1369)</f>
        <v>0</v>
      </c>
      <c r="V1370" s="91"/>
      <c r="W1370" s="162">
        <f t="shared" si="249"/>
        <v>0</v>
      </c>
      <c r="X1370" s="91"/>
      <c r="Y1370" s="162">
        <f t="shared" si="250"/>
        <v>0</v>
      </c>
      <c r="Z1370" s="94"/>
    </row>
    <row r="1371" spans="1:26" s="43" customFormat="1" ht="21" customHeight="1" x14ac:dyDescent="0.25">
      <c r="A1371" s="44"/>
      <c r="B1371" s="63" t="s">
        <v>7</v>
      </c>
      <c r="C1371" s="54">
        <f>IF($J$1="January",P1365,IF($J$1="February",P1366,IF($J$1="March",P1367,IF($J$1="April",P1368,IF($J$1="May",P1369,IF($J$1="June",P1370,IF($J$1="July",P1371,IF($J$1="August",P1372,IF($J$1="August",P1372,IF($J$1="September",P1373,IF($J$1="October",P1374,IF($J$1="November",P1375,IF($J$1="December",P1376)))))))))))))</f>
        <v>31</v>
      </c>
      <c r="D1371" s="45"/>
      <c r="E1371" s="45"/>
      <c r="F1371" s="63" t="s">
        <v>70</v>
      </c>
      <c r="G1371" s="58">
        <f>IF($J$1="January",W1365,IF($J$1="February",W1366,IF($J$1="March",W1367,IF($J$1="April",W1368,IF($J$1="May",W1369,IF($J$1="June",W1370,IF($J$1="July",W1371,IF($J$1="August",W1372,IF($J$1="August",W1372,IF($J$1="September",W1373,IF($J$1="October",W1374,IF($J$1="November",W1375,IF($J$1="December",W1376)))))))))))))</f>
        <v>0</v>
      </c>
      <c r="H1371" s="62"/>
      <c r="I1371" s="361" t="s">
        <v>74</v>
      </c>
      <c r="J1371" s="362"/>
      <c r="K1371" s="68">
        <f>K1369+K1370</f>
        <v>16766.129032258064</v>
      </c>
      <c r="L1371" s="69"/>
      <c r="M1371" s="45"/>
      <c r="N1371" s="88"/>
      <c r="O1371" s="89" t="s">
        <v>55</v>
      </c>
      <c r="P1371" s="89"/>
      <c r="Q1371" s="89"/>
      <c r="R1371" s="89">
        <v>0</v>
      </c>
      <c r="S1371" s="93"/>
      <c r="T1371" s="89" t="s">
        <v>55</v>
      </c>
      <c r="U1371" s="162">
        <f>IF($J$1="June","",Y1370)</f>
        <v>0</v>
      </c>
      <c r="V1371" s="91"/>
      <c r="W1371" s="162">
        <f t="shared" si="249"/>
        <v>0</v>
      </c>
      <c r="X1371" s="91"/>
      <c r="Y1371" s="162">
        <f t="shared" si="250"/>
        <v>0</v>
      </c>
      <c r="Z1371" s="94"/>
    </row>
    <row r="1372" spans="1:26" s="43" customFormat="1" ht="21" customHeight="1" x14ac:dyDescent="0.25">
      <c r="A1372" s="44"/>
      <c r="B1372" s="63" t="s">
        <v>6</v>
      </c>
      <c r="C1372" s="54">
        <f>IF($J$1="January",Q1365,IF($J$1="February",Q1366,IF($J$1="March",Q1367,IF($J$1="April",Q1368,IF($J$1="May",Q1369,IF($J$1="June",Q1370,IF($J$1="July",Q1371,IF($J$1="August",Q1372,IF($J$1="August",Q1372,IF($J$1="September",Q1373,IF($J$1="October",Q1374,IF($J$1="November",Q1375,IF($J$1="December",Q1376)))))))))))))</f>
        <v>0</v>
      </c>
      <c r="D1372" s="45"/>
      <c r="E1372" s="45"/>
      <c r="F1372" s="63" t="s">
        <v>24</v>
      </c>
      <c r="G1372" s="58">
        <f>IF($J$1="January",X1365,IF($J$1="February",X1366,IF($J$1="March",X1367,IF($J$1="April",X1368,IF($J$1="May",X1369,IF($J$1="June",X1370,IF($J$1="July",X1371,IF($J$1="August",X1372,IF($J$1="August",X1372,IF($J$1="September",X1373,IF($J$1="October",X1374,IF($J$1="November",X1375,IF($J$1="December",X1376)))))))))))))</f>
        <v>0</v>
      </c>
      <c r="H1372" s="62"/>
      <c r="I1372" s="361" t="s">
        <v>75</v>
      </c>
      <c r="J1372" s="362"/>
      <c r="K1372" s="58">
        <f>G1372</f>
        <v>0</v>
      </c>
      <c r="L1372" s="70"/>
      <c r="M1372" s="45"/>
      <c r="N1372" s="88"/>
      <c r="O1372" s="89" t="s">
        <v>56</v>
      </c>
      <c r="P1372" s="89"/>
      <c r="Q1372" s="89"/>
      <c r="R1372" s="89">
        <v>0</v>
      </c>
      <c r="S1372" s="93"/>
      <c r="T1372" s="89" t="s">
        <v>56</v>
      </c>
      <c r="U1372" s="162">
        <f>IF($J$1="July","",Y1371)</f>
        <v>0</v>
      </c>
      <c r="V1372" s="91"/>
      <c r="W1372" s="162">
        <f t="shared" si="249"/>
        <v>0</v>
      </c>
      <c r="X1372" s="91"/>
      <c r="Y1372" s="162">
        <f t="shared" si="250"/>
        <v>0</v>
      </c>
      <c r="Z1372" s="94"/>
    </row>
    <row r="1373" spans="1:26" s="43" customFormat="1" ht="21" customHeight="1" x14ac:dyDescent="0.25">
      <c r="A1373" s="44"/>
      <c r="B1373" s="71" t="s">
        <v>73</v>
      </c>
      <c r="C1373" s="54">
        <f>IF($J$1="January",R1365,IF($J$1="February",R1366,IF($J$1="March",R1367,IF($J$1="April",R1368,IF($J$1="May",R1369,IF($J$1="June",R1370,IF($J$1="July",R1371,IF($J$1="August",R1372,IF($J$1="August",R1372,IF($J$1="September",R1373,IF($J$1="October",R1374,IF($J$1="November",R1375,IF($J$1="December",R1376)))))))))))))</f>
        <v>0</v>
      </c>
      <c r="D1373" s="45"/>
      <c r="E1373" s="45"/>
      <c r="F1373" s="63" t="s">
        <v>257</v>
      </c>
      <c r="G1373" s="58">
        <f>IF($J$1="January",Y1365,IF($J$1="February",Y1366,IF($J$1="March",Y1367,IF($J$1="April",Y1368,IF($J$1="May",Y1369,IF($J$1="June",Y1370,IF($J$1="July",Y1371,IF($J$1="August",Y1372,IF($J$1="August",Y1372,IF($J$1="September",Y1373,IF($J$1="October",Y1374,IF($J$1="November",Y1375,IF($J$1="December",Y1376)))))))))))))</f>
        <v>0</v>
      </c>
      <c r="H1373" s="45"/>
      <c r="I1373" s="363" t="s">
        <v>68</v>
      </c>
      <c r="J1373" s="364"/>
      <c r="K1373" s="72">
        <f>K1371-K1372</f>
        <v>16766.129032258064</v>
      </c>
      <c r="L1373" s="73"/>
      <c r="M1373" s="45"/>
      <c r="N1373" s="88"/>
      <c r="O1373" s="89" t="s">
        <v>61</v>
      </c>
      <c r="P1373" s="89">
        <v>30</v>
      </c>
      <c r="Q1373" s="89">
        <v>0</v>
      </c>
      <c r="R1373" s="89">
        <v>0</v>
      </c>
      <c r="S1373" s="93"/>
      <c r="T1373" s="89" t="s">
        <v>61</v>
      </c>
      <c r="U1373" s="162">
        <f>IF($J$1="August","",Y1372)</f>
        <v>0</v>
      </c>
      <c r="V1373" s="91"/>
      <c r="W1373" s="162">
        <f t="shared" si="249"/>
        <v>0</v>
      </c>
      <c r="X1373" s="91"/>
      <c r="Y1373" s="162">
        <f t="shared" si="250"/>
        <v>0</v>
      </c>
      <c r="Z1373" s="94"/>
    </row>
    <row r="1374" spans="1:26" s="43" customFormat="1" ht="21" customHeight="1" x14ac:dyDescent="0.25">
      <c r="A1374" s="44"/>
      <c r="B1374" s="45"/>
      <c r="C1374" s="45"/>
      <c r="D1374" s="45"/>
      <c r="E1374" s="45"/>
      <c r="F1374" s="45"/>
      <c r="G1374" s="45"/>
      <c r="H1374" s="45"/>
      <c r="I1374" s="45"/>
      <c r="J1374" s="45"/>
      <c r="K1374" s="45"/>
      <c r="L1374" s="61"/>
      <c r="M1374" s="45"/>
      <c r="N1374" s="88"/>
      <c r="O1374" s="89" t="s">
        <v>57</v>
      </c>
      <c r="P1374" s="89">
        <v>31</v>
      </c>
      <c r="Q1374" s="89">
        <v>0</v>
      </c>
      <c r="R1374" s="89">
        <f>IF(Q1374="","",R1373-Q1374)</f>
        <v>0</v>
      </c>
      <c r="S1374" s="93"/>
      <c r="T1374" s="89" t="s">
        <v>57</v>
      </c>
      <c r="U1374" s="162">
        <f>IF($J$1="September","",Y1373)</f>
        <v>0</v>
      </c>
      <c r="V1374" s="91"/>
      <c r="W1374" s="162">
        <f t="shared" si="249"/>
        <v>0</v>
      </c>
      <c r="X1374" s="91"/>
      <c r="Y1374" s="162">
        <f t="shared" si="250"/>
        <v>0</v>
      </c>
      <c r="Z1374" s="94"/>
    </row>
    <row r="1375" spans="1:26" s="43" customFormat="1" ht="21" customHeight="1" x14ac:dyDescent="0.25">
      <c r="A1375" s="44"/>
      <c r="B1375" s="365" t="s">
        <v>103</v>
      </c>
      <c r="C1375" s="365"/>
      <c r="D1375" s="365"/>
      <c r="E1375" s="365"/>
      <c r="F1375" s="365"/>
      <c r="G1375" s="365"/>
      <c r="H1375" s="365"/>
      <c r="I1375" s="365"/>
      <c r="J1375" s="365"/>
      <c r="K1375" s="365"/>
      <c r="L1375" s="61"/>
      <c r="M1375" s="45"/>
      <c r="N1375" s="88"/>
      <c r="O1375" s="89" t="s">
        <v>62</v>
      </c>
      <c r="P1375" s="89"/>
      <c r="Q1375" s="89"/>
      <c r="R1375" s="89">
        <v>0</v>
      </c>
      <c r="S1375" s="93"/>
      <c r="T1375" s="89" t="s">
        <v>62</v>
      </c>
      <c r="U1375" s="162" t="str">
        <f>IF($J$1="October","",Y1374)</f>
        <v/>
      </c>
      <c r="V1375" s="91"/>
      <c r="W1375" s="162" t="str">
        <f t="shared" si="249"/>
        <v/>
      </c>
      <c r="X1375" s="91"/>
      <c r="Y1375" s="162" t="str">
        <f t="shared" si="250"/>
        <v/>
      </c>
      <c r="Z1375" s="94"/>
    </row>
    <row r="1376" spans="1:26" s="43" customFormat="1" ht="21" customHeight="1" x14ac:dyDescent="0.25">
      <c r="A1376" s="44"/>
      <c r="B1376" s="365"/>
      <c r="C1376" s="365"/>
      <c r="D1376" s="365"/>
      <c r="E1376" s="365"/>
      <c r="F1376" s="365"/>
      <c r="G1376" s="365"/>
      <c r="H1376" s="365"/>
      <c r="I1376" s="365"/>
      <c r="J1376" s="365"/>
      <c r="K1376" s="365"/>
      <c r="L1376" s="61"/>
      <c r="M1376" s="45"/>
      <c r="N1376" s="88"/>
      <c r="O1376" s="89" t="s">
        <v>63</v>
      </c>
      <c r="P1376" s="89"/>
      <c r="Q1376" s="89"/>
      <c r="R1376" s="89">
        <v>0</v>
      </c>
      <c r="S1376" s="93"/>
      <c r="T1376" s="89" t="s">
        <v>63</v>
      </c>
      <c r="U1376" s="162" t="str">
        <f>IF($J$1="November","",Y1375)</f>
        <v/>
      </c>
      <c r="V1376" s="91"/>
      <c r="W1376" s="162" t="str">
        <f t="shared" si="249"/>
        <v/>
      </c>
      <c r="X1376" s="91"/>
      <c r="Y1376" s="162" t="str">
        <f t="shared" si="250"/>
        <v/>
      </c>
      <c r="Z1376" s="94"/>
    </row>
    <row r="1377" spans="1:27" s="43" customFormat="1" ht="21" customHeight="1" thickBot="1" x14ac:dyDescent="0.3">
      <c r="A1377" s="74"/>
      <c r="B1377" s="75"/>
      <c r="C1377" s="75"/>
      <c r="D1377" s="75"/>
      <c r="E1377" s="75"/>
      <c r="F1377" s="75"/>
      <c r="G1377" s="75"/>
      <c r="H1377" s="75"/>
      <c r="I1377" s="75"/>
      <c r="J1377" s="75"/>
      <c r="K1377" s="75"/>
      <c r="L1377" s="76"/>
      <c r="N1377" s="95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7"/>
    </row>
    <row r="1378" spans="1:27" s="43" customFormat="1" ht="21" hidden="1" customHeight="1" thickBot="1" x14ac:dyDescent="0.3">
      <c r="A1378" s="44"/>
      <c r="B1378" s="45"/>
      <c r="C1378" s="45"/>
      <c r="D1378" s="45"/>
      <c r="E1378" s="45"/>
      <c r="F1378" s="45"/>
      <c r="G1378" s="45"/>
      <c r="H1378" s="45"/>
      <c r="I1378" s="45"/>
      <c r="J1378" s="45"/>
      <c r="K1378" s="45"/>
      <c r="L1378" s="61"/>
      <c r="N1378" s="88"/>
      <c r="O1378" s="93"/>
      <c r="P1378" s="93"/>
      <c r="Q1378" s="93"/>
      <c r="R1378" s="93"/>
      <c r="S1378" s="93"/>
      <c r="T1378" s="93"/>
      <c r="U1378" s="93"/>
      <c r="V1378" s="93"/>
      <c r="W1378" s="93"/>
      <c r="X1378" s="93"/>
      <c r="Y1378" s="93"/>
      <c r="Z1378" s="109"/>
    </row>
    <row r="1379" spans="1:27" s="43" customFormat="1" ht="21" hidden="1" customHeight="1" x14ac:dyDescent="0.25">
      <c r="A1379" s="389" t="s">
        <v>45</v>
      </c>
      <c r="B1379" s="390"/>
      <c r="C1379" s="390"/>
      <c r="D1379" s="390"/>
      <c r="E1379" s="390"/>
      <c r="F1379" s="390"/>
      <c r="G1379" s="390"/>
      <c r="H1379" s="390"/>
      <c r="I1379" s="390"/>
      <c r="J1379" s="390"/>
      <c r="K1379" s="390"/>
      <c r="L1379" s="391"/>
      <c r="M1379" s="42"/>
      <c r="N1379" s="81"/>
      <c r="O1379" s="372" t="s">
        <v>47</v>
      </c>
      <c r="P1379" s="373"/>
      <c r="Q1379" s="373"/>
      <c r="R1379" s="374"/>
      <c r="S1379" s="82"/>
      <c r="T1379" s="372" t="s">
        <v>48</v>
      </c>
      <c r="U1379" s="373"/>
      <c r="V1379" s="373"/>
      <c r="W1379" s="373"/>
      <c r="X1379" s="373"/>
      <c r="Y1379" s="374"/>
      <c r="Z1379" s="83"/>
      <c r="AA1379" s="42"/>
    </row>
    <row r="1380" spans="1:27" s="43" customFormat="1" ht="21" hidden="1" customHeight="1" x14ac:dyDescent="0.25">
      <c r="A1380" s="44"/>
      <c r="B1380" s="45"/>
      <c r="C1380" s="375" t="s">
        <v>101</v>
      </c>
      <c r="D1380" s="375"/>
      <c r="E1380" s="375"/>
      <c r="F1380" s="375"/>
      <c r="G1380" s="46" t="str">
        <f>$J$1</f>
        <v>October</v>
      </c>
      <c r="H1380" s="376">
        <f>$K$1</f>
        <v>2020</v>
      </c>
      <c r="I1380" s="376"/>
      <c r="J1380" s="45"/>
      <c r="K1380" s="47"/>
      <c r="L1380" s="48"/>
      <c r="M1380" s="47"/>
      <c r="N1380" s="84"/>
      <c r="O1380" s="85" t="s">
        <v>58</v>
      </c>
      <c r="P1380" s="85" t="s">
        <v>7</v>
      </c>
      <c r="Q1380" s="85" t="s">
        <v>6</v>
      </c>
      <c r="R1380" s="85" t="s">
        <v>59</v>
      </c>
      <c r="S1380" s="86"/>
      <c r="T1380" s="85" t="s">
        <v>58</v>
      </c>
      <c r="U1380" s="85" t="s">
        <v>60</v>
      </c>
      <c r="V1380" s="85" t="s">
        <v>23</v>
      </c>
      <c r="W1380" s="85" t="s">
        <v>22</v>
      </c>
      <c r="X1380" s="85" t="s">
        <v>24</v>
      </c>
      <c r="Y1380" s="85" t="s">
        <v>64</v>
      </c>
      <c r="Z1380" s="87"/>
      <c r="AA1380" s="47"/>
    </row>
    <row r="1381" spans="1:27" s="43" customFormat="1" ht="21" hidden="1" customHeight="1" x14ac:dyDescent="0.25">
      <c r="A1381" s="44"/>
      <c r="B1381" s="45"/>
      <c r="C1381" s="45"/>
      <c r="D1381" s="50"/>
      <c r="E1381" s="50"/>
      <c r="F1381" s="50"/>
      <c r="G1381" s="50"/>
      <c r="H1381" s="50"/>
      <c r="I1381" s="45"/>
      <c r="J1381" s="51" t="s">
        <v>1</v>
      </c>
      <c r="K1381" s="52"/>
      <c r="L1381" s="53"/>
      <c r="M1381" s="45"/>
      <c r="N1381" s="88"/>
      <c r="O1381" s="89" t="s">
        <v>50</v>
      </c>
      <c r="P1381" s="89"/>
      <c r="Q1381" s="89"/>
      <c r="R1381" s="89">
        <v>0</v>
      </c>
      <c r="S1381" s="90"/>
      <c r="T1381" s="89" t="s">
        <v>50</v>
      </c>
      <c r="U1381" s="91"/>
      <c r="V1381" s="91"/>
      <c r="W1381" s="91">
        <f>V1381+U1381</f>
        <v>0</v>
      </c>
      <c r="X1381" s="91"/>
      <c r="Y1381" s="91">
        <f>W1381-X1381</f>
        <v>0</v>
      </c>
      <c r="Z1381" s="87"/>
      <c r="AA1381" s="45"/>
    </row>
    <row r="1382" spans="1:27" s="43" customFormat="1" ht="21" hidden="1" customHeight="1" x14ac:dyDescent="0.25">
      <c r="A1382" s="44"/>
      <c r="B1382" s="45" t="s">
        <v>0</v>
      </c>
      <c r="C1382" s="55"/>
      <c r="D1382" s="45"/>
      <c r="E1382" s="45"/>
      <c r="F1382" s="45"/>
      <c r="G1382" s="45"/>
      <c r="H1382" s="56"/>
      <c r="I1382" s="50"/>
      <c r="J1382" s="45"/>
      <c r="K1382" s="45"/>
      <c r="L1382" s="57"/>
      <c r="M1382" s="42"/>
      <c r="N1382" s="92"/>
      <c r="O1382" s="89" t="s">
        <v>76</v>
      </c>
      <c r="P1382" s="89"/>
      <c r="Q1382" s="89"/>
      <c r="R1382" s="89">
        <v>0</v>
      </c>
      <c r="S1382" s="93"/>
      <c r="T1382" s="89" t="s">
        <v>76</v>
      </c>
      <c r="U1382" s="162">
        <f>Y1381</f>
        <v>0</v>
      </c>
      <c r="V1382" s="91"/>
      <c r="W1382" s="162">
        <f>IF(U1382="","",U1382+V1382)</f>
        <v>0</v>
      </c>
      <c r="X1382" s="91"/>
      <c r="Y1382" s="162">
        <f>IF(W1382="","",W1382-X1382)</f>
        <v>0</v>
      </c>
      <c r="Z1382" s="94"/>
      <c r="AA1382" s="42"/>
    </row>
    <row r="1383" spans="1:27" s="43" customFormat="1" ht="21" hidden="1" customHeight="1" x14ac:dyDescent="0.25">
      <c r="A1383" s="44"/>
      <c r="B1383" s="59" t="s">
        <v>46</v>
      </c>
      <c r="C1383" s="77"/>
      <c r="D1383" s="45"/>
      <c r="E1383" s="45"/>
      <c r="F1383" s="366" t="s">
        <v>48</v>
      </c>
      <c r="G1383" s="366"/>
      <c r="H1383" s="45"/>
      <c r="I1383" s="366" t="s">
        <v>49</v>
      </c>
      <c r="J1383" s="366"/>
      <c r="K1383" s="366"/>
      <c r="L1383" s="61"/>
      <c r="M1383" s="45"/>
      <c r="N1383" s="88"/>
      <c r="O1383" s="89" t="s">
        <v>51</v>
      </c>
      <c r="P1383" s="89"/>
      <c r="Q1383" s="89"/>
      <c r="R1383" s="89">
        <v>0</v>
      </c>
      <c r="S1383" s="93"/>
      <c r="T1383" s="89" t="s">
        <v>51</v>
      </c>
      <c r="U1383" s="162"/>
      <c r="V1383" s="91"/>
      <c r="W1383" s="162" t="str">
        <f t="shared" ref="W1383:W1392" si="251">IF(U1383="","",U1383+V1383)</f>
        <v/>
      </c>
      <c r="X1383" s="91"/>
      <c r="Y1383" s="162" t="str">
        <f t="shared" ref="Y1383:Y1392" si="252">IF(W1383="","",W1383-X1383)</f>
        <v/>
      </c>
      <c r="Z1383" s="94"/>
      <c r="AA1383" s="45"/>
    </row>
    <row r="1384" spans="1:27" s="43" customFormat="1" ht="21" hidden="1" customHeight="1" x14ac:dyDescent="0.25">
      <c r="A1384" s="44"/>
      <c r="B1384" s="45"/>
      <c r="C1384" s="45"/>
      <c r="D1384" s="45"/>
      <c r="E1384" s="45"/>
      <c r="F1384" s="45"/>
      <c r="G1384" s="45"/>
      <c r="H1384" s="62"/>
      <c r="L1384" s="49"/>
      <c r="M1384" s="45"/>
      <c r="N1384" s="88"/>
      <c r="O1384" s="89" t="s">
        <v>52</v>
      </c>
      <c r="P1384" s="89"/>
      <c r="Q1384" s="89"/>
      <c r="R1384" s="89">
        <v>0</v>
      </c>
      <c r="S1384" s="93"/>
      <c r="T1384" s="89" t="s">
        <v>52</v>
      </c>
      <c r="U1384" s="162"/>
      <c r="V1384" s="91"/>
      <c r="W1384" s="162" t="str">
        <f t="shared" si="251"/>
        <v/>
      </c>
      <c r="X1384" s="91"/>
      <c r="Y1384" s="162" t="str">
        <f t="shared" si="252"/>
        <v/>
      </c>
      <c r="Z1384" s="94"/>
      <c r="AA1384" s="45"/>
    </row>
    <row r="1385" spans="1:27" s="43" customFormat="1" ht="21" hidden="1" customHeight="1" x14ac:dyDescent="0.25">
      <c r="A1385" s="44"/>
      <c r="B1385" s="367" t="s">
        <v>47</v>
      </c>
      <c r="C1385" s="368"/>
      <c r="D1385" s="45"/>
      <c r="E1385" s="45"/>
      <c r="F1385" s="63" t="s">
        <v>69</v>
      </c>
      <c r="G1385" s="58">
        <f>IF($J$1="January",U1381,IF($J$1="February",U1382,IF($J$1="March",U1383,IF($J$1="April",U1384,IF($J$1="May",U1385,IF($J$1="June",U1386,IF($J$1="July",U1387,IF($J$1="August",U1388,IF($J$1="August",U1388,IF($J$1="September",U1389,IF($J$1="October",U1390,IF($J$1="November",U1391,IF($J$1="December",U1392)))))))))))))</f>
        <v>0</v>
      </c>
      <c r="H1385" s="62"/>
      <c r="I1385" s="64">
        <f>IF(C1389&gt;0,$K$2,C1387)</f>
        <v>0</v>
      </c>
      <c r="J1385" s="65" t="s">
        <v>66</v>
      </c>
      <c r="K1385" s="66">
        <f>K1381/$K$2*I1385</f>
        <v>0</v>
      </c>
      <c r="L1385" s="67"/>
      <c r="M1385" s="45"/>
      <c r="N1385" s="88"/>
      <c r="O1385" s="89" t="s">
        <v>53</v>
      </c>
      <c r="P1385" s="89"/>
      <c r="Q1385" s="89"/>
      <c r="R1385" s="89">
        <v>0</v>
      </c>
      <c r="S1385" s="93"/>
      <c r="T1385" s="89" t="s">
        <v>53</v>
      </c>
      <c r="U1385" s="162"/>
      <c r="V1385" s="91"/>
      <c r="W1385" s="162" t="str">
        <f t="shared" si="251"/>
        <v/>
      </c>
      <c r="X1385" s="91"/>
      <c r="Y1385" s="162" t="str">
        <f t="shared" si="252"/>
        <v/>
      </c>
      <c r="Z1385" s="94"/>
      <c r="AA1385" s="45"/>
    </row>
    <row r="1386" spans="1:27" s="43" customFormat="1" ht="21" hidden="1" customHeight="1" x14ac:dyDescent="0.25">
      <c r="A1386" s="44"/>
      <c r="B1386" s="54"/>
      <c r="C1386" s="54"/>
      <c r="D1386" s="45"/>
      <c r="E1386" s="45"/>
      <c r="F1386" s="63" t="s">
        <v>23</v>
      </c>
      <c r="G1386" s="58">
        <f>IF($J$1="January",V1381,IF($J$1="February",V1382,IF($J$1="March",V1383,IF($J$1="April",V1384,IF($J$1="May",V1385,IF($J$1="June",V1386,IF($J$1="July",V1387,IF($J$1="August",V1388,IF($J$1="August",V1388,IF($J$1="September",V1389,IF($J$1="October",V1390,IF($J$1="November",V1391,IF($J$1="December",V1392)))))))))))))</f>
        <v>0</v>
      </c>
      <c r="H1386" s="62"/>
      <c r="I1386" s="108"/>
      <c r="J1386" s="65" t="s">
        <v>67</v>
      </c>
      <c r="K1386" s="68">
        <f>K1381/$K$2/8*I1386</f>
        <v>0</v>
      </c>
      <c r="L1386" s="69"/>
      <c r="M1386" s="45"/>
      <c r="N1386" s="88"/>
      <c r="O1386" s="89" t="s">
        <v>54</v>
      </c>
      <c r="P1386" s="89">
        <v>12</v>
      </c>
      <c r="Q1386" s="89">
        <v>18</v>
      </c>
      <c r="R1386" s="89">
        <v>0</v>
      </c>
      <c r="S1386" s="93"/>
      <c r="T1386" s="89" t="s">
        <v>54</v>
      </c>
      <c r="U1386" s="162"/>
      <c r="V1386" s="91"/>
      <c r="W1386" s="162" t="str">
        <f t="shared" si="251"/>
        <v/>
      </c>
      <c r="X1386" s="91"/>
      <c r="Y1386" s="162" t="str">
        <f t="shared" si="252"/>
        <v/>
      </c>
      <c r="Z1386" s="94"/>
      <c r="AA1386" s="45"/>
    </row>
    <row r="1387" spans="1:27" s="43" customFormat="1" ht="21" hidden="1" customHeight="1" x14ac:dyDescent="0.25">
      <c r="A1387" s="44"/>
      <c r="B1387" s="63" t="s">
        <v>7</v>
      </c>
      <c r="C1387" s="54">
        <f>IF($J$1="January",P1381,IF($J$1="February",P1382,IF($J$1="March",P1383,IF($J$1="April",P1384,IF($J$1="May",P1385,IF($J$1="June",P1386,IF($J$1="July",P1387,IF($J$1="August",P1388,IF($J$1="August",P1388,IF($J$1="September",P1389,IF($J$1="October",P1390,IF($J$1="November",P1391,IF($J$1="December",P1392)))))))))))))</f>
        <v>0</v>
      </c>
      <c r="D1387" s="45"/>
      <c r="E1387" s="45"/>
      <c r="F1387" s="63" t="s">
        <v>70</v>
      </c>
      <c r="G1387" s="58" t="str">
        <f>IF($J$1="January",W1381,IF($J$1="February",W1382,IF($J$1="March",W1383,IF($J$1="April",W1384,IF($J$1="May",W1385,IF($J$1="June",W1386,IF($J$1="July",W1387,IF($J$1="August",W1388,IF($J$1="August",W1388,IF($J$1="September",W1389,IF($J$1="October",W1390,IF($J$1="November",W1391,IF($J$1="December",W1392)))))))))))))</f>
        <v/>
      </c>
      <c r="H1387" s="62"/>
      <c r="I1387" s="361" t="s">
        <v>74</v>
      </c>
      <c r="J1387" s="362"/>
      <c r="K1387" s="68">
        <f>K1385+K1386</f>
        <v>0</v>
      </c>
      <c r="L1387" s="69"/>
      <c r="M1387" s="45"/>
      <c r="N1387" s="88"/>
      <c r="O1387" s="89" t="s">
        <v>55</v>
      </c>
      <c r="P1387" s="89"/>
      <c r="Q1387" s="89"/>
      <c r="R1387" s="89">
        <v>0</v>
      </c>
      <c r="S1387" s="93"/>
      <c r="T1387" s="89" t="s">
        <v>55</v>
      </c>
      <c r="U1387" s="162"/>
      <c r="V1387" s="91"/>
      <c r="W1387" s="162" t="str">
        <f t="shared" si="251"/>
        <v/>
      </c>
      <c r="X1387" s="91"/>
      <c r="Y1387" s="162" t="str">
        <f t="shared" si="252"/>
        <v/>
      </c>
      <c r="Z1387" s="94"/>
      <c r="AA1387" s="45"/>
    </row>
    <row r="1388" spans="1:27" s="43" customFormat="1" ht="21" hidden="1" customHeight="1" x14ac:dyDescent="0.25">
      <c r="A1388" s="44"/>
      <c r="B1388" s="63" t="s">
        <v>6</v>
      </c>
      <c r="C1388" s="54">
        <f>IF($J$1="January",Q1381,IF($J$1="February",Q1382,IF($J$1="March",Q1383,IF($J$1="April",Q1384,IF($J$1="May",Q1385,IF($J$1="June",Q1386,IF($J$1="July",Q1387,IF($J$1="August",Q1388,IF($J$1="August",Q1388,IF($J$1="September",Q1389,IF($J$1="October",Q1390,IF($J$1="November",Q1391,IF($J$1="December",Q1392)))))))))))))</f>
        <v>0</v>
      </c>
      <c r="D1388" s="45"/>
      <c r="E1388" s="45"/>
      <c r="F1388" s="63" t="s">
        <v>24</v>
      </c>
      <c r="G1388" s="58">
        <f>IF($J$1="January",X1381,IF($J$1="February",X1382,IF($J$1="March",X1383,IF($J$1="April",X1384,IF($J$1="May",X1385,IF($J$1="June",X1386,IF($J$1="July",X1387,IF($J$1="August",X1388,IF($J$1="August",X1388,IF($J$1="September",X1389,IF($J$1="October",X1390,IF($J$1="November",X1391,IF($J$1="December",X1392)))))))))))))</f>
        <v>0</v>
      </c>
      <c r="H1388" s="62"/>
      <c r="I1388" s="361" t="s">
        <v>75</v>
      </c>
      <c r="J1388" s="362"/>
      <c r="K1388" s="58">
        <f>G1388</f>
        <v>0</v>
      </c>
      <c r="L1388" s="70"/>
      <c r="M1388" s="45"/>
      <c r="N1388" s="88"/>
      <c r="O1388" s="89" t="s">
        <v>56</v>
      </c>
      <c r="P1388" s="89"/>
      <c r="Q1388" s="89"/>
      <c r="R1388" s="89">
        <v>0</v>
      </c>
      <c r="S1388" s="93"/>
      <c r="T1388" s="89" t="s">
        <v>56</v>
      </c>
      <c r="U1388" s="162"/>
      <c r="V1388" s="91"/>
      <c r="W1388" s="162" t="str">
        <f t="shared" si="251"/>
        <v/>
      </c>
      <c r="X1388" s="91"/>
      <c r="Y1388" s="162" t="str">
        <f t="shared" si="252"/>
        <v/>
      </c>
      <c r="Z1388" s="94"/>
      <c r="AA1388" s="45"/>
    </row>
    <row r="1389" spans="1:27" s="43" customFormat="1" ht="21" hidden="1" customHeight="1" x14ac:dyDescent="0.25">
      <c r="A1389" s="44"/>
      <c r="B1389" s="71" t="s">
        <v>73</v>
      </c>
      <c r="C1389" s="54">
        <f>IF($J$1="January",R1381,IF($J$1="February",R1382,IF($J$1="March",R1383,IF($J$1="April",R1384,IF($J$1="May",R1385,IF($J$1="June",R1386,IF($J$1="July",R1387,IF($J$1="August",R1388,IF($J$1="August",R1388,IF($J$1="September",R1389,IF($J$1="October",R1390,IF($J$1="November",R1391,IF($J$1="December",R1392)))))))))))))</f>
        <v>0</v>
      </c>
      <c r="D1389" s="45"/>
      <c r="E1389" s="45"/>
      <c r="F1389" s="63" t="s">
        <v>72</v>
      </c>
      <c r="G1389" s="58" t="str">
        <f>IF($J$1="January",Y1381,IF($J$1="February",Y1382,IF($J$1="March",Y1383,IF($J$1="April",Y1384,IF($J$1="May",Y1385,IF($J$1="June",Y1386,IF($J$1="July",Y1387,IF($J$1="August",Y1388,IF($J$1="August",Y1388,IF($J$1="September",Y1389,IF($J$1="October",Y1390,IF($J$1="November",Y1391,IF($J$1="December",Y1392)))))))))))))</f>
        <v/>
      </c>
      <c r="H1389" s="45"/>
      <c r="I1389" s="363" t="s">
        <v>68</v>
      </c>
      <c r="J1389" s="364"/>
      <c r="K1389" s="72">
        <f>K1387-K1388</f>
        <v>0</v>
      </c>
      <c r="L1389" s="73"/>
      <c r="M1389" s="45"/>
      <c r="N1389" s="88"/>
      <c r="O1389" s="89" t="s">
        <v>61</v>
      </c>
      <c r="P1389" s="89"/>
      <c r="Q1389" s="89"/>
      <c r="R1389" s="89">
        <v>0</v>
      </c>
      <c r="S1389" s="93"/>
      <c r="T1389" s="89" t="s">
        <v>61</v>
      </c>
      <c r="U1389" s="162"/>
      <c r="V1389" s="91"/>
      <c r="W1389" s="162" t="str">
        <f t="shared" si="251"/>
        <v/>
      </c>
      <c r="X1389" s="91"/>
      <c r="Y1389" s="162" t="str">
        <f t="shared" si="252"/>
        <v/>
      </c>
      <c r="Z1389" s="94"/>
      <c r="AA1389" s="45"/>
    </row>
    <row r="1390" spans="1:27" s="43" customFormat="1" ht="21" hidden="1" customHeight="1" x14ac:dyDescent="0.25">
      <c r="A1390" s="44"/>
      <c r="B1390" s="45"/>
      <c r="C1390" s="45"/>
      <c r="D1390" s="45"/>
      <c r="E1390" s="45"/>
      <c r="F1390" s="45"/>
      <c r="G1390" s="45"/>
      <c r="H1390" s="45"/>
      <c r="I1390" s="45"/>
      <c r="J1390" s="45"/>
      <c r="K1390" s="177"/>
      <c r="L1390" s="61"/>
      <c r="M1390" s="45"/>
      <c r="N1390" s="88"/>
      <c r="O1390" s="89" t="s">
        <v>57</v>
      </c>
      <c r="P1390" s="89"/>
      <c r="Q1390" s="89"/>
      <c r="R1390" s="89">
        <v>0</v>
      </c>
      <c r="S1390" s="93"/>
      <c r="T1390" s="89" t="s">
        <v>57</v>
      </c>
      <c r="U1390" s="162"/>
      <c r="V1390" s="91"/>
      <c r="W1390" s="162" t="str">
        <f t="shared" si="251"/>
        <v/>
      </c>
      <c r="X1390" s="91"/>
      <c r="Y1390" s="162" t="str">
        <f t="shared" si="252"/>
        <v/>
      </c>
      <c r="Z1390" s="94"/>
      <c r="AA1390" s="45"/>
    </row>
    <row r="1391" spans="1:27" s="43" customFormat="1" ht="21" hidden="1" customHeight="1" x14ac:dyDescent="0.25">
      <c r="A1391" s="44"/>
      <c r="B1391" s="365" t="s">
        <v>103</v>
      </c>
      <c r="C1391" s="365"/>
      <c r="D1391" s="365"/>
      <c r="E1391" s="365"/>
      <c r="F1391" s="365"/>
      <c r="G1391" s="365"/>
      <c r="H1391" s="365"/>
      <c r="I1391" s="365"/>
      <c r="J1391" s="365"/>
      <c r="K1391" s="365"/>
      <c r="L1391" s="61"/>
      <c r="M1391" s="45"/>
      <c r="N1391" s="88"/>
      <c r="O1391" s="89" t="s">
        <v>62</v>
      </c>
      <c r="P1391" s="89"/>
      <c r="Q1391" s="89"/>
      <c r="R1391" s="89" t="str">
        <f t="shared" ref="R1391" si="253">IF(Q1391="","",R1390-Q1391)</f>
        <v/>
      </c>
      <c r="S1391" s="93"/>
      <c r="T1391" s="89" t="s">
        <v>62</v>
      </c>
      <c r="U1391" s="162"/>
      <c r="V1391" s="91"/>
      <c r="W1391" s="162" t="str">
        <f t="shared" si="251"/>
        <v/>
      </c>
      <c r="X1391" s="91"/>
      <c r="Y1391" s="162" t="str">
        <f t="shared" si="252"/>
        <v/>
      </c>
      <c r="Z1391" s="94"/>
      <c r="AA1391" s="45"/>
    </row>
    <row r="1392" spans="1:27" s="43" customFormat="1" ht="21" hidden="1" customHeight="1" x14ac:dyDescent="0.25">
      <c r="A1392" s="44"/>
      <c r="B1392" s="365"/>
      <c r="C1392" s="365"/>
      <c r="D1392" s="365"/>
      <c r="E1392" s="365"/>
      <c r="F1392" s="365"/>
      <c r="G1392" s="365"/>
      <c r="H1392" s="365"/>
      <c r="I1392" s="365"/>
      <c r="J1392" s="365"/>
      <c r="K1392" s="365"/>
      <c r="L1392" s="61"/>
      <c r="M1392" s="45"/>
      <c r="N1392" s="88"/>
      <c r="O1392" s="89" t="s">
        <v>63</v>
      </c>
      <c r="P1392" s="89"/>
      <c r="Q1392" s="89"/>
      <c r="R1392" s="89">
        <v>0</v>
      </c>
      <c r="S1392" s="93"/>
      <c r="T1392" s="89" t="s">
        <v>63</v>
      </c>
      <c r="U1392" s="162"/>
      <c r="V1392" s="91"/>
      <c r="W1392" s="162" t="str">
        <f t="shared" si="251"/>
        <v/>
      </c>
      <c r="X1392" s="91"/>
      <c r="Y1392" s="162" t="str">
        <f t="shared" si="252"/>
        <v/>
      </c>
      <c r="Z1392" s="94"/>
      <c r="AA1392" s="45"/>
    </row>
    <row r="1393" spans="1:27" s="43" customFormat="1" ht="21" hidden="1" customHeight="1" thickBot="1" x14ac:dyDescent="0.3">
      <c r="A1393" s="74"/>
      <c r="B1393" s="75"/>
      <c r="C1393" s="75"/>
      <c r="D1393" s="75"/>
      <c r="E1393" s="75"/>
      <c r="F1393" s="75"/>
      <c r="G1393" s="75"/>
      <c r="H1393" s="75"/>
      <c r="I1393" s="75"/>
      <c r="J1393" s="75"/>
      <c r="K1393" s="75"/>
      <c r="L1393" s="76"/>
      <c r="N1393" s="95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7"/>
    </row>
    <row r="1394" spans="1:27" s="43" customFormat="1" ht="21" hidden="1" customHeight="1" thickBot="1" x14ac:dyDescent="0.3">
      <c r="A1394" s="44"/>
      <c r="B1394" s="45"/>
      <c r="C1394" s="45"/>
      <c r="D1394" s="45"/>
      <c r="E1394" s="45"/>
      <c r="F1394" s="45"/>
      <c r="G1394" s="45"/>
      <c r="H1394" s="45"/>
      <c r="I1394" s="45"/>
      <c r="J1394" s="45"/>
      <c r="K1394" s="45"/>
      <c r="L1394" s="61"/>
      <c r="N1394" s="88"/>
      <c r="O1394" s="93"/>
      <c r="P1394" s="93"/>
      <c r="Q1394" s="93"/>
      <c r="R1394" s="93"/>
      <c r="S1394" s="93"/>
      <c r="T1394" s="93"/>
      <c r="U1394" s="93"/>
      <c r="V1394" s="93"/>
      <c r="W1394" s="93"/>
      <c r="X1394" s="93"/>
      <c r="Y1394" s="93"/>
      <c r="Z1394" s="109"/>
    </row>
    <row r="1395" spans="1:27" s="43" customFormat="1" ht="21" hidden="1" customHeight="1" x14ac:dyDescent="0.25">
      <c r="A1395" s="369" t="s">
        <v>45</v>
      </c>
      <c r="B1395" s="370"/>
      <c r="C1395" s="370"/>
      <c r="D1395" s="370"/>
      <c r="E1395" s="370"/>
      <c r="F1395" s="370"/>
      <c r="G1395" s="370"/>
      <c r="H1395" s="370"/>
      <c r="I1395" s="370"/>
      <c r="J1395" s="370"/>
      <c r="K1395" s="370"/>
      <c r="L1395" s="371"/>
      <c r="M1395" s="42"/>
      <c r="N1395" s="81"/>
      <c r="O1395" s="372" t="s">
        <v>47</v>
      </c>
      <c r="P1395" s="373"/>
      <c r="Q1395" s="373"/>
      <c r="R1395" s="374"/>
      <c r="S1395" s="82"/>
      <c r="T1395" s="372" t="s">
        <v>48</v>
      </c>
      <c r="U1395" s="373"/>
      <c r="V1395" s="373"/>
      <c r="W1395" s="373"/>
      <c r="X1395" s="373"/>
      <c r="Y1395" s="374"/>
      <c r="Z1395" s="83"/>
      <c r="AA1395" s="42"/>
    </row>
    <row r="1396" spans="1:27" s="43" customFormat="1" ht="21" hidden="1" customHeight="1" x14ac:dyDescent="0.25">
      <c r="A1396" s="44"/>
      <c r="B1396" s="45"/>
      <c r="C1396" s="375" t="s">
        <v>101</v>
      </c>
      <c r="D1396" s="375"/>
      <c r="E1396" s="375"/>
      <c r="F1396" s="375"/>
      <c r="G1396" s="46" t="str">
        <f>$J$1</f>
        <v>October</v>
      </c>
      <c r="H1396" s="376">
        <f>$K$1</f>
        <v>2020</v>
      </c>
      <c r="I1396" s="376"/>
      <c r="J1396" s="45"/>
      <c r="K1396" s="47"/>
      <c r="L1396" s="48"/>
      <c r="M1396" s="47"/>
      <c r="N1396" s="84"/>
      <c r="O1396" s="85" t="s">
        <v>58</v>
      </c>
      <c r="P1396" s="85" t="s">
        <v>7</v>
      </c>
      <c r="Q1396" s="85" t="s">
        <v>6</v>
      </c>
      <c r="R1396" s="85" t="s">
        <v>59</v>
      </c>
      <c r="S1396" s="86"/>
      <c r="T1396" s="85" t="s">
        <v>58</v>
      </c>
      <c r="U1396" s="85" t="s">
        <v>60</v>
      </c>
      <c r="V1396" s="85" t="s">
        <v>23</v>
      </c>
      <c r="W1396" s="85" t="s">
        <v>22</v>
      </c>
      <c r="X1396" s="85" t="s">
        <v>24</v>
      </c>
      <c r="Y1396" s="85" t="s">
        <v>64</v>
      </c>
      <c r="Z1396" s="87"/>
      <c r="AA1396" s="47"/>
    </row>
    <row r="1397" spans="1:27" s="43" customFormat="1" ht="21" hidden="1" customHeight="1" x14ac:dyDescent="0.25">
      <c r="A1397" s="44"/>
      <c r="B1397" s="45"/>
      <c r="C1397" s="45"/>
      <c r="D1397" s="50"/>
      <c r="E1397" s="50"/>
      <c r="F1397" s="50"/>
      <c r="G1397" s="50"/>
      <c r="H1397" s="50"/>
      <c r="I1397" s="45"/>
      <c r="J1397" s="51" t="s">
        <v>1</v>
      </c>
      <c r="K1397" s="52"/>
      <c r="L1397" s="53"/>
      <c r="M1397" s="45"/>
      <c r="N1397" s="88"/>
      <c r="O1397" s="89" t="s">
        <v>50</v>
      </c>
      <c r="P1397" s="89"/>
      <c r="Q1397" s="89"/>
      <c r="R1397" s="89">
        <v>15</v>
      </c>
      <c r="S1397" s="90"/>
      <c r="T1397" s="89" t="s">
        <v>50</v>
      </c>
      <c r="U1397" s="91"/>
      <c r="V1397" s="91"/>
      <c r="W1397" s="91">
        <f>V1397+U1397</f>
        <v>0</v>
      </c>
      <c r="X1397" s="91"/>
      <c r="Y1397" s="91">
        <f>W1397-X1397</f>
        <v>0</v>
      </c>
      <c r="Z1397" s="87"/>
      <c r="AA1397" s="45"/>
    </row>
    <row r="1398" spans="1:27" s="43" customFormat="1" ht="21" hidden="1" customHeight="1" x14ac:dyDescent="0.25">
      <c r="A1398" s="44"/>
      <c r="B1398" s="45" t="s">
        <v>0</v>
      </c>
      <c r="C1398" s="55"/>
      <c r="D1398" s="45"/>
      <c r="E1398" s="45"/>
      <c r="F1398" s="45"/>
      <c r="G1398" s="45"/>
      <c r="H1398" s="56"/>
      <c r="I1398" s="50"/>
      <c r="J1398" s="45"/>
      <c r="K1398" s="45"/>
      <c r="L1398" s="57"/>
      <c r="M1398" s="42"/>
      <c r="N1398" s="92"/>
      <c r="O1398" s="89" t="s">
        <v>76</v>
      </c>
      <c r="P1398" s="89"/>
      <c r="Q1398" s="89"/>
      <c r="R1398" s="89">
        <f>R1397-Q1398</f>
        <v>15</v>
      </c>
      <c r="S1398" s="93"/>
      <c r="T1398" s="89" t="s">
        <v>76</v>
      </c>
      <c r="U1398" s="162">
        <f>IF($J$1="January","",Y1397)</f>
        <v>0</v>
      </c>
      <c r="V1398" s="91"/>
      <c r="W1398" s="162">
        <f>IF(U1398="","",U1398+V1398)</f>
        <v>0</v>
      </c>
      <c r="X1398" s="91"/>
      <c r="Y1398" s="162">
        <f>IF(W1398="","",W1398-X1398)</f>
        <v>0</v>
      </c>
      <c r="Z1398" s="94"/>
      <c r="AA1398" s="42"/>
    </row>
    <row r="1399" spans="1:27" s="43" customFormat="1" ht="21" hidden="1" customHeight="1" x14ac:dyDescent="0.25">
      <c r="A1399" s="44"/>
      <c r="B1399" s="59" t="s">
        <v>46</v>
      </c>
      <c r="C1399" s="60"/>
      <c r="D1399" s="45"/>
      <c r="E1399" s="45"/>
      <c r="F1399" s="366" t="s">
        <v>48</v>
      </c>
      <c r="G1399" s="366"/>
      <c r="H1399" s="45"/>
      <c r="I1399" s="366" t="s">
        <v>49</v>
      </c>
      <c r="J1399" s="366"/>
      <c r="K1399" s="366"/>
      <c r="L1399" s="61"/>
      <c r="M1399" s="45"/>
      <c r="N1399" s="88"/>
      <c r="O1399" s="89" t="s">
        <v>51</v>
      </c>
      <c r="P1399" s="89"/>
      <c r="Q1399" s="89"/>
      <c r="R1399" s="89">
        <f>R1398-Q1399</f>
        <v>15</v>
      </c>
      <c r="S1399" s="93"/>
      <c r="T1399" s="89" t="s">
        <v>51</v>
      </c>
      <c r="U1399" s="162">
        <f>IF($J$1="February","",Y1398)</f>
        <v>0</v>
      </c>
      <c r="V1399" s="91"/>
      <c r="W1399" s="162">
        <f t="shared" ref="W1399:W1408" si="254">IF(U1399="","",U1399+V1399)</f>
        <v>0</v>
      </c>
      <c r="X1399" s="91"/>
      <c r="Y1399" s="162">
        <f t="shared" ref="Y1399:Y1408" si="255">IF(W1399="","",W1399-X1399)</f>
        <v>0</v>
      </c>
      <c r="Z1399" s="94"/>
      <c r="AA1399" s="45"/>
    </row>
    <row r="1400" spans="1:27" s="43" customFormat="1" ht="21" hidden="1" customHeight="1" x14ac:dyDescent="0.25">
      <c r="A1400" s="44"/>
      <c r="B1400" s="45"/>
      <c r="C1400" s="45"/>
      <c r="D1400" s="45"/>
      <c r="E1400" s="45"/>
      <c r="F1400" s="45"/>
      <c r="G1400" s="45"/>
      <c r="H1400" s="62"/>
      <c r="L1400" s="49"/>
      <c r="M1400" s="45"/>
      <c r="N1400" s="88"/>
      <c r="O1400" s="89" t="s">
        <v>52</v>
      </c>
      <c r="P1400" s="89"/>
      <c r="Q1400" s="89"/>
      <c r="R1400" s="89">
        <v>0</v>
      </c>
      <c r="S1400" s="93"/>
      <c r="T1400" s="89" t="s">
        <v>52</v>
      </c>
      <c r="U1400" s="162">
        <f>IF($J$1="March","",Y1399)</f>
        <v>0</v>
      </c>
      <c r="V1400" s="91"/>
      <c r="W1400" s="162">
        <f t="shared" si="254"/>
        <v>0</v>
      </c>
      <c r="X1400" s="91"/>
      <c r="Y1400" s="162">
        <f t="shared" si="255"/>
        <v>0</v>
      </c>
      <c r="Z1400" s="94"/>
      <c r="AA1400" s="45"/>
    </row>
    <row r="1401" spans="1:27" s="43" customFormat="1" ht="21" hidden="1" customHeight="1" x14ac:dyDescent="0.25">
      <c r="A1401" s="44"/>
      <c r="B1401" s="367" t="s">
        <v>47</v>
      </c>
      <c r="C1401" s="368"/>
      <c r="D1401" s="45"/>
      <c r="E1401" s="45"/>
      <c r="F1401" s="63" t="s">
        <v>69</v>
      </c>
      <c r="G1401" s="58">
        <f>IF($J$1="January",U1397,IF($J$1="February",U1398,IF($J$1="March",U1399,IF($J$1="April",U1400,IF($J$1="May",U1401,IF($J$1="June",U1402,IF($J$1="July",U1403,IF($J$1="August",U1404,IF($J$1="August",U1404,IF($J$1="September",U1405,IF($J$1="October",U1406,IF($J$1="November",U1407,IF($J$1="December",U1408)))))))))))))</f>
        <v>0</v>
      </c>
      <c r="H1401" s="62"/>
      <c r="I1401" s="64">
        <f>IF(C1405&gt;0,$K$2,C1403)</f>
        <v>0</v>
      </c>
      <c r="J1401" s="65" t="s">
        <v>66</v>
      </c>
      <c r="K1401" s="66">
        <f>K1397/$K$2*I1401</f>
        <v>0</v>
      </c>
      <c r="L1401" s="67"/>
      <c r="M1401" s="45"/>
      <c r="N1401" s="88"/>
      <c r="O1401" s="89" t="s">
        <v>53</v>
      </c>
      <c r="P1401" s="89"/>
      <c r="Q1401" s="89"/>
      <c r="R1401" s="89">
        <v>0</v>
      </c>
      <c r="S1401" s="93"/>
      <c r="T1401" s="89" t="s">
        <v>53</v>
      </c>
      <c r="U1401" s="162">
        <f>IF($J$1="April","",Y1400)</f>
        <v>0</v>
      </c>
      <c r="V1401" s="91"/>
      <c r="W1401" s="162">
        <f t="shared" si="254"/>
        <v>0</v>
      </c>
      <c r="X1401" s="91"/>
      <c r="Y1401" s="162">
        <f t="shared" si="255"/>
        <v>0</v>
      </c>
      <c r="Z1401" s="94"/>
      <c r="AA1401" s="45"/>
    </row>
    <row r="1402" spans="1:27" s="43" customFormat="1" ht="21" hidden="1" customHeight="1" x14ac:dyDescent="0.25">
      <c r="A1402" s="44"/>
      <c r="B1402" s="54"/>
      <c r="C1402" s="54"/>
      <c r="D1402" s="45"/>
      <c r="E1402" s="45"/>
      <c r="F1402" s="63" t="s">
        <v>23</v>
      </c>
      <c r="G1402" s="58">
        <f>IF($J$1="January",V1397,IF($J$1="February",V1398,IF($J$1="March",V1399,IF($J$1="April",V1400,IF($J$1="May",V1401,IF($J$1="June",V1402,IF($J$1="July",V1403,IF($J$1="August",V1404,IF($J$1="August",V1404,IF($J$1="September",V1405,IF($J$1="October",V1406,IF($J$1="November",V1407,IF($J$1="December",V1408)))))))))))))</f>
        <v>0</v>
      </c>
      <c r="H1402" s="62"/>
      <c r="I1402" s="108"/>
      <c r="J1402" s="65" t="s">
        <v>67</v>
      </c>
      <c r="K1402" s="68">
        <f>K1397/$K$2/8*I1402</f>
        <v>0</v>
      </c>
      <c r="L1402" s="69"/>
      <c r="M1402" s="45"/>
      <c r="N1402" s="88"/>
      <c r="O1402" s="89" t="s">
        <v>54</v>
      </c>
      <c r="P1402" s="89"/>
      <c r="Q1402" s="89"/>
      <c r="R1402" s="89">
        <v>0</v>
      </c>
      <c r="S1402" s="93"/>
      <c r="T1402" s="89" t="s">
        <v>54</v>
      </c>
      <c r="U1402" s="162">
        <f>IF($J$1="May","",Y1401)</f>
        <v>0</v>
      </c>
      <c r="V1402" s="91"/>
      <c r="W1402" s="162">
        <f t="shared" si="254"/>
        <v>0</v>
      </c>
      <c r="X1402" s="91"/>
      <c r="Y1402" s="162">
        <f t="shared" si="255"/>
        <v>0</v>
      </c>
      <c r="Z1402" s="94"/>
      <c r="AA1402" s="45"/>
    </row>
    <row r="1403" spans="1:27" s="43" customFormat="1" ht="21" hidden="1" customHeight="1" x14ac:dyDescent="0.25">
      <c r="A1403" s="44"/>
      <c r="B1403" s="63" t="s">
        <v>7</v>
      </c>
      <c r="C1403" s="54">
        <f>IF($J$1="January",P1397,IF($J$1="February",P1398,IF($J$1="March",P1399,IF($J$1="April",P1400,IF($J$1="May",P1401,IF($J$1="June",P1402,IF($J$1="July",P1403,IF($J$1="August",P1404,IF($J$1="August",P1404,IF($J$1="September",P1405,IF($J$1="October",P1406,IF($J$1="November",P1407,IF($J$1="December",P1408)))))))))))))</f>
        <v>0</v>
      </c>
      <c r="D1403" s="45"/>
      <c r="E1403" s="45"/>
      <c r="F1403" s="63" t="s">
        <v>70</v>
      </c>
      <c r="G1403" s="58">
        <f>IF($J$1="January",W1397,IF($J$1="February",W1398,IF($J$1="March",W1399,IF($J$1="April",W1400,IF($J$1="May",W1401,IF($J$1="June",W1402,IF($J$1="July",W1403,IF($J$1="August",W1404,IF($J$1="August",W1404,IF($J$1="September",W1405,IF($J$1="October",W1406,IF($J$1="November",W1407,IF($J$1="December",W1408)))))))))))))</f>
        <v>0</v>
      </c>
      <c r="H1403" s="62"/>
      <c r="I1403" s="361" t="s">
        <v>74</v>
      </c>
      <c r="J1403" s="362"/>
      <c r="K1403" s="68">
        <f>K1401+K1402</f>
        <v>0</v>
      </c>
      <c r="L1403" s="69"/>
      <c r="M1403" s="45"/>
      <c r="N1403" s="88"/>
      <c r="O1403" s="89" t="s">
        <v>55</v>
      </c>
      <c r="P1403" s="89"/>
      <c r="Q1403" s="89"/>
      <c r="R1403" s="89">
        <v>0</v>
      </c>
      <c r="S1403" s="93"/>
      <c r="T1403" s="89" t="s">
        <v>55</v>
      </c>
      <c r="U1403" s="162">
        <f>IF($J$1="June","",Y1402)</f>
        <v>0</v>
      </c>
      <c r="V1403" s="91"/>
      <c r="W1403" s="162">
        <f t="shared" si="254"/>
        <v>0</v>
      </c>
      <c r="X1403" s="91"/>
      <c r="Y1403" s="162">
        <f t="shared" si="255"/>
        <v>0</v>
      </c>
      <c r="Z1403" s="94"/>
      <c r="AA1403" s="45"/>
    </row>
    <row r="1404" spans="1:27" s="43" customFormat="1" ht="21" hidden="1" customHeight="1" x14ac:dyDescent="0.25">
      <c r="A1404" s="44"/>
      <c r="B1404" s="63" t="s">
        <v>6</v>
      </c>
      <c r="C1404" s="54">
        <f>IF($J$1="January",Q1397,IF($J$1="February",Q1398,IF($J$1="March",Q1399,IF($J$1="April",Q1400,IF($J$1="May",Q1401,IF($J$1="June",Q1402,IF($J$1="July",Q1403,IF($J$1="August",Q1404,IF($J$1="August",Q1404,IF($J$1="September",Q1405,IF($J$1="October",Q1406,IF($J$1="November",Q1407,IF($J$1="December",Q1408)))))))))))))</f>
        <v>0</v>
      </c>
      <c r="D1404" s="45"/>
      <c r="E1404" s="45"/>
      <c r="F1404" s="63" t="s">
        <v>24</v>
      </c>
      <c r="G1404" s="58">
        <f>IF($J$1="January",X1397,IF($J$1="February",X1398,IF($J$1="March",X1399,IF($J$1="April",X1400,IF($J$1="May",X1401,IF($J$1="June",X1402,IF($J$1="July",X1403,IF($J$1="August",X1404,IF($J$1="August",X1404,IF($J$1="September",X1405,IF($J$1="October",X1406,IF($J$1="November",X1407,IF($J$1="December",X1408)))))))))))))</f>
        <v>0</v>
      </c>
      <c r="H1404" s="62"/>
      <c r="I1404" s="361" t="s">
        <v>75</v>
      </c>
      <c r="J1404" s="362"/>
      <c r="K1404" s="58">
        <f>G1404</f>
        <v>0</v>
      </c>
      <c r="L1404" s="70"/>
      <c r="M1404" s="45"/>
      <c r="N1404" s="88"/>
      <c r="O1404" s="89" t="s">
        <v>56</v>
      </c>
      <c r="P1404" s="89"/>
      <c r="Q1404" s="89"/>
      <c r="R1404" s="89">
        <v>0</v>
      </c>
      <c r="S1404" s="93"/>
      <c r="T1404" s="89" t="s">
        <v>56</v>
      </c>
      <c r="U1404" s="162">
        <f>IF($J$1="July","",Y1403)</f>
        <v>0</v>
      </c>
      <c r="V1404" s="91"/>
      <c r="W1404" s="162">
        <f t="shared" si="254"/>
        <v>0</v>
      </c>
      <c r="X1404" s="91"/>
      <c r="Y1404" s="162">
        <f t="shared" si="255"/>
        <v>0</v>
      </c>
      <c r="Z1404" s="94"/>
      <c r="AA1404" s="45"/>
    </row>
    <row r="1405" spans="1:27" s="43" customFormat="1" ht="21" hidden="1" customHeight="1" x14ac:dyDescent="0.25">
      <c r="A1405" s="44"/>
      <c r="B1405" s="71" t="s">
        <v>73</v>
      </c>
      <c r="C1405" s="54">
        <f>IF($J$1="January",R1397,IF($J$1="February",R1398,IF($J$1="March",R1399,IF($J$1="April",R1400,IF($J$1="May",R1401,IF($J$1="June",R1402,IF($J$1="July",R1403,IF($J$1="August",R1404,IF($J$1="August",R1404,IF($J$1="September",R1405,IF($J$1="October",R1406,IF($J$1="November",R1407,IF($J$1="December",R1408)))))))))))))</f>
        <v>0</v>
      </c>
      <c r="D1405" s="45"/>
      <c r="E1405" s="45"/>
      <c r="F1405" s="63" t="s">
        <v>72</v>
      </c>
      <c r="G1405" s="58">
        <f>IF($J$1="January",Y1397,IF($J$1="February",Y1398,IF($J$1="March",Y1399,IF($J$1="April",Y1400,IF($J$1="May",Y1401,IF($J$1="June",Y1402,IF($J$1="July",Y1403,IF($J$1="August",Y1404,IF($J$1="August",Y1404,IF($J$1="September",Y1405,IF($J$1="October",Y1406,IF($J$1="November",Y1407,IF($J$1="December",Y1408)))))))))))))</f>
        <v>0</v>
      </c>
      <c r="H1405" s="45"/>
      <c r="I1405" s="363" t="s">
        <v>68</v>
      </c>
      <c r="J1405" s="364"/>
      <c r="K1405" s="72"/>
      <c r="L1405" s="73"/>
      <c r="M1405" s="45"/>
      <c r="N1405" s="88"/>
      <c r="O1405" s="89" t="s">
        <v>61</v>
      </c>
      <c r="P1405" s="89"/>
      <c r="Q1405" s="89"/>
      <c r="R1405" s="89">
        <v>0</v>
      </c>
      <c r="S1405" s="93"/>
      <c r="T1405" s="89" t="s">
        <v>61</v>
      </c>
      <c r="U1405" s="162">
        <f>IF($J$1="August","",Y1404)</f>
        <v>0</v>
      </c>
      <c r="V1405" s="91"/>
      <c r="W1405" s="162">
        <f t="shared" si="254"/>
        <v>0</v>
      </c>
      <c r="X1405" s="91"/>
      <c r="Y1405" s="162">
        <f t="shared" si="255"/>
        <v>0</v>
      </c>
      <c r="Z1405" s="94"/>
      <c r="AA1405" s="45"/>
    </row>
    <row r="1406" spans="1:27" s="43" customFormat="1" ht="21" hidden="1" customHeight="1" x14ac:dyDescent="0.25">
      <c r="A1406" s="44"/>
      <c r="B1406" s="45"/>
      <c r="C1406" s="45"/>
      <c r="D1406" s="45"/>
      <c r="E1406" s="45"/>
      <c r="F1406" s="45"/>
      <c r="G1406" s="45"/>
      <c r="H1406" s="45"/>
      <c r="I1406" s="45"/>
      <c r="J1406" s="62"/>
      <c r="K1406" s="177"/>
      <c r="L1406" s="61"/>
      <c r="M1406" s="45"/>
      <c r="N1406" s="88"/>
      <c r="O1406" s="89" t="s">
        <v>57</v>
      </c>
      <c r="P1406" s="89"/>
      <c r="Q1406" s="89"/>
      <c r="R1406" s="89">
        <v>0</v>
      </c>
      <c r="S1406" s="93"/>
      <c r="T1406" s="89" t="s">
        <v>57</v>
      </c>
      <c r="U1406" s="162">
        <f>IF($J$1="September","",Y1405)</f>
        <v>0</v>
      </c>
      <c r="V1406" s="91"/>
      <c r="W1406" s="162">
        <f t="shared" si="254"/>
        <v>0</v>
      </c>
      <c r="X1406" s="91"/>
      <c r="Y1406" s="162">
        <f t="shared" si="255"/>
        <v>0</v>
      </c>
      <c r="Z1406" s="94"/>
      <c r="AA1406" s="45"/>
    </row>
    <row r="1407" spans="1:27" s="43" customFormat="1" ht="21" hidden="1" customHeight="1" x14ac:dyDescent="0.25">
      <c r="A1407" s="44"/>
      <c r="B1407" s="365" t="s">
        <v>103</v>
      </c>
      <c r="C1407" s="365"/>
      <c r="D1407" s="365"/>
      <c r="E1407" s="365"/>
      <c r="F1407" s="365"/>
      <c r="G1407" s="365"/>
      <c r="H1407" s="365"/>
      <c r="I1407" s="365"/>
      <c r="J1407" s="365"/>
      <c r="K1407" s="365"/>
      <c r="L1407" s="61"/>
      <c r="M1407" s="45"/>
      <c r="N1407" s="88"/>
      <c r="O1407" s="89" t="s">
        <v>62</v>
      </c>
      <c r="P1407" s="89"/>
      <c r="Q1407" s="89"/>
      <c r="R1407" s="89" t="str">
        <f t="shared" ref="R1407:R1408" si="256">IF(Q1407="","",R1406-Q1407)</f>
        <v/>
      </c>
      <c r="S1407" s="93"/>
      <c r="T1407" s="89" t="s">
        <v>62</v>
      </c>
      <c r="U1407" s="162" t="str">
        <f>IF($J$1="October","",Y1406)</f>
        <v/>
      </c>
      <c r="V1407" s="91"/>
      <c r="W1407" s="162" t="str">
        <f t="shared" si="254"/>
        <v/>
      </c>
      <c r="X1407" s="91"/>
      <c r="Y1407" s="162" t="str">
        <f t="shared" si="255"/>
        <v/>
      </c>
      <c r="Z1407" s="94"/>
      <c r="AA1407" s="45"/>
    </row>
    <row r="1408" spans="1:27" s="43" customFormat="1" ht="21" hidden="1" customHeight="1" x14ac:dyDescent="0.25">
      <c r="A1408" s="44"/>
      <c r="B1408" s="365"/>
      <c r="C1408" s="365"/>
      <c r="D1408" s="365"/>
      <c r="E1408" s="365"/>
      <c r="F1408" s="365"/>
      <c r="G1408" s="365"/>
      <c r="H1408" s="365"/>
      <c r="I1408" s="365"/>
      <c r="J1408" s="365"/>
      <c r="K1408" s="365"/>
      <c r="L1408" s="61"/>
      <c r="M1408" s="45"/>
      <c r="N1408" s="88"/>
      <c r="O1408" s="89" t="s">
        <v>63</v>
      </c>
      <c r="P1408" s="89"/>
      <c r="Q1408" s="89"/>
      <c r="R1408" s="89" t="str">
        <f t="shared" si="256"/>
        <v/>
      </c>
      <c r="S1408" s="93"/>
      <c r="T1408" s="89" t="s">
        <v>63</v>
      </c>
      <c r="U1408" s="162" t="str">
        <f>IF($J$1="November","",Y1407)</f>
        <v/>
      </c>
      <c r="V1408" s="91"/>
      <c r="W1408" s="162" t="str">
        <f t="shared" si="254"/>
        <v/>
      </c>
      <c r="X1408" s="91"/>
      <c r="Y1408" s="162" t="str">
        <f t="shared" si="255"/>
        <v/>
      </c>
      <c r="Z1408" s="94"/>
      <c r="AA1408" s="45"/>
    </row>
    <row r="1409" spans="1:27" s="43" customFormat="1" ht="21" hidden="1" customHeight="1" thickBot="1" x14ac:dyDescent="0.3">
      <c r="A1409" s="74"/>
      <c r="B1409" s="75"/>
      <c r="C1409" s="75"/>
      <c r="D1409" s="75"/>
      <c r="E1409" s="75"/>
      <c r="F1409" s="75"/>
      <c r="G1409" s="75"/>
      <c r="H1409" s="75"/>
      <c r="I1409" s="75"/>
      <c r="J1409" s="75"/>
      <c r="K1409" s="75"/>
      <c r="L1409" s="76"/>
      <c r="N1409" s="95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7"/>
    </row>
    <row r="1410" spans="1:27" s="43" customFormat="1" ht="21" customHeight="1" thickBot="1" x14ac:dyDescent="0.3">
      <c r="A1410" s="44"/>
      <c r="B1410" s="45"/>
      <c r="C1410" s="45"/>
      <c r="D1410" s="45"/>
      <c r="E1410" s="45"/>
      <c r="F1410" s="45"/>
      <c r="G1410" s="45"/>
      <c r="H1410" s="45"/>
      <c r="I1410" s="45"/>
      <c r="J1410" s="45"/>
      <c r="K1410" s="45"/>
      <c r="L1410" s="61"/>
      <c r="N1410" s="88"/>
      <c r="O1410" s="93"/>
      <c r="P1410" s="93"/>
      <c r="Q1410" s="93"/>
      <c r="R1410" s="93"/>
      <c r="S1410" s="93"/>
      <c r="T1410" s="93"/>
      <c r="U1410" s="93"/>
      <c r="V1410" s="93"/>
      <c r="W1410" s="93"/>
      <c r="X1410" s="93"/>
      <c r="Y1410" s="93"/>
      <c r="Z1410" s="109"/>
    </row>
    <row r="1411" spans="1:27" s="43" customFormat="1" ht="21" customHeight="1" x14ac:dyDescent="0.25">
      <c r="A1411" s="377" t="s">
        <v>45</v>
      </c>
      <c r="B1411" s="378"/>
      <c r="C1411" s="378"/>
      <c r="D1411" s="378"/>
      <c r="E1411" s="378"/>
      <c r="F1411" s="378"/>
      <c r="G1411" s="378"/>
      <c r="H1411" s="378"/>
      <c r="I1411" s="378"/>
      <c r="J1411" s="378"/>
      <c r="K1411" s="378"/>
      <c r="L1411" s="379"/>
      <c r="M1411" s="42"/>
      <c r="N1411" s="81"/>
      <c r="O1411" s="372" t="s">
        <v>47</v>
      </c>
      <c r="P1411" s="373"/>
      <c r="Q1411" s="373"/>
      <c r="R1411" s="374"/>
      <c r="S1411" s="82"/>
      <c r="T1411" s="372" t="s">
        <v>48</v>
      </c>
      <c r="U1411" s="373"/>
      <c r="V1411" s="373"/>
      <c r="W1411" s="373"/>
      <c r="X1411" s="373"/>
      <c r="Y1411" s="374"/>
      <c r="Z1411" s="83"/>
      <c r="AA1411" s="42"/>
    </row>
    <row r="1412" spans="1:27" s="43" customFormat="1" ht="21" customHeight="1" x14ac:dyDescent="0.25">
      <c r="A1412" s="44"/>
      <c r="B1412" s="45"/>
      <c r="C1412" s="375" t="s">
        <v>101</v>
      </c>
      <c r="D1412" s="375"/>
      <c r="E1412" s="375"/>
      <c r="F1412" s="375"/>
      <c r="G1412" s="46" t="str">
        <f>$J$1</f>
        <v>October</v>
      </c>
      <c r="H1412" s="376">
        <f>$K$1</f>
        <v>2020</v>
      </c>
      <c r="I1412" s="376"/>
      <c r="J1412" s="45"/>
      <c r="K1412" s="47"/>
      <c r="L1412" s="48"/>
      <c r="M1412" s="47"/>
      <c r="N1412" s="84"/>
      <c r="O1412" s="85" t="s">
        <v>58</v>
      </c>
      <c r="P1412" s="85" t="s">
        <v>7</v>
      </c>
      <c r="Q1412" s="85" t="s">
        <v>6</v>
      </c>
      <c r="R1412" s="85" t="s">
        <v>59</v>
      </c>
      <c r="S1412" s="86"/>
      <c r="T1412" s="85" t="s">
        <v>58</v>
      </c>
      <c r="U1412" s="85" t="s">
        <v>60</v>
      </c>
      <c r="V1412" s="85" t="s">
        <v>23</v>
      </c>
      <c r="W1412" s="85" t="s">
        <v>22</v>
      </c>
      <c r="X1412" s="85" t="s">
        <v>24</v>
      </c>
      <c r="Y1412" s="85" t="s">
        <v>64</v>
      </c>
      <c r="Z1412" s="87"/>
      <c r="AA1412" s="47"/>
    </row>
    <row r="1413" spans="1:27" s="43" customFormat="1" ht="21" customHeight="1" x14ac:dyDescent="0.25">
      <c r="A1413" s="44"/>
      <c r="B1413" s="45"/>
      <c r="C1413" s="45"/>
      <c r="D1413" s="50"/>
      <c r="E1413" s="50"/>
      <c r="F1413" s="50"/>
      <c r="G1413" s="50"/>
      <c r="H1413" s="50"/>
      <c r="I1413" s="45"/>
      <c r="J1413" s="51" t="s">
        <v>1</v>
      </c>
      <c r="K1413" s="267">
        <f>SUM(20000)-20000*0.25</f>
        <v>15000</v>
      </c>
      <c r="L1413" s="53"/>
      <c r="M1413" s="45"/>
      <c r="N1413" s="88"/>
      <c r="O1413" s="89" t="s">
        <v>50</v>
      </c>
      <c r="P1413" s="89">
        <v>31</v>
      </c>
      <c r="Q1413" s="89">
        <v>0</v>
      </c>
      <c r="R1413" s="89">
        <v>0</v>
      </c>
      <c r="S1413" s="90"/>
      <c r="T1413" s="89" t="s">
        <v>50</v>
      </c>
      <c r="U1413" s="91"/>
      <c r="V1413" s="91"/>
      <c r="W1413" s="91">
        <f>V1413+U1413</f>
        <v>0</v>
      </c>
      <c r="X1413" s="91"/>
      <c r="Y1413" s="91">
        <f>W1413-X1413</f>
        <v>0</v>
      </c>
      <c r="Z1413" s="87"/>
      <c r="AA1413" s="45"/>
    </row>
    <row r="1414" spans="1:27" s="43" customFormat="1" ht="21" customHeight="1" x14ac:dyDescent="0.25">
      <c r="A1414" s="44"/>
      <c r="B1414" s="45" t="s">
        <v>0</v>
      </c>
      <c r="C1414" s="55" t="s">
        <v>105</v>
      </c>
      <c r="D1414" s="45"/>
      <c r="E1414" s="45"/>
      <c r="F1414" s="45"/>
      <c r="G1414" s="45"/>
      <c r="H1414" s="56"/>
      <c r="I1414" s="50"/>
      <c r="J1414" s="45"/>
      <c r="K1414" s="45"/>
      <c r="L1414" s="57"/>
      <c r="M1414" s="42"/>
      <c r="N1414" s="92"/>
      <c r="O1414" s="89" t="s">
        <v>76</v>
      </c>
      <c r="P1414" s="89">
        <v>29</v>
      </c>
      <c r="Q1414" s="89">
        <v>0</v>
      </c>
      <c r="R1414" s="89">
        <v>0</v>
      </c>
      <c r="S1414" s="93"/>
      <c r="T1414" s="89" t="s">
        <v>76</v>
      </c>
      <c r="U1414" s="162">
        <f>IF($J$1="January","",Y1413)</f>
        <v>0</v>
      </c>
      <c r="V1414" s="91"/>
      <c r="W1414" s="162">
        <f>IF(U1414="","",U1414+V1414)</f>
        <v>0</v>
      </c>
      <c r="X1414" s="91"/>
      <c r="Y1414" s="162">
        <f>IF(W1414="","",W1414-X1414)</f>
        <v>0</v>
      </c>
      <c r="Z1414" s="94"/>
      <c r="AA1414" s="42"/>
    </row>
    <row r="1415" spans="1:27" s="43" customFormat="1" ht="21" customHeight="1" x14ac:dyDescent="0.25">
      <c r="A1415" s="44"/>
      <c r="B1415" s="59" t="s">
        <v>46</v>
      </c>
      <c r="C1415" s="60"/>
      <c r="D1415" s="45"/>
      <c r="E1415" s="45"/>
      <c r="F1415" s="366" t="s">
        <v>48</v>
      </c>
      <c r="G1415" s="366"/>
      <c r="H1415" s="45"/>
      <c r="I1415" s="366" t="s">
        <v>49</v>
      </c>
      <c r="J1415" s="366"/>
      <c r="K1415" s="366"/>
      <c r="L1415" s="61"/>
      <c r="M1415" s="45"/>
      <c r="N1415" s="88"/>
      <c r="O1415" s="89" t="s">
        <v>51</v>
      </c>
      <c r="P1415" s="89">
        <v>26</v>
      </c>
      <c r="Q1415" s="89">
        <v>5</v>
      </c>
      <c r="R1415" s="89">
        <v>0</v>
      </c>
      <c r="S1415" s="93"/>
      <c r="T1415" s="89" t="s">
        <v>51</v>
      </c>
      <c r="U1415" s="162">
        <f>IF($J$1="February","",Y1414)</f>
        <v>0</v>
      </c>
      <c r="V1415" s="91"/>
      <c r="W1415" s="162">
        <f t="shared" ref="W1415:W1424" si="257">IF(U1415="","",U1415+V1415)</f>
        <v>0</v>
      </c>
      <c r="X1415" s="91"/>
      <c r="Y1415" s="162">
        <f t="shared" ref="Y1415:Y1424" si="258">IF(W1415="","",W1415-X1415)</f>
        <v>0</v>
      </c>
      <c r="Z1415" s="94"/>
      <c r="AA1415" s="45"/>
    </row>
    <row r="1416" spans="1:27" s="43" customFormat="1" ht="21" customHeight="1" x14ac:dyDescent="0.25">
      <c r="A1416" s="44"/>
      <c r="B1416" s="45"/>
      <c r="C1416" s="45"/>
      <c r="D1416" s="45"/>
      <c r="E1416" s="45"/>
      <c r="F1416" s="45"/>
      <c r="G1416" s="45"/>
      <c r="H1416" s="62"/>
      <c r="L1416" s="49"/>
      <c r="M1416" s="45"/>
      <c r="N1416" s="88"/>
      <c r="O1416" s="89" t="s">
        <v>52</v>
      </c>
      <c r="P1416" s="89">
        <v>28</v>
      </c>
      <c r="Q1416" s="89">
        <v>2</v>
      </c>
      <c r="R1416" s="89">
        <v>0</v>
      </c>
      <c r="S1416" s="93"/>
      <c r="T1416" s="89" t="s">
        <v>52</v>
      </c>
      <c r="U1416" s="162">
        <f>IF($J$1="March","",Y1415)</f>
        <v>0</v>
      </c>
      <c r="V1416" s="91"/>
      <c r="W1416" s="162">
        <f t="shared" si="257"/>
        <v>0</v>
      </c>
      <c r="X1416" s="91"/>
      <c r="Y1416" s="162">
        <f t="shared" si="258"/>
        <v>0</v>
      </c>
      <c r="Z1416" s="94"/>
      <c r="AA1416" s="45"/>
    </row>
    <row r="1417" spans="1:27" s="43" customFormat="1" ht="21" customHeight="1" x14ac:dyDescent="0.25">
      <c r="A1417" s="44"/>
      <c r="B1417" s="367" t="s">
        <v>47</v>
      </c>
      <c r="C1417" s="368"/>
      <c r="D1417" s="45"/>
      <c r="E1417" s="45"/>
      <c r="F1417" s="63" t="s">
        <v>69</v>
      </c>
      <c r="G1417" s="58">
        <f>IF($J$1="January",U1413,IF($J$1="February",U1414,IF($J$1="March",U1415,IF($J$1="April",U1416,IF($J$1="May",U1417,IF($J$1="June",U1418,IF($J$1="July",U1419,IF($J$1="August",U1420,IF($J$1="August",U1420,IF($J$1="September",U1421,IF($J$1="October",U1422,IF($J$1="November",U1423,IF($J$1="December",U1424)))))))))))))</f>
        <v>0</v>
      </c>
      <c r="H1417" s="62"/>
      <c r="I1417" s="64">
        <f>IF(C1421&gt;0,$K$2,C1419)</f>
        <v>31</v>
      </c>
      <c r="J1417" s="65" t="s">
        <v>66</v>
      </c>
      <c r="K1417" s="66">
        <f>K1413/$K$2*I1417</f>
        <v>15000</v>
      </c>
      <c r="L1417" s="67"/>
      <c r="M1417" s="45"/>
      <c r="N1417" s="88"/>
      <c r="O1417" s="89" t="s">
        <v>53</v>
      </c>
      <c r="P1417" s="89">
        <v>31</v>
      </c>
      <c r="Q1417" s="89">
        <v>0</v>
      </c>
      <c r="R1417" s="89">
        <f t="shared" ref="R1417:R1424" si="259">IF(Q1417="","",R1416-Q1417)</f>
        <v>0</v>
      </c>
      <c r="S1417" s="93"/>
      <c r="T1417" s="89" t="s">
        <v>53</v>
      </c>
      <c r="U1417" s="162">
        <f>IF($J$1="April","",Y1416)</f>
        <v>0</v>
      </c>
      <c r="V1417" s="91"/>
      <c r="W1417" s="162">
        <f t="shared" si="257"/>
        <v>0</v>
      </c>
      <c r="X1417" s="91"/>
      <c r="Y1417" s="162">
        <f t="shared" si="258"/>
        <v>0</v>
      </c>
      <c r="Z1417" s="94"/>
      <c r="AA1417" s="45"/>
    </row>
    <row r="1418" spans="1:27" s="43" customFormat="1" ht="21" customHeight="1" x14ac:dyDescent="0.25">
      <c r="A1418" s="44"/>
      <c r="B1418" s="54"/>
      <c r="C1418" s="54"/>
      <c r="D1418" s="45"/>
      <c r="E1418" s="45"/>
      <c r="F1418" s="63" t="s">
        <v>23</v>
      </c>
      <c r="G1418" s="58">
        <f>IF($J$1="January",V1413,IF($J$1="February",V1414,IF($J$1="March",V1415,IF($J$1="April",V1416,IF($J$1="May",V1417,IF($J$1="June",V1418,IF($J$1="July",V1419,IF($J$1="August",V1420,IF($J$1="August",V1420,IF($J$1="September",V1421,IF($J$1="October",V1422,IF($J$1="November",V1423,IF($J$1="December",V1424)))))))))))))</f>
        <v>0</v>
      </c>
      <c r="H1418" s="62"/>
      <c r="I1418" s="108">
        <v>30</v>
      </c>
      <c r="J1418" s="65" t="s">
        <v>67</v>
      </c>
      <c r="K1418" s="68">
        <f>K1413/$K$2/8*I1418</f>
        <v>1814.516129032258</v>
      </c>
      <c r="L1418" s="69"/>
      <c r="M1418" s="45"/>
      <c r="N1418" s="88"/>
      <c r="O1418" s="89" t="s">
        <v>54</v>
      </c>
      <c r="P1418" s="89">
        <v>30</v>
      </c>
      <c r="Q1418" s="89">
        <v>0</v>
      </c>
      <c r="R1418" s="89">
        <f t="shared" si="259"/>
        <v>0</v>
      </c>
      <c r="S1418" s="93"/>
      <c r="T1418" s="89" t="s">
        <v>54</v>
      </c>
      <c r="U1418" s="162">
        <f>IF($J$1="May","",Y1417)</f>
        <v>0</v>
      </c>
      <c r="V1418" s="91"/>
      <c r="W1418" s="162">
        <f t="shared" si="257"/>
        <v>0</v>
      </c>
      <c r="X1418" s="91"/>
      <c r="Y1418" s="162">
        <f t="shared" si="258"/>
        <v>0</v>
      </c>
      <c r="Z1418" s="94"/>
      <c r="AA1418" s="45"/>
    </row>
    <row r="1419" spans="1:27" s="43" customFormat="1" ht="21" customHeight="1" x14ac:dyDescent="0.25">
      <c r="A1419" s="44"/>
      <c r="B1419" s="63" t="s">
        <v>7</v>
      </c>
      <c r="C1419" s="54">
        <f>IF($J$1="January",P1413,IF($J$1="February",P1414,IF($J$1="March",P1415,IF($J$1="April",P1416,IF($J$1="May",P1417,IF($J$1="June",P1418,IF($J$1="July",P1419,IF($J$1="August",P1420,IF($J$1="August",P1420,IF($J$1="September",P1421,IF($J$1="October",P1422,IF($J$1="November",P1423,IF($J$1="December",P1424)))))))))))))</f>
        <v>31</v>
      </c>
      <c r="D1419" s="45"/>
      <c r="E1419" s="45"/>
      <c r="F1419" s="63" t="s">
        <v>70</v>
      </c>
      <c r="G1419" s="58">
        <f>IF($J$1="January",W1413,IF($J$1="February",W1414,IF($J$1="March",W1415,IF($J$1="April",W1416,IF($J$1="May",W1417,IF($J$1="June",W1418,IF($J$1="July",W1419,IF($J$1="August",W1420,IF($J$1="August",W1420,IF($J$1="September",W1421,IF($J$1="October",W1422,IF($J$1="November",W1423,IF($J$1="December",W1424)))))))))))))</f>
        <v>0</v>
      </c>
      <c r="H1419" s="62"/>
      <c r="I1419" s="361" t="s">
        <v>74</v>
      </c>
      <c r="J1419" s="362"/>
      <c r="K1419" s="68">
        <f>K1417+K1418</f>
        <v>16814.516129032258</v>
      </c>
      <c r="L1419" s="69"/>
      <c r="M1419" s="45"/>
      <c r="N1419" s="88"/>
      <c r="O1419" s="89" t="s">
        <v>55</v>
      </c>
      <c r="P1419" s="89">
        <v>31</v>
      </c>
      <c r="Q1419" s="89">
        <v>0</v>
      </c>
      <c r="R1419" s="89">
        <f t="shared" si="259"/>
        <v>0</v>
      </c>
      <c r="S1419" s="93"/>
      <c r="T1419" s="89" t="s">
        <v>55</v>
      </c>
      <c r="U1419" s="162">
        <f>IF($J$1="June","",Y1418)</f>
        <v>0</v>
      </c>
      <c r="V1419" s="91"/>
      <c r="W1419" s="162">
        <f t="shared" si="257"/>
        <v>0</v>
      </c>
      <c r="X1419" s="91"/>
      <c r="Y1419" s="162">
        <f t="shared" si="258"/>
        <v>0</v>
      </c>
      <c r="Z1419" s="94"/>
      <c r="AA1419" s="45"/>
    </row>
    <row r="1420" spans="1:27" s="43" customFormat="1" ht="21" customHeight="1" x14ac:dyDescent="0.25">
      <c r="A1420" s="44"/>
      <c r="B1420" s="63" t="s">
        <v>6</v>
      </c>
      <c r="C1420" s="54">
        <f>IF($J$1="January",Q1413,IF($J$1="February",Q1414,IF($J$1="March",Q1415,IF($J$1="April",Q1416,IF($J$1="May",Q1417,IF($J$1="June",Q1418,IF($J$1="July",Q1419,IF($J$1="August",Q1420,IF($J$1="August",Q1420,IF($J$1="September",Q1421,IF($J$1="October",Q1422,IF($J$1="November",Q1423,IF($J$1="December",Q1424)))))))))))))</f>
        <v>0</v>
      </c>
      <c r="D1420" s="45"/>
      <c r="E1420" s="45"/>
      <c r="F1420" s="63" t="s">
        <v>24</v>
      </c>
      <c r="G1420" s="58">
        <f>IF($J$1="January",X1413,IF($J$1="February",X1414,IF($J$1="March",X1415,IF($J$1="April",X1416,IF($J$1="May",X1417,IF($J$1="June",X1418,IF($J$1="July",X1419,IF($J$1="August",X1420,IF($J$1="August",X1420,IF($J$1="September",X1421,IF($J$1="October",X1422,IF($J$1="November",X1423,IF($J$1="December",X1424)))))))))))))</f>
        <v>0</v>
      </c>
      <c r="H1420" s="62"/>
      <c r="I1420" s="361" t="s">
        <v>75</v>
      </c>
      <c r="J1420" s="362"/>
      <c r="K1420" s="58">
        <f>G1420</f>
        <v>0</v>
      </c>
      <c r="L1420" s="70"/>
      <c r="M1420" s="45"/>
      <c r="N1420" s="88"/>
      <c r="O1420" s="89" t="s">
        <v>56</v>
      </c>
      <c r="P1420" s="89">
        <v>31</v>
      </c>
      <c r="Q1420" s="89">
        <v>0</v>
      </c>
      <c r="R1420" s="89">
        <f t="shared" si="259"/>
        <v>0</v>
      </c>
      <c r="S1420" s="93"/>
      <c r="T1420" s="89" t="s">
        <v>56</v>
      </c>
      <c r="U1420" s="162">
        <f>IF($J$1="July","",Y1419)</f>
        <v>0</v>
      </c>
      <c r="V1420" s="91"/>
      <c r="W1420" s="162">
        <f t="shared" si="257"/>
        <v>0</v>
      </c>
      <c r="X1420" s="91"/>
      <c r="Y1420" s="162">
        <f t="shared" si="258"/>
        <v>0</v>
      </c>
      <c r="Z1420" s="94"/>
      <c r="AA1420" s="45"/>
    </row>
    <row r="1421" spans="1:27" s="43" customFormat="1" ht="21" customHeight="1" x14ac:dyDescent="0.25">
      <c r="A1421" s="44"/>
      <c r="B1421" s="71" t="s">
        <v>73</v>
      </c>
      <c r="C1421" s="54">
        <f>IF($J$1="January",R1413,IF($J$1="February",R1414,IF($J$1="March",R1415,IF($J$1="April",R1416,IF($J$1="May",R1417,IF($J$1="June",R1418,IF($J$1="July",R1419,IF($J$1="August",R1420,IF($J$1="August",R1420,IF($J$1="September",R1421,IF($J$1="October",R1422,IF($J$1="November",R1423,IF($J$1="December",R1424)))))))))))))</f>
        <v>0</v>
      </c>
      <c r="D1421" s="45"/>
      <c r="E1421" s="45"/>
      <c r="F1421" s="63" t="s">
        <v>72</v>
      </c>
      <c r="G1421" s="58">
        <f>IF($J$1="January",Y1413,IF($J$1="February",Y1414,IF($J$1="March",Y1415,IF($J$1="April",Y1416,IF($J$1="May",Y1417,IF($J$1="June",Y1418,IF($J$1="July",Y1419,IF($J$1="August",Y1420,IF($J$1="August",Y1420,IF($J$1="September",Y1421,IF($J$1="October",Y1422,IF($J$1="November",Y1423,IF($J$1="December",Y1424)))))))))))))</f>
        <v>0</v>
      </c>
      <c r="H1421" s="45"/>
      <c r="I1421" s="363" t="s">
        <v>68</v>
      </c>
      <c r="J1421" s="364"/>
      <c r="K1421" s="72">
        <f>K1419-K1420</f>
        <v>16814.516129032258</v>
      </c>
      <c r="L1421" s="73"/>
      <c r="M1421" s="45"/>
      <c r="N1421" s="88"/>
      <c r="O1421" s="89" t="s">
        <v>61</v>
      </c>
      <c r="P1421" s="89">
        <v>30</v>
      </c>
      <c r="Q1421" s="89">
        <v>0</v>
      </c>
      <c r="R1421" s="89">
        <f t="shared" si="259"/>
        <v>0</v>
      </c>
      <c r="S1421" s="93"/>
      <c r="T1421" s="89" t="s">
        <v>61</v>
      </c>
      <c r="U1421" s="162">
        <f>IF($J$1="August","",Y1420)</f>
        <v>0</v>
      </c>
      <c r="V1421" s="91"/>
      <c r="W1421" s="162">
        <f t="shared" si="257"/>
        <v>0</v>
      </c>
      <c r="X1421" s="91"/>
      <c r="Y1421" s="162">
        <f t="shared" si="258"/>
        <v>0</v>
      </c>
      <c r="Z1421" s="94"/>
      <c r="AA1421" s="45"/>
    </row>
    <row r="1422" spans="1:27" s="43" customFormat="1" ht="21" customHeight="1" x14ac:dyDescent="0.25">
      <c r="A1422" s="44"/>
      <c r="B1422" s="45"/>
      <c r="C1422" s="45"/>
      <c r="D1422" s="45"/>
      <c r="E1422" s="45"/>
      <c r="F1422" s="45"/>
      <c r="G1422" s="45"/>
      <c r="H1422" s="45"/>
      <c r="I1422" s="45"/>
      <c r="J1422" s="45"/>
      <c r="K1422" s="177"/>
      <c r="L1422" s="61"/>
      <c r="M1422" s="45"/>
      <c r="N1422" s="88"/>
      <c r="O1422" s="89" t="s">
        <v>57</v>
      </c>
      <c r="P1422" s="89">
        <v>31</v>
      </c>
      <c r="Q1422" s="89">
        <v>0</v>
      </c>
      <c r="R1422" s="89">
        <f t="shared" si="259"/>
        <v>0</v>
      </c>
      <c r="S1422" s="93"/>
      <c r="T1422" s="89" t="s">
        <v>57</v>
      </c>
      <c r="U1422" s="162">
        <f>IF($J$1="September","",Y1421)</f>
        <v>0</v>
      </c>
      <c r="V1422" s="91"/>
      <c r="W1422" s="162">
        <f t="shared" si="257"/>
        <v>0</v>
      </c>
      <c r="X1422" s="91"/>
      <c r="Y1422" s="162">
        <f t="shared" si="258"/>
        <v>0</v>
      </c>
      <c r="Z1422" s="94"/>
      <c r="AA1422" s="45"/>
    </row>
    <row r="1423" spans="1:27" s="43" customFormat="1" ht="21" customHeight="1" x14ac:dyDescent="0.25">
      <c r="A1423" s="44"/>
      <c r="B1423" s="365" t="s">
        <v>103</v>
      </c>
      <c r="C1423" s="365"/>
      <c r="D1423" s="365"/>
      <c r="E1423" s="365"/>
      <c r="F1423" s="365"/>
      <c r="G1423" s="365"/>
      <c r="H1423" s="365"/>
      <c r="I1423" s="365"/>
      <c r="J1423" s="365"/>
      <c r="K1423" s="365"/>
      <c r="L1423" s="61"/>
      <c r="M1423" s="45"/>
      <c r="N1423" s="88"/>
      <c r="O1423" s="89" t="s">
        <v>62</v>
      </c>
      <c r="P1423" s="89"/>
      <c r="Q1423" s="89"/>
      <c r="R1423" s="89" t="str">
        <f t="shared" si="259"/>
        <v/>
      </c>
      <c r="S1423" s="93"/>
      <c r="T1423" s="89" t="s">
        <v>62</v>
      </c>
      <c r="U1423" s="162" t="str">
        <f>IF($J$1="October","",Y1422)</f>
        <v/>
      </c>
      <c r="V1423" s="91"/>
      <c r="W1423" s="162" t="str">
        <f t="shared" si="257"/>
        <v/>
      </c>
      <c r="X1423" s="91"/>
      <c r="Y1423" s="162" t="str">
        <f t="shared" si="258"/>
        <v/>
      </c>
      <c r="Z1423" s="94"/>
      <c r="AA1423" s="45"/>
    </row>
    <row r="1424" spans="1:27" s="43" customFormat="1" ht="21" customHeight="1" x14ac:dyDescent="0.25">
      <c r="A1424" s="44"/>
      <c r="B1424" s="365"/>
      <c r="C1424" s="365"/>
      <c r="D1424" s="365"/>
      <c r="E1424" s="365"/>
      <c r="F1424" s="365"/>
      <c r="G1424" s="365"/>
      <c r="H1424" s="365"/>
      <c r="I1424" s="365"/>
      <c r="J1424" s="365"/>
      <c r="K1424" s="365"/>
      <c r="L1424" s="61"/>
      <c r="M1424" s="45"/>
      <c r="N1424" s="88"/>
      <c r="O1424" s="89" t="s">
        <v>63</v>
      </c>
      <c r="P1424" s="89"/>
      <c r="Q1424" s="89"/>
      <c r="R1424" s="89" t="str">
        <f t="shared" si="259"/>
        <v/>
      </c>
      <c r="S1424" s="93"/>
      <c r="T1424" s="89" t="s">
        <v>63</v>
      </c>
      <c r="U1424" s="162" t="str">
        <f>IF($J$1="November","",Y1423)</f>
        <v/>
      </c>
      <c r="V1424" s="91"/>
      <c r="W1424" s="162" t="str">
        <f t="shared" si="257"/>
        <v/>
      </c>
      <c r="X1424" s="91"/>
      <c r="Y1424" s="162" t="str">
        <f t="shared" si="258"/>
        <v/>
      </c>
      <c r="Z1424" s="94"/>
      <c r="AA1424" s="45"/>
    </row>
    <row r="1425" spans="1:26" s="43" customFormat="1" ht="21" customHeight="1" thickBot="1" x14ac:dyDescent="0.3">
      <c r="A1425" s="74"/>
      <c r="B1425" s="75"/>
      <c r="C1425" s="75"/>
      <c r="D1425" s="75"/>
      <c r="E1425" s="75"/>
      <c r="F1425" s="75"/>
      <c r="G1425" s="75"/>
      <c r="H1425" s="75"/>
      <c r="I1425" s="75"/>
      <c r="J1425" s="75"/>
      <c r="K1425" s="75"/>
      <c r="L1425" s="76"/>
      <c r="N1425" s="95"/>
      <c r="O1425" s="96"/>
      <c r="P1425" s="96"/>
      <c r="Q1425" s="96"/>
      <c r="R1425" s="96"/>
      <c r="S1425" s="96"/>
      <c r="T1425" s="96"/>
      <c r="U1425" s="96"/>
      <c r="V1425" s="96"/>
      <c r="W1425" s="96"/>
      <c r="X1425" s="96"/>
      <c r="Y1425" s="96"/>
      <c r="Z1425" s="97"/>
    </row>
    <row r="1427" spans="1:26" s="43" customFormat="1" ht="21" customHeight="1" x14ac:dyDescent="0.25">
      <c r="A1427" s="383" t="s">
        <v>45</v>
      </c>
      <c r="B1427" s="384"/>
      <c r="C1427" s="384"/>
      <c r="D1427" s="384"/>
      <c r="E1427" s="384"/>
      <c r="F1427" s="384"/>
      <c r="G1427" s="384"/>
      <c r="H1427" s="384"/>
      <c r="I1427" s="384"/>
      <c r="J1427" s="384"/>
      <c r="K1427" s="384"/>
      <c r="L1427" s="385"/>
      <c r="M1427" s="187"/>
      <c r="N1427" s="81"/>
      <c r="O1427" s="372" t="s">
        <v>47</v>
      </c>
      <c r="P1427" s="373"/>
      <c r="Q1427" s="373"/>
      <c r="R1427" s="374"/>
      <c r="S1427" s="82"/>
      <c r="T1427" s="372" t="s">
        <v>48</v>
      </c>
      <c r="U1427" s="373"/>
      <c r="V1427" s="373"/>
      <c r="W1427" s="373"/>
      <c r="X1427" s="373"/>
      <c r="Y1427" s="374"/>
      <c r="Z1427" s="83"/>
    </row>
    <row r="1428" spans="1:26" s="43" customFormat="1" ht="21" customHeight="1" x14ac:dyDescent="0.25">
      <c r="A1428" s="44"/>
      <c r="B1428" s="45"/>
      <c r="C1428" s="375" t="s">
        <v>101</v>
      </c>
      <c r="D1428" s="375"/>
      <c r="E1428" s="375"/>
      <c r="F1428" s="375"/>
      <c r="G1428" s="46" t="str">
        <f>$J$1</f>
        <v>October</v>
      </c>
      <c r="H1428" s="376">
        <f>$K$1</f>
        <v>2020</v>
      </c>
      <c r="I1428" s="376"/>
      <c r="J1428" s="45"/>
      <c r="K1428" s="47"/>
      <c r="L1428" s="48"/>
      <c r="M1428" s="47"/>
      <c r="N1428" s="84"/>
      <c r="O1428" s="85" t="s">
        <v>58</v>
      </c>
      <c r="P1428" s="85" t="s">
        <v>7</v>
      </c>
      <c r="Q1428" s="85" t="s">
        <v>6</v>
      </c>
      <c r="R1428" s="85" t="s">
        <v>59</v>
      </c>
      <c r="S1428" s="86"/>
      <c r="T1428" s="85" t="s">
        <v>58</v>
      </c>
      <c r="U1428" s="85" t="s">
        <v>60</v>
      </c>
      <c r="V1428" s="85" t="s">
        <v>23</v>
      </c>
      <c r="W1428" s="85" t="s">
        <v>22</v>
      </c>
      <c r="X1428" s="85" t="s">
        <v>24</v>
      </c>
      <c r="Y1428" s="85" t="s">
        <v>64</v>
      </c>
      <c r="Z1428" s="87"/>
    </row>
    <row r="1429" spans="1:26" s="43" customFormat="1" ht="21" customHeight="1" x14ac:dyDescent="0.25">
      <c r="A1429" s="44"/>
      <c r="B1429" s="45"/>
      <c r="C1429" s="45"/>
      <c r="D1429" s="50"/>
      <c r="E1429" s="50"/>
      <c r="F1429" s="50"/>
      <c r="G1429" s="50"/>
      <c r="H1429" s="50"/>
      <c r="I1429" s="45"/>
      <c r="J1429" s="51" t="s">
        <v>1</v>
      </c>
      <c r="K1429" s="52">
        <v>25000</v>
      </c>
      <c r="L1429" s="53"/>
      <c r="M1429" s="45"/>
      <c r="N1429" s="88"/>
      <c r="O1429" s="89" t="s">
        <v>50</v>
      </c>
      <c r="P1429" s="89">
        <v>30</v>
      </c>
      <c r="Q1429" s="89">
        <v>1</v>
      </c>
      <c r="R1429" s="89">
        <v>0</v>
      </c>
      <c r="S1429" s="90"/>
      <c r="T1429" s="89" t="s">
        <v>50</v>
      </c>
      <c r="U1429" s="91">
        <v>1000</v>
      </c>
      <c r="V1429" s="91">
        <v>2000</v>
      </c>
      <c r="W1429" s="91">
        <f>V1429+U1429</f>
        <v>3000</v>
      </c>
      <c r="X1429" s="91">
        <v>1000</v>
      </c>
      <c r="Y1429" s="91">
        <f>W1429-X1429</f>
        <v>2000</v>
      </c>
      <c r="Z1429" s="87"/>
    </row>
    <row r="1430" spans="1:26" s="43" customFormat="1" ht="21" customHeight="1" x14ac:dyDescent="0.25">
      <c r="A1430" s="44"/>
      <c r="B1430" s="45" t="s">
        <v>0</v>
      </c>
      <c r="C1430" s="100" t="s">
        <v>143</v>
      </c>
      <c r="D1430" s="45"/>
      <c r="E1430" s="45"/>
      <c r="F1430" s="45"/>
      <c r="G1430" s="45"/>
      <c r="H1430" s="56"/>
      <c r="I1430" s="50"/>
      <c r="J1430" s="45"/>
      <c r="K1430" s="45"/>
      <c r="L1430" s="57"/>
      <c r="M1430" s="187"/>
      <c r="N1430" s="92"/>
      <c r="O1430" s="89" t="s">
        <v>76</v>
      </c>
      <c r="P1430" s="89">
        <v>28</v>
      </c>
      <c r="Q1430" s="89">
        <v>1</v>
      </c>
      <c r="R1430" s="89">
        <v>0</v>
      </c>
      <c r="S1430" s="93"/>
      <c r="T1430" s="89" t="s">
        <v>76</v>
      </c>
      <c r="U1430" s="162">
        <f>IF($J$1="January","",Y1429)</f>
        <v>2000</v>
      </c>
      <c r="V1430" s="91"/>
      <c r="W1430" s="162">
        <f>IF(U1430="","",U1430+V1430)</f>
        <v>2000</v>
      </c>
      <c r="X1430" s="91">
        <v>1000</v>
      </c>
      <c r="Y1430" s="162">
        <f>IF(W1430="","",W1430-X1430)</f>
        <v>1000</v>
      </c>
      <c r="Z1430" s="94"/>
    </row>
    <row r="1431" spans="1:26" s="43" customFormat="1" ht="21" customHeight="1" x14ac:dyDescent="0.25">
      <c r="A1431" s="44"/>
      <c r="B1431" s="59" t="s">
        <v>46</v>
      </c>
      <c r="C1431" s="100"/>
      <c r="D1431" s="45"/>
      <c r="E1431" s="45"/>
      <c r="F1431" s="366" t="s">
        <v>48</v>
      </c>
      <c r="G1431" s="366"/>
      <c r="H1431" s="45"/>
      <c r="I1431" s="366" t="s">
        <v>49</v>
      </c>
      <c r="J1431" s="366"/>
      <c r="K1431" s="366"/>
      <c r="L1431" s="61"/>
      <c r="M1431" s="45"/>
      <c r="N1431" s="88"/>
      <c r="O1431" s="89" t="s">
        <v>51</v>
      </c>
      <c r="P1431" s="89">
        <v>31</v>
      </c>
      <c r="Q1431" s="89">
        <v>0</v>
      </c>
      <c r="R1431" s="89">
        <v>0</v>
      </c>
      <c r="S1431" s="93"/>
      <c r="T1431" s="89" t="s">
        <v>51</v>
      </c>
      <c r="U1431" s="162">
        <f>IF($J$1="February","",Y1430)</f>
        <v>1000</v>
      </c>
      <c r="V1431" s="91"/>
      <c r="W1431" s="162">
        <f t="shared" ref="W1431:W1440" si="260">IF(U1431="","",U1431+V1431)</f>
        <v>1000</v>
      </c>
      <c r="X1431" s="91">
        <v>1000</v>
      </c>
      <c r="Y1431" s="162">
        <f t="shared" ref="Y1431:Y1440" si="261">IF(W1431="","",W1431-X1431)</f>
        <v>0</v>
      </c>
      <c r="Z1431" s="94"/>
    </row>
    <row r="1432" spans="1:26" s="43" customFormat="1" ht="21" customHeight="1" x14ac:dyDescent="0.25">
      <c r="A1432" s="44"/>
      <c r="B1432" s="45"/>
      <c r="C1432" s="45"/>
      <c r="D1432" s="45"/>
      <c r="E1432" s="45"/>
      <c r="F1432" s="45"/>
      <c r="G1432" s="45"/>
      <c r="H1432" s="62"/>
      <c r="L1432" s="49"/>
      <c r="M1432" s="45"/>
      <c r="N1432" s="88"/>
      <c r="O1432" s="89" t="s">
        <v>52</v>
      </c>
      <c r="P1432" s="89">
        <v>14</v>
      </c>
      <c r="Q1432" s="89"/>
      <c r="R1432" s="89">
        <v>0</v>
      </c>
      <c r="S1432" s="93"/>
      <c r="T1432" s="89" t="s">
        <v>52</v>
      </c>
      <c r="U1432" s="162">
        <f>IF($J$1="March","",Y1431)</f>
        <v>0</v>
      </c>
      <c r="V1432" s="91"/>
      <c r="W1432" s="162">
        <f t="shared" si="260"/>
        <v>0</v>
      </c>
      <c r="X1432" s="91"/>
      <c r="Y1432" s="162">
        <f t="shared" si="261"/>
        <v>0</v>
      </c>
      <c r="Z1432" s="94"/>
    </row>
    <row r="1433" spans="1:26" s="43" customFormat="1" ht="21" customHeight="1" x14ac:dyDescent="0.25">
      <c r="A1433" s="44"/>
      <c r="B1433" s="367" t="s">
        <v>47</v>
      </c>
      <c r="C1433" s="368"/>
      <c r="D1433" s="45"/>
      <c r="E1433" s="45"/>
      <c r="F1433" s="63" t="s">
        <v>69</v>
      </c>
      <c r="G1433" s="58">
        <f>IF($J$1="January",U1429,IF($J$1="February",U1430,IF($J$1="March",U1431,IF($J$1="April",U1432,IF($J$1="May",U1433,IF($J$1="June",U1434,IF($J$1="July",U1435,IF($J$1="August",U1436,IF($J$1="August",U1436,IF($J$1="September",U1437,IF($J$1="October",U1438,IF($J$1="November",U1439,IF($J$1="December",U1440)))))))))))))</f>
        <v>0</v>
      </c>
      <c r="H1433" s="62"/>
      <c r="I1433" s="64">
        <f>IF(C1437&gt;0,$K$2,C1435)</f>
        <v>31</v>
      </c>
      <c r="J1433" s="65" t="s">
        <v>66</v>
      </c>
      <c r="K1433" s="66">
        <f>K1429/$K$2*I1433</f>
        <v>25000</v>
      </c>
      <c r="L1433" s="67"/>
      <c r="M1433" s="45"/>
      <c r="N1433" s="88"/>
      <c r="O1433" s="89" t="s">
        <v>53</v>
      </c>
      <c r="P1433" s="89">
        <v>27</v>
      </c>
      <c r="Q1433" s="89">
        <v>4</v>
      </c>
      <c r="R1433" s="89">
        <v>0</v>
      </c>
      <c r="S1433" s="93"/>
      <c r="T1433" s="89" t="s">
        <v>53</v>
      </c>
      <c r="U1433" s="162">
        <f>IF($J$1="April","",Y1432)</f>
        <v>0</v>
      </c>
      <c r="V1433" s="91"/>
      <c r="W1433" s="162">
        <f t="shared" si="260"/>
        <v>0</v>
      </c>
      <c r="X1433" s="91"/>
      <c r="Y1433" s="162">
        <f t="shared" si="261"/>
        <v>0</v>
      </c>
      <c r="Z1433" s="94"/>
    </row>
    <row r="1434" spans="1:26" s="43" customFormat="1" ht="21" customHeight="1" x14ac:dyDescent="0.25">
      <c r="A1434" s="44"/>
      <c r="B1434" s="54"/>
      <c r="C1434" s="54"/>
      <c r="D1434" s="45"/>
      <c r="E1434" s="45"/>
      <c r="F1434" s="63" t="s">
        <v>23</v>
      </c>
      <c r="G1434" s="58">
        <f>IF($J$1="January",V1429,IF($J$1="February",V1430,IF($J$1="March",V1431,IF($J$1="April",V1432,IF($J$1="May",V1433,IF($J$1="June",V1434,IF($J$1="July",V1435,IF($J$1="August",V1436,IF($J$1="August",V1436,IF($J$1="September",V1437,IF($J$1="October",V1438,IF($J$1="November",V1439,IF($J$1="December",V1440)))))))))))))</f>
        <v>0</v>
      </c>
      <c r="H1434" s="62"/>
      <c r="I1434" s="108">
        <v>18</v>
      </c>
      <c r="J1434" s="65" t="s">
        <v>67</v>
      </c>
      <c r="K1434" s="68">
        <f>K1429/$K$2/8*I1434</f>
        <v>1814.516129032258</v>
      </c>
      <c r="L1434" s="69"/>
      <c r="M1434" s="45"/>
      <c r="N1434" s="88"/>
      <c r="O1434" s="89" t="s">
        <v>54</v>
      </c>
      <c r="P1434" s="89"/>
      <c r="Q1434" s="89"/>
      <c r="R1434" s="89">
        <v>0</v>
      </c>
      <c r="S1434" s="93"/>
      <c r="T1434" s="89" t="s">
        <v>54</v>
      </c>
      <c r="U1434" s="162">
        <f>IF($J$1="May","",Y1433)</f>
        <v>0</v>
      </c>
      <c r="V1434" s="91"/>
      <c r="W1434" s="162">
        <f t="shared" si="260"/>
        <v>0</v>
      </c>
      <c r="X1434" s="91"/>
      <c r="Y1434" s="162">
        <f t="shared" si="261"/>
        <v>0</v>
      </c>
      <c r="Z1434" s="94"/>
    </row>
    <row r="1435" spans="1:26" s="43" customFormat="1" ht="21" customHeight="1" x14ac:dyDescent="0.25">
      <c r="A1435" s="44"/>
      <c r="B1435" s="63" t="s">
        <v>7</v>
      </c>
      <c r="C1435" s="54">
        <f>IF($J$1="January",P1429,IF($J$1="February",P1430,IF($J$1="March",P1431,IF($J$1="April",P1432,IF($J$1="May",P1433,IF($J$1="June",P1434,IF($J$1="July",P1435,IF($J$1="August",P1436,IF($J$1="August",P1436,IF($J$1="September",P1437,IF($J$1="October",P1438,IF($J$1="November",P1439,IF($J$1="December",P1440)))))))))))))</f>
        <v>0</v>
      </c>
      <c r="D1435" s="45"/>
      <c r="E1435" s="45"/>
      <c r="F1435" s="63" t="s">
        <v>70</v>
      </c>
      <c r="G1435" s="58">
        <f>IF($J$1="January",W1429,IF($J$1="February",W1430,IF($J$1="March",W1431,IF($J$1="April",W1432,IF($J$1="May",W1433,IF($J$1="June",W1434,IF($J$1="July",W1435,IF($J$1="August",W1436,IF($J$1="August",W1436,IF($J$1="September",W1437,IF($J$1="October",W1438,IF($J$1="November",W1439,IF($J$1="December",W1440)))))))))))))</f>
        <v>0</v>
      </c>
      <c r="H1435" s="62"/>
      <c r="I1435" s="361" t="s">
        <v>74</v>
      </c>
      <c r="J1435" s="362"/>
      <c r="K1435" s="68">
        <f>K1433+K1434</f>
        <v>26814.516129032258</v>
      </c>
      <c r="L1435" s="69"/>
      <c r="M1435" s="45"/>
      <c r="N1435" s="88"/>
      <c r="O1435" s="89" t="s">
        <v>55</v>
      </c>
      <c r="P1435" s="89"/>
      <c r="Q1435" s="89"/>
      <c r="R1435" s="89">
        <v>0</v>
      </c>
      <c r="S1435" s="93"/>
      <c r="T1435" s="89" t="s">
        <v>55</v>
      </c>
      <c r="U1435" s="162">
        <f>IF($J$1="June","",Y1434)</f>
        <v>0</v>
      </c>
      <c r="V1435" s="91"/>
      <c r="W1435" s="162">
        <f t="shared" si="260"/>
        <v>0</v>
      </c>
      <c r="X1435" s="91"/>
      <c r="Y1435" s="162">
        <f t="shared" si="261"/>
        <v>0</v>
      </c>
      <c r="Z1435" s="94"/>
    </row>
    <row r="1436" spans="1:26" s="43" customFormat="1" ht="21" customHeight="1" x14ac:dyDescent="0.25">
      <c r="A1436" s="44"/>
      <c r="B1436" s="63" t="s">
        <v>6</v>
      </c>
      <c r="C1436" s="54">
        <f>IF($J$1="January",Q1429,IF($J$1="February",Q1430,IF($J$1="March",Q1431,IF($J$1="April",Q1432,IF($J$1="May",Q1433,IF($J$1="June",Q1434,IF($J$1="July",Q1435,IF($J$1="August",Q1436,IF($J$1="August",Q1436,IF($J$1="September",Q1437,IF($J$1="October",Q1438,IF($J$1="November",Q1439,IF($J$1="December",Q1440)))))))))))))</f>
        <v>0</v>
      </c>
      <c r="D1436" s="45"/>
      <c r="E1436" s="45"/>
      <c r="F1436" s="63" t="s">
        <v>24</v>
      </c>
      <c r="G1436" s="58">
        <f>IF($J$1="January",X1429,IF($J$1="February",X1430,IF($J$1="March",X1431,IF($J$1="April",X1432,IF($J$1="May",X1433,IF($J$1="June",X1434,IF($J$1="July",X1435,IF($J$1="August",X1436,IF($J$1="August",X1436,IF($J$1="September",X1437,IF($J$1="October",X1438,IF($J$1="November",X1439,IF($J$1="December",X1440)))))))))))))</f>
        <v>0</v>
      </c>
      <c r="H1436" s="62"/>
      <c r="I1436" s="361" t="s">
        <v>75</v>
      </c>
      <c r="J1436" s="362"/>
      <c r="K1436" s="58">
        <f>G1436</f>
        <v>0</v>
      </c>
      <c r="L1436" s="70"/>
      <c r="M1436" s="45"/>
      <c r="N1436" s="88"/>
      <c r="O1436" s="89" t="s">
        <v>56</v>
      </c>
      <c r="P1436" s="89"/>
      <c r="Q1436" s="89"/>
      <c r="R1436" s="89">
        <v>0</v>
      </c>
      <c r="S1436" s="93"/>
      <c r="T1436" s="89" t="s">
        <v>56</v>
      </c>
      <c r="U1436" s="162">
        <f>IF($J$1="July","",Y1435)</f>
        <v>0</v>
      </c>
      <c r="V1436" s="91"/>
      <c r="W1436" s="162">
        <f t="shared" si="260"/>
        <v>0</v>
      </c>
      <c r="X1436" s="91"/>
      <c r="Y1436" s="162">
        <f t="shared" si="261"/>
        <v>0</v>
      </c>
      <c r="Z1436" s="94"/>
    </row>
    <row r="1437" spans="1:26" s="43" customFormat="1" ht="21" customHeight="1" x14ac:dyDescent="0.25">
      <c r="A1437" s="44"/>
      <c r="B1437" s="71" t="s">
        <v>73</v>
      </c>
      <c r="C1437" s="54" t="str">
        <f>IF($J$1="January",R1429,IF($J$1="February",R1430,IF($J$1="March",R1431,IF($J$1="April",R1432,IF($J$1="May",R1433,IF($J$1="June",R1434,IF($J$1="July",R1435,IF($J$1="August",R1436,IF($J$1="August",R1436,IF($J$1="September",R1437,IF($J$1="October",R1438,IF($J$1="November",R1439,IF($J$1="December",R1440)))))))))))))</f>
        <v/>
      </c>
      <c r="D1437" s="45"/>
      <c r="E1437" s="45"/>
      <c r="F1437" s="63" t="s">
        <v>72</v>
      </c>
      <c r="G1437" s="58">
        <f>IF($J$1="January",Y1429,IF($J$1="February",Y1430,IF($J$1="March",Y1431,IF($J$1="April",Y1432,IF($J$1="May",Y1433,IF($J$1="June",Y1434,IF($J$1="July",Y1435,IF($J$1="August",Y1436,IF($J$1="August",Y1436,IF($J$1="September",Y1437,IF($J$1="October",Y1438,IF($J$1="November",Y1439,IF($J$1="December",Y1440)))))))))))))</f>
        <v>0</v>
      </c>
      <c r="H1437" s="45"/>
      <c r="I1437" s="363" t="s">
        <v>68</v>
      </c>
      <c r="J1437" s="364"/>
      <c r="K1437" s="72"/>
      <c r="L1437" s="73"/>
      <c r="M1437" s="45"/>
      <c r="N1437" s="88"/>
      <c r="O1437" s="89" t="s">
        <v>61</v>
      </c>
      <c r="P1437" s="89"/>
      <c r="Q1437" s="89"/>
      <c r="R1437" s="89">
        <v>0</v>
      </c>
      <c r="S1437" s="93"/>
      <c r="T1437" s="89" t="s">
        <v>61</v>
      </c>
      <c r="U1437" s="162">
        <f>IF($J$1="August","",Y1436)</f>
        <v>0</v>
      </c>
      <c r="V1437" s="91"/>
      <c r="W1437" s="162">
        <f t="shared" si="260"/>
        <v>0</v>
      </c>
      <c r="X1437" s="91"/>
      <c r="Y1437" s="162">
        <f t="shared" si="261"/>
        <v>0</v>
      </c>
      <c r="Z1437" s="94"/>
    </row>
    <row r="1438" spans="1:26" s="43" customFormat="1" ht="21" customHeight="1" x14ac:dyDescent="0.25">
      <c r="A1438" s="44"/>
      <c r="B1438" s="45"/>
      <c r="C1438" s="45"/>
      <c r="D1438" s="45"/>
      <c r="E1438" s="45"/>
      <c r="F1438" s="45"/>
      <c r="G1438" s="45"/>
      <c r="H1438" s="45"/>
      <c r="I1438" s="45"/>
      <c r="J1438" s="45"/>
      <c r="K1438" s="45"/>
      <c r="L1438" s="61"/>
      <c r="M1438" s="45"/>
      <c r="N1438" s="88"/>
      <c r="O1438" s="89" t="s">
        <v>57</v>
      </c>
      <c r="P1438" s="89"/>
      <c r="Q1438" s="89"/>
      <c r="R1438" s="89" t="str">
        <f>IF(Q1438="","",R1437-Q1438)</f>
        <v/>
      </c>
      <c r="S1438" s="93"/>
      <c r="T1438" s="89" t="s">
        <v>57</v>
      </c>
      <c r="U1438" s="162">
        <f>IF($J$1="September","",Y1437)</f>
        <v>0</v>
      </c>
      <c r="V1438" s="91"/>
      <c r="W1438" s="162">
        <f t="shared" si="260"/>
        <v>0</v>
      </c>
      <c r="X1438" s="91"/>
      <c r="Y1438" s="162">
        <f t="shared" si="261"/>
        <v>0</v>
      </c>
      <c r="Z1438" s="94"/>
    </row>
    <row r="1439" spans="1:26" s="43" customFormat="1" ht="21" customHeight="1" x14ac:dyDescent="0.25">
      <c r="A1439" s="44"/>
      <c r="B1439" s="365" t="s">
        <v>103</v>
      </c>
      <c r="C1439" s="365"/>
      <c r="D1439" s="365"/>
      <c r="E1439" s="365"/>
      <c r="F1439" s="365"/>
      <c r="G1439" s="365"/>
      <c r="H1439" s="365"/>
      <c r="I1439" s="365"/>
      <c r="J1439" s="365"/>
      <c r="K1439" s="365"/>
      <c r="L1439" s="61"/>
      <c r="M1439" s="45"/>
      <c r="N1439" s="88"/>
      <c r="O1439" s="89" t="s">
        <v>62</v>
      </c>
      <c r="P1439" s="89"/>
      <c r="Q1439" s="89"/>
      <c r="R1439" s="89">
        <v>0</v>
      </c>
      <c r="S1439" s="93"/>
      <c r="T1439" s="89" t="s">
        <v>62</v>
      </c>
      <c r="U1439" s="162" t="str">
        <f>IF($J$1="October","",Y1438)</f>
        <v/>
      </c>
      <c r="V1439" s="91"/>
      <c r="W1439" s="162" t="str">
        <f t="shared" si="260"/>
        <v/>
      </c>
      <c r="X1439" s="91"/>
      <c r="Y1439" s="162" t="str">
        <f t="shared" si="261"/>
        <v/>
      </c>
      <c r="Z1439" s="94"/>
    </row>
    <row r="1440" spans="1:26" s="43" customFormat="1" ht="21" customHeight="1" x14ac:dyDescent="0.25">
      <c r="A1440" s="44"/>
      <c r="B1440" s="365"/>
      <c r="C1440" s="365"/>
      <c r="D1440" s="365"/>
      <c r="E1440" s="365"/>
      <c r="F1440" s="365"/>
      <c r="G1440" s="365"/>
      <c r="H1440" s="365"/>
      <c r="I1440" s="365"/>
      <c r="J1440" s="365"/>
      <c r="K1440" s="365"/>
      <c r="L1440" s="61"/>
      <c r="M1440" s="45"/>
      <c r="N1440" s="88"/>
      <c r="O1440" s="89" t="s">
        <v>63</v>
      </c>
      <c r="P1440" s="89"/>
      <c r="Q1440" s="89"/>
      <c r="R1440" s="89">
        <v>0</v>
      </c>
      <c r="S1440" s="93"/>
      <c r="T1440" s="89" t="s">
        <v>63</v>
      </c>
      <c r="U1440" s="162" t="str">
        <f>IF($J$1="November","",Y1439)</f>
        <v/>
      </c>
      <c r="V1440" s="91"/>
      <c r="W1440" s="162" t="str">
        <f t="shared" si="260"/>
        <v/>
      </c>
      <c r="X1440" s="91"/>
      <c r="Y1440" s="162" t="str">
        <f t="shared" si="261"/>
        <v/>
      </c>
      <c r="Z1440" s="94"/>
    </row>
    <row r="1441" spans="1:26" s="43" customFormat="1" ht="21" customHeight="1" thickBot="1" x14ac:dyDescent="0.3">
      <c r="A1441" s="74"/>
      <c r="B1441" s="75"/>
      <c r="C1441" s="75"/>
      <c r="D1441" s="75"/>
      <c r="E1441" s="75"/>
      <c r="F1441" s="75"/>
      <c r="G1441" s="75"/>
      <c r="H1441" s="75"/>
      <c r="I1441" s="75"/>
      <c r="J1441" s="75"/>
      <c r="K1441" s="75"/>
      <c r="L1441" s="76"/>
      <c r="N1441" s="95"/>
      <c r="O1441" s="96"/>
      <c r="P1441" s="96"/>
      <c r="Q1441" s="96"/>
      <c r="R1441" s="96"/>
      <c r="S1441" s="96"/>
      <c r="T1441" s="96"/>
      <c r="U1441" s="96"/>
      <c r="V1441" s="96"/>
      <c r="W1441" s="96"/>
      <c r="X1441" s="96"/>
      <c r="Y1441" s="96"/>
      <c r="Z1441" s="97"/>
    </row>
    <row r="1443" spans="1:26" s="43" customFormat="1" ht="21" hidden="1" customHeight="1" x14ac:dyDescent="0.25">
      <c r="A1443" s="369" t="s">
        <v>45</v>
      </c>
      <c r="B1443" s="370"/>
      <c r="C1443" s="370"/>
      <c r="D1443" s="370"/>
      <c r="E1443" s="370"/>
      <c r="F1443" s="370"/>
      <c r="G1443" s="370"/>
      <c r="H1443" s="370"/>
      <c r="I1443" s="370"/>
      <c r="J1443" s="370"/>
      <c r="K1443" s="370"/>
      <c r="L1443" s="371"/>
      <c r="M1443" s="187"/>
      <c r="N1443" s="81"/>
      <c r="O1443" s="372" t="s">
        <v>47</v>
      </c>
      <c r="P1443" s="373"/>
      <c r="Q1443" s="373"/>
      <c r="R1443" s="374"/>
      <c r="S1443" s="82"/>
      <c r="T1443" s="372" t="s">
        <v>48</v>
      </c>
      <c r="U1443" s="373"/>
      <c r="V1443" s="373"/>
      <c r="W1443" s="373"/>
      <c r="X1443" s="373"/>
      <c r="Y1443" s="374"/>
      <c r="Z1443" s="83"/>
    </row>
    <row r="1444" spans="1:26" s="43" customFormat="1" ht="21" hidden="1" customHeight="1" x14ac:dyDescent="0.25">
      <c r="A1444" s="44"/>
      <c r="B1444" s="45"/>
      <c r="C1444" s="375" t="s">
        <v>101</v>
      </c>
      <c r="D1444" s="375"/>
      <c r="E1444" s="375"/>
      <c r="F1444" s="375"/>
      <c r="G1444" s="46" t="str">
        <f>$J$1</f>
        <v>October</v>
      </c>
      <c r="H1444" s="376">
        <f>$K$1</f>
        <v>2020</v>
      </c>
      <c r="I1444" s="376"/>
      <c r="J1444" s="45"/>
      <c r="K1444" s="47"/>
      <c r="L1444" s="48"/>
      <c r="M1444" s="47"/>
      <c r="N1444" s="84"/>
      <c r="O1444" s="85" t="s">
        <v>58</v>
      </c>
      <c r="P1444" s="85" t="s">
        <v>7</v>
      </c>
      <c r="Q1444" s="85" t="s">
        <v>6</v>
      </c>
      <c r="R1444" s="85" t="s">
        <v>59</v>
      </c>
      <c r="S1444" s="86"/>
      <c r="T1444" s="85" t="s">
        <v>58</v>
      </c>
      <c r="U1444" s="85" t="s">
        <v>60</v>
      </c>
      <c r="V1444" s="85" t="s">
        <v>23</v>
      </c>
      <c r="W1444" s="85" t="s">
        <v>22</v>
      </c>
      <c r="X1444" s="85" t="s">
        <v>24</v>
      </c>
      <c r="Y1444" s="85" t="s">
        <v>64</v>
      </c>
      <c r="Z1444" s="87"/>
    </row>
    <row r="1445" spans="1:26" s="43" customFormat="1" ht="21" hidden="1" customHeight="1" x14ac:dyDescent="0.25">
      <c r="A1445" s="44"/>
      <c r="B1445" s="45"/>
      <c r="C1445" s="45"/>
      <c r="D1445" s="50"/>
      <c r="E1445" s="50"/>
      <c r="F1445" s="50"/>
      <c r="G1445" s="50"/>
      <c r="H1445" s="50"/>
      <c r="I1445" s="45"/>
      <c r="J1445" s="51" t="s">
        <v>1</v>
      </c>
      <c r="K1445" s="52"/>
      <c r="L1445" s="53"/>
      <c r="M1445" s="45"/>
      <c r="N1445" s="88"/>
      <c r="O1445" s="89" t="s">
        <v>50</v>
      </c>
      <c r="P1445" s="89"/>
      <c r="Q1445" s="89"/>
      <c r="R1445" s="89">
        <v>0</v>
      </c>
      <c r="S1445" s="90"/>
      <c r="T1445" s="89" t="s">
        <v>50</v>
      </c>
      <c r="U1445" s="91"/>
      <c r="V1445" s="91"/>
      <c r="W1445" s="91">
        <f>V1445+U1445</f>
        <v>0</v>
      </c>
      <c r="X1445" s="91"/>
      <c r="Y1445" s="91">
        <f>W1445-X1445</f>
        <v>0</v>
      </c>
      <c r="Z1445" s="87"/>
    </row>
    <row r="1446" spans="1:26" s="43" customFormat="1" ht="21" hidden="1" customHeight="1" x14ac:dyDescent="0.25">
      <c r="A1446" s="44"/>
      <c r="B1446" s="45" t="s">
        <v>0</v>
      </c>
      <c r="C1446" s="100"/>
      <c r="D1446" s="45"/>
      <c r="E1446" s="45"/>
      <c r="F1446" s="45"/>
      <c r="G1446" s="45"/>
      <c r="H1446" s="56"/>
      <c r="I1446" s="50"/>
      <c r="J1446" s="45"/>
      <c r="K1446" s="45"/>
      <c r="L1446" s="57"/>
      <c r="M1446" s="187"/>
      <c r="N1446" s="92"/>
      <c r="O1446" s="89" t="s">
        <v>76</v>
      </c>
      <c r="P1446" s="89"/>
      <c r="Q1446" s="89"/>
      <c r="R1446" s="89">
        <v>0</v>
      </c>
      <c r="S1446" s="93"/>
      <c r="T1446" s="89" t="s">
        <v>76</v>
      </c>
      <c r="U1446" s="162">
        <f>Y1445</f>
        <v>0</v>
      </c>
      <c r="V1446" s="91"/>
      <c r="W1446" s="162">
        <f>IF(U1446="","",U1446+V1446)</f>
        <v>0</v>
      </c>
      <c r="X1446" s="91"/>
      <c r="Y1446" s="162">
        <f>IF(W1446="","",W1446-X1446)</f>
        <v>0</v>
      </c>
      <c r="Z1446" s="94"/>
    </row>
    <row r="1447" spans="1:26" s="43" customFormat="1" ht="21" hidden="1" customHeight="1" x14ac:dyDescent="0.25">
      <c r="A1447" s="44"/>
      <c r="B1447" s="59" t="s">
        <v>46</v>
      </c>
      <c r="C1447" s="100"/>
      <c r="D1447" s="45"/>
      <c r="E1447" s="45"/>
      <c r="F1447" s="366" t="s">
        <v>48</v>
      </c>
      <c r="G1447" s="366"/>
      <c r="H1447" s="45"/>
      <c r="I1447" s="366" t="s">
        <v>49</v>
      </c>
      <c r="J1447" s="366"/>
      <c r="K1447" s="366"/>
      <c r="L1447" s="61"/>
      <c r="M1447" s="45"/>
      <c r="N1447" s="88"/>
      <c r="O1447" s="89" t="s">
        <v>51</v>
      </c>
      <c r="P1447" s="89"/>
      <c r="Q1447" s="89"/>
      <c r="R1447" s="89">
        <v>0</v>
      </c>
      <c r="S1447" s="93"/>
      <c r="T1447" s="89" t="s">
        <v>51</v>
      </c>
      <c r="U1447" s="162">
        <f>IF($J$1="April",Y1446,Y1446)</f>
        <v>0</v>
      </c>
      <c r="V1447" s="91"/>
      <c r="W1447" s="162">
        <f t="shared" ref="W1447:W1456" si="262">IF(U1447="","",U1447+V1447)</f>
        <v>0</v>
      </c>
      <c r="X1447" s="91"/>
      <c r="Y1447" s="162">
        <f t="shared" ref="Y1447:Y1456" si="263">IF(W1447="","",W1447-X1447)</f>
        <v>0</v>
      </c>
      <c r="Z1447" s="94"/>
    </row>
    <row r="1448" spans="1:26" s="43" customFormat="1" ht="21" hidden="1" customHeight="1" x14ac:dyDescent="0.25">
      <c r="A1448" s="44"/>
      <c r="B1448" s="45"/>
      <c r="C1448" s="45"/>
      <c r="D1448" s="45"/>
      <c r="E1448" s="45"/>
      <c r="F1448" s="45"/>
      <c r="G1448" s="45"/>
      <c r="H1448" s="62"/>
      <c r="L1448" s="49"/>
      <c r="M1448" s="45"/>
      <c r="N1448" s="88"/>
      <c r="O1448" s="89" t="s">
        <v>52</v>
      </c>
      <c r="P1448" s="89"/>
      <c r="Q1448" s="89"/>
      <c r="R1448" s="89">
        <v>0</v>
      </c>
      <c r="S1448" s="93"/>
      <c r="T1448" s="89" t="s">
        <v>52</v>
      </c>
      <c r="U1448" s="162">
        <f>IF($J$1="April",Y1447,Y1447)</f>
        <v>0</v>
      </c>
      <c r="V1448" s="91"/>
      <c r="W1448" s="162">
        <f t="shared" si="262"/>
        <v>0</v>
      </c>
      <c r="X1448" s="91"/>
      <c r="Y1448" s="162">
        <f t="shared" si="263"/>
        <v>0</v>
      </c>
      <c r="Z1448" s="94"/>
    </row>
    <row r="1449" spans="1:26" s="43" customFormat="1" ht="21" hidden="1" customHeight="1" x14ac:dyDescent="0.25">
      <c r="A1449" s="44"/>
      <c r="B1449" s="367" t="s">
        <v>47</v>
      </c>
      <c r="C1449" s="368"/>
      <c r="D1449" s="45"/>
      <c r="E1449" s="45"/>
      <c r="F1449" s="63" t="s">
        <v>69</v>
      </c>
      <c r="G1449" s="58" t="str">
        <f>IF($J$1="January",U1445,IF($J$1="February",U1446,IF($J$1="March",U1447,IF($J$1="April",U1448,IF($J$1="May",U1449,IF($J$1="June",U1450,IF($J$1="July",U1451,IF($J$1="August",U1452,IF($J$1="August",U1452,IF($J$1="September",U1453,IF($J$1="October",U1454,IF($J$1="November",U1455,IF($J$1="December",U1456)))))))))))))</f>
        <v/>
      </c>
      <c r="H1449" s="62"/>
      <c r="I1449" s="64">
        <f>IF(C1453&gt;0,$K$2,C1451)</f>
        <v>31</v>
      </c>
      <c r="J1449" s="65" t="s">
        <v>66</v>
      </c>
      <c r="K1449" s="66">
        <f>K1445/$K$2*I1449</f>
        <v>0</v>
      </c>
      <c r="L1449" s="67"/>
      <c r="M1449" s="45"/>
      <c r="N1449" s="88"/>
      <c r="O1449" s="89" t="s">
        <v>53</v>
      </c>
      <c r="P1449" s="89"/>
      <c r="Q1449" s="89"/>
      <c r="R1449" s="89">
        <v>0</v>
      </c>
      <c r="S1449" s="93"/>
      <c r="T1449" s="89" t="s">
        <v>53</v>
      </c>
      <c r="U1449" s="162">
        <f>IF($J$1="May",Y1448,Y1448)</f>
        <v>0</v>
      </c>
      <c r="V1449" s="91"/>
      <c r="W1449" s="162">
        <f t="shared" si="262"/>
        <v>0</v>
      </c>
      <c r="X1449" s="91"/>
      <c r="Y1449" s="162">
        <f t="shared" si="263"/>
        <v>0</v>
      </c>
      <c r="Z1449" s="94"/>
    </row>
    <row r="1450" spans="1:26" s="43" customFormat="1" ht="21" hidden="1" customHeight="1" x14ac:dyDescent="0.25">
      <c r="A1450" s="44"/>
      <c r="B1450" s="54"/>
      <c r="C1450" s="54"/>
      <c r="D1450" s="45"/>
      <c r="E1450" s="45"/>
      <c r="F1450" s="63" t="s">
        <v>23</v>
      </c>
      <c r="G1450" s="58">
        <f>IF($J$1="January",V1445,IF($J$1="February",V1446,IF($J$1="March",V1447,IF($J$1="April",V1448,IF($J$1="May",V1449,IF($J$1="June",V1450,IF($J$1="July",V1451,IF($J$1="August",V1452,IF($J$1="August",V1452,IF($J$1="September",V1453,IF($J$1="October",V1454,IF($J$1="November",V1455,IF($J$1="December",V1456)))))))))))))</f>
        <v>0</v>
      </c>
      <c r="H1450" s="62"/>
      <c r="I1450" s="108"/>
      <c r="J1450" s="65" t="s">
        <v>67</v>
      </c>
      <c r="K1450" s="68">
        <f>K1445/$K$2/8*I1450</f>
        <v>0</v>
      </c>
      <c r="L1450" s="69"/>
      <c r="M1450" s="45"/>
      <c r="N1450" s="88"/>
      <c r="O1450" s="89" t="s">
        <v>54</v>
      </c>
      <c r="P1450" s="89"/>
      <c r="Q1450" s="89"/>
      <c r="R1450" s="89">
        <v>0</v>
      </c>
      <c r="S1450" s="93"/>
      <c r="T1450" s="89" t="s">
        <v>54</v>
      </c>
      <c r="U1450" s="162">
        <f>IF($J$1="May",Y1449,Y1449)</f>
        <v>0</v>
      </c>
      <c r="V1450" s="91"/>
      <c r="W1450" s="162">
        <f t="shared" si="262"/>
        <v>0</v>
      </c>
      <c r="X1450" s="91"/>
      <c r="Y1450" s="162">
        <f t="shared" si="263"/>
        <v>0</v>
      </c>
      <c r="Z1450" s="94"/>
    </row>
    <row r="1451" spans="1:26" s="43" customFormat="1" ht="21" hidden="1" customHeight="1" x14ac:dyDescent="0.25">
      <c r="A1451" s="44"/>
      <c r="B1451" s="63" t="s">
        <v>7</v>
      </c>
      <c r="C1451" s="54">
        <f>IF($J$1="January",P1445,IF($J$1="February",P1446,IF($J$1="March",P1447,IF($J$1="April",P1448,IF($J$1="May",P1449,IF($J$1="June",P1450,IF($J$1="July",P1451,IF($J$1="August",P1452,IF($J$1="August",P1452,IF($J$1="September",P1453,IF($J$1="October",P1454,IF($J$1="November",P1455,IF($J$1="December",P1456)))))))))))))</f>
        <v>0</v>
      </c>
      <c r="D1451" s="45"/>
      <c r="E1451" s="45"/>
      <c r="F1451" s="63" t="s">
        <v>70</v>
      </c>
      <c r="G1451" s="58" t="str">
        <f>IF($J$1="January",W1445,IF($J$1="February",W1446,IF($J$1="March",W1447,IF($J$1="April",W1448,IF($J$1="May",W1449,IF($J$1="June",W1450,IF($J$1="July",W1451,IF($J$1="August",W1452,IF($J$1="August",W1452,IF($J$1="September",W1453,IF($J$1="October",W1454,IF($J$1="November",W1455,IF($J$1="December",W1456)))))))))))))</f>
        <v/>
      </c>
      <c r="H1451" s="62"/>
      <c r="I1451" s="361" t="s">
        <v>74</v>
      </c>
      <c r="J1451" s="362"/>
      <c r="K1451" s="68">
        <f>K1449+K1450</f>
        <v>0</v>
      </c>
      <c r="L1451" s="69"/>
      <c r="M1451" s="45"/>
      <c r="N1451" s="88"/>
      <c r="O1451" s="89" t="s">
        <v>55</v>
      </c>
      <c r="P1451" s="89"/>
      <c r="Q1451" s="89"/>
      <c r="R1451" s="89">
        <v>0</v>
      </c>
      <c r="S1451" s="93"/>
      <c r="T1451" s="89" t="s">
        <v>55</v>
      </c>
      <c r="U1451" s="162" t="str">
        <f>IF($J$1="July",Y1450,"")</f>
        <v/>
      </c>
      <c r="V1451" s="91"/>
      <c r="W1451" s="162" t="str">
        <f t="shared" si="262"/>
        <v/>
      </c>
      <c r="X1451" s="91"/>
      <c r="Y1451" s="162" t="str">
        <f t="shared" si="263"/>
        <v/>
      </c>
      <c r="Z1451" s="94"/>
    </row>
    <row r="1452" spans="1:26" s="43" customFormat="1" ht="21" hidden="1" customHeight="1" x14ac:dyDescent="0.25">
      <c r="A1452" s="44"/>
      <c r="B1452" s="63" t="s">
        <v>6</v>
      </c>
      <c r="C1452" s="54">
        <f>IF($J$1="January",Q1445,IF($J$1="February",Q1446,IF($J$1="March",Q1447,IF($J$1="April",Q1448,IF($J$1="May",Q1449,IF($J$1="June",Q1450,IF($J$1="July",Q1451,IF($J$1="August",Q1452,IF($J$1="August",Q1452,IF($J$1="September",Q1453,IF($J$1="October",Q1454,IF($J$1="November",Q1455,IF($J$1="December",Q1456)))))))))))))</f>
        <v>0</v>
      </c>
      <c r="D1452" s="45"/>
      <c r="E1452" s="45"/>
      <c r="F1452" s="63" t="s">
        <v>24</v>
      </c>
      <c r="G1452" s="58">
        <f>IF($J$1="January",X1445,IF($J$1="February",X1446,IF($J$1="March",X1447,IF($J$1="April",X1448,IF($J$1="May",X1449,IF($J$1="June",X1450,IF($J$1="July",X1451,IF($J$1="August",X1452,IF($J$1="August",X1452,IF($J$1="September",X1453,IF($J$1="October",X1454,IF($J$1="November",X1455,IF($J$1="December",X1456)))))))))))))</f>
        <v>0</v>
      </c>
      <c r="H1452" s="62"/>
      <c r="I1452" s="361" t="s">
        <v>75</v>
      </c>
      <c r="J1452" s="362"/>
      <c r="K1452" s="58">
        <f>G1452</f>
        <v>0</v>
      </c>
      <c r="L1452" s="70"/>
      <c r="M1452" s="45"/>
      <c r="N1452" s="88"/>
      <c r="O1452" s="89" t="s">
        <v>56</v>
      </c>
      <c r="P1452" s="89"/>
      <c r="Q1452" s="89"/>
      <c r="R1452" s="89">
        <v>0</v>
      </c>
      <c r="S1452" s="93"/>
      <c r="T1452" s="89" t="s">
        <v>56</v>
      </c>
      <c r="U1452" s="162" t="str">
        <f>IF($J$1="September",Y1451,"")</f>
        <v/>
      </c>
      <c r="V1452" s="91"/>
      <c r="W1452" s="162" t="str">
        <f t="shared" si="262"/>
        <v/>
      </c>
      <c r="X1452" s="91"/>
      <c r="Y1452" s="162" t="str">
        <f t="shared" si="263"/>
        <v/>
      </c>
      <c r="Z1452" s="94"/>
    </row>
    <row r="1453" spans="1:26" s="43" customFormat="1" ht="21" hidden="1" customHeight="1" x14ac:dyDescent="0.25">
      <c r="A1453" s="44"/>
      <c r="B1453" s="71" t="s">
        <v>73</v>
      </c>
      <c r="C1453" s="54" t="str">
        <f>IF($J$1="January",R1445,IF($J$1="February",R1446,IF($J$1="March",R1447,IF($J$1="April",R1448,IF($J$1="May",R1449,IF($J$1="June",R1450,IF($J$1="July",R1451,IF($J$1="August",R1452,IF($J$1="August",R1452,IF($J$1="September",R1453,IF($J$1="October",R1454,IF($J$1="November",R1455,IF($J$1="December",R1456)))))))))))))</f>
        <v/>
      </c>
      <c r="D1453" s="45"/>
      <c r="E1453" s="45"/>
      <c r="F1453" s="63" t="s">
        <v>72</v>
      </c>
      <c r="G1453" s="58" t="str">
        <f>IF($J$1="January",Y1445,IF($J$1="February",Y1446,IF($J$1="March",Y1447,IF($J$1="April",Y1448,IF($J$1="May",Y1449,IF($J$1="June",Y1450,IF($J$1="July",Y1451,IF($J$1="August",Y1452,IF($J$1="August",Y1452,IF($J$1="September",Y1453,IF($J$1="October",Y1454,IF($J$1="November",Y1455,IF($J$1="December",Y1456)))))))))))))</f>
        <v/>
      </c>
      <c r="H1453" s="45"/>
      <c r="I1453" s="363" t="s">
        <v>68</v>
      </c>
      <c r="J1453" s="364"/>
      <c r="K1453" s="72">
        <f>K1451-K1452</f>
        <v>0</v>
      </c>
      <c r="L1453" s="73"/>
      <c r="M1453" s="45"/>
      <c r="N1453" s="88"/>
      <c r="O1453" s="89" t="s">
        <v>61</v>
      </c>
      <c r="P1453" s="89"/>
      <c r="Q1453" s="89"/>
      <c r="R1453" s="89">
        <v>0</v>
      </c>
      <c r="S1453" s="93"/>
      <c r="T1453" s="89" t="s">
        <v>61</v>
      </c>
      <c r="U1453" s="162" t="str">
        <f>IF($J$1="September",Y1452,"")</f>
        <v/>
      </c>
      <c r="V1453" s="91"/>
      <c r="W1453" s="162" t="str">
        <f t="shared" si="262"/>
        <v/>
      </c>
      <c r="X1453" s="91"/>
      <c r="Y1453" s="162" t="str">
        <f t="shared" si="263"/>
        <v/>
      </c>
      <c r="Z1453" s="94"/>
    </row>
    <row r="1454" spans="1:26" s="43" customFormat="1" ht="21" hidden="1" customHeight="1" x14ac:dyDescent="0.25">
      <c r="A1454" s="44"/>
      <c r="B1454" s="45"/>
      <c r="C1454" s="45"/>
      <c r="D1454" s="45"/>
      <c r="E1454" s="45"/>
      <c r="F1454" s="45"/>
      <c r="G1454" s="45"/>
      <c r="H1454" s="45"/>
      <c r="I1454" s="45"/>
      <c r="J1454" s="45"/>
      <c r="K1454" s="45"/>
      <c r="L1454" s="61"/>
      <c r="M1454" s="45"/>
      <c r="N1454" s="88"/>
      <c r="O1454" s="89" t="s">
        <v>57</v>
      </c>
      <c r="P1454" s="89"/>
      <c r="Q1454" s="89"/>
      <c r="R1454" s="89" t="str">
        <f>IF(Q1454="","",R1453-Q1454)</f>
        <v/>
      </c>
      <c r="S1454" s="93"/>
      <c r="T1454" s="89" t="s">
        <v>57</v>
      </c>
      <c r="U1454" s="162" t="str">
        <f>IF($J$1="October",Y1453,"")</f>
        <v/>
      </c>
      <c r="V1454" s="91"/>
      <c r="W1454" s="162" t="str">
        <f t="shared" si="262"/>
        <v/>
      </c>
      <c r="X1454" s="91"/>
      <c r="Y1454" s="162" t="str">
        <f t="shared" si="263"/>
        <v/>
      </c>
      <c r="Z1454" s="94"/>
    </row>
    <row r="1455" spans="1:26" s="43" customFormat="1" ht="21" hidden="1" customHeight="1" x14ac:dyDescent="0.25">
      <c r="A1455" s="44"/>
      <c r="B1455" s="365" t="s">
        <v>103</v>
      </c>
      <c r="C1455" s="365"/>
      <c r="D1455" s="365"/>
      <c r="E1455" s="365"/>
      <c r="F1455" s="365"/>
      <c r="G1455" s="365"/>
      <c r="H1455" s="365"/>
      <c r="I1455" s="365"/>
      <c r="J1455" s="365"/>
      <c r="K1455" s="365"/>
      <c r="L1455" s="61"/>
      <c r="M1455" s="45"/>
      <c r="N1455" s="88"/>
      <c r="O1455" s="89" t="s">
        <v>62</v>
      </c>
      <c r="P1455" s="89"/>
      <c r="Q1455" s="89"/>
      <c r="R1455" s="89">
        <v>0</v>
      </c>
      <c r="S1455" s="93"/>
      <c r="T1455" s="89" t="s">
        <v>62</v>
      </c>
      <c r="U1455" s="162" t="str">
        <f>IF($J$1="November",Y1454,"")</f>
        <v/>
      </c>
      <c r="V1455" s="91"/>
      <c r="W1455" s="162" t="str">
        <f t="shared" si="262"/>
        <v/>
      </c>
      <c r="X1455" s="91"/>
      <c r="Y1455" s="162" t="str">
        <f t="shared" si="263"/>
        <v/>
      </c>
      <c r="Z1455" s="94"/>
    </row>
    <row r="1456" spans="1:26" s="43" customFormat="1" ht="21" hidden="1" customHeight="1" x14ac:dyDescent="0.25">
      <c r="A1456" s="44"/>
      <c r="B1456" s="365"/>
      <c r="C1456" s="365"/>
      <c r="D1456" s="365"/>
      <c r="E1456" s="365"/>
      <c r="F1456" s="365"/>
      <c r="G1456" s="365"/>
      <c r="H1456" s="365"/>
      <c r="I1456" s="365"/>
      <c r="J1456" s="365"/>
      <c r="K1456" s="365"/>
      <c r="L1456" s="61"/>
      <c r="M1456" s="45"/>
      <c r="N1456" s="88"/>
      <c r="O1456" s="89" t="s">
        <v>63</v>
      </c>
      <c r="P1456" s="89"/>
      <c r="Q1456" s="89"/>
      <c r="R1456" s="89">
        <v>0</v>
      </c>
      <c r="S1456" s="93"/>
      <c r="T1456" s="89" t="s">
        <v>63</v>
      </c>
      <c r="U1456" s="162" t="str">
        <f>IF($J$1="Dec",Y1455,"")</f>
        <v/>
      </c>
      <c r="V1456" s="91"/>
      <c r="W1456" s="162" t="str">
        <f t="shared" si="262"/>
        <v/>
      </c>
      <c r="X1456" s="91"/>
      <c r="Y1456" s="162" t="str">
        <f t="shared" si="263"/>
        <v/>
      </c>
      <c r="Z1456" s="94"/>
    </row>
    <row r="1457" spans="1:26" s="43" customFormat="1" ht="21" hidden="1" customHeight="1" thickBot="1" x14ac:dyDescent="0.3">
      <c r="A1457" s="74"/>
      <c r="B1457" s="75"/>
      <c r="C1457" s="75"/>
      <c r="D1457" s="75"/>
      <c r="E1457" s="75"/>
      <c r="F1457" s="75"/>
      <c r="G1457" s="75"/>
      <c r="H1457" s="75"/>
      <c r="I1457" s="75"/>
      <c r="J1457" s="75"/>
      <c r="K1457" s="75"/>
      <c r="L1457" s="76"/>
      <c r="N1457" s="95"/>
      <c r="O1457" s="96"/>
      <c r="P1457" s="96"/>
      <c r="Q1457" s="96"/>
      <c r="R1457" s="96"/>
      <c r="S1457" s="96"/>
      <c r="T1457" s="96"/>
      <c r="U1457" s="96"/>
      <c r="V1457" s="96"/>
      <c r="W1457" s="96"/>
      <c r="X1457" s="96"/>
      <c r="Y1457" s="96"/>
      <c r="Z1457" s="97"/>
    </row>
    <row r="1458" spans="1:26" ht="15" thickBot="1" x14ac:dyDescent="0.35"/>
    <row r="1459" spans="1:26" s="43" customFormat="1" ht="21" customHeight="1" x14ac:dyDescent="0.25">
      <c r="A1459" s="377" t="s">
        <v>45</v>
      </c>
      <c r="B1459" s="378"/>
      <c r="C1459" s="378"/>
      <c r="D1459" s="378"/>
      <c r="E1459" s="378"/>
      <c r="F1459" s="378"/>
      <c r="G1459" s="378"/>
      <c r="H1459" s="378"/>
      <c r="I1459" s="378"/>
      <c r="J1459" s="378"/>
      <c r="K1459" s="378"/>
      <c r="L1459" s="379"/>
      <c r="M1459" s="187"/>
      <c r="N1459" s="81"/>
      <c r="O1459" s="372" t="s">
        <v>47</v>
      </c>
      <c r="P1459" s="373"/>
      <c r="Q1459" s="373"/>
      <c r="R1459" s="374"/>
      <c r="S1459" s="82"/>
      <c r="T1459" s="372" t="s">
        <v>48</v>
      </c>
      <c r="U1459" s="373"/>
      <c r="V1459" s="373"/>
      <c r="W1459" s="373"/>
      <c r="X1459" s="373"/>
      <c r="Y1459" s="374"/>
      <c r="Z1459" s="83"/>
    </row>
    <row r="1460" spans="1:26" s="43" customFormat="1" ht="21" customHeight="1" x14ac:dyDescent="0.25">
      <c r="A1460" s="44"/>
      <c r="B1460" s="45"/>
      <c r="C1460" s="375" t="s">
        <v>101</v>
      </c>
      <c r="D1460" s="375"/>
      <c r="E1460" s="375"/>
      <c r="F1460" s="375"/>
      <c r="G1460" s="46" t="str">
        <f>$J$1</f>
        <v>October</v>
      </c>
      <c r="H1460" s="376">
        <f>$K$1</f>
        <v>2020</v>
      </c>
      <c r="I1460" s="376"/>
      <c r="J1460" s="45"/>
      <c r="K1460" s="47"/>
      <c r="L1460" s="48"/>
      <c r="M1460" s="47"/>
      <c r="N1460" s="84"/>
      <c r="O1460" s="85" t="s">
        <v>58</v>
      </c>
      <c r="P1460" s="85" t="s">
        <v>7</v>
      </c>
      <c r="Q1460" s="85" t="s">
        <v>6</v>
      </c>
      <c r="R1460" s="85" t="s">
        <v>59</v>
      </c>
      <c r="S1460" s="86"/>
      <c r="T1460" s="85" t="s">
        <v>58</v>
      </c>
      <c r="U1460" s="85" t="s">
        <v>60</v>
      </c>
      <c r="V1460" s="85" t="s">
        <v>23</v>
      </c>
      <c r="W1460" s="85" t="s">
        <v>22</v>
      </c>
      <c r="X1460" s="85" t="s">
        <v>24</v>
      </c>
      <c r="Y1460" s="85" t="s">
        <v>64</v>
      </c>
      <c r="Z1460" s="87"/>
    </row>
    <row r="1461" spans="1:26" s="43" customFormat="1" ht="21" customHeight="1" x14ac:dyDescent="0.25">
      <c r="A1461" s="44"/>
      <c r="B1461" s="45"/>
      <c r="C1461" s="45"/>
      <c r="D1461" s="50"/>
      <c r="E1461" s="50"/>
      <c r="F1461" s="50"/>
      <c r="G1461" s="50"/>
      <c r="H1461" s="50"/>
      <c r="I1461" s="45"/>
      <c r="J1461" s="51" t="s">
        <v>1</v>
      </c>
      <c r="K1461" s="52">
        <v>20000</v>
      </c>
      <c r="L1461" s="53"/>
      <c r="M1461" s="45"/>
      <c r="N1461" s="88"/>
      <c r="O1461" s="89" t="s">
        <v>50</v>
      </c>
      <c r="P1461" s="89">
        <v>29</v>
      </c>
      <c r="Q1461" s="89">
        <v>2</v>
      </c>
      <c r="R1461" s="89">
        <v>0</v>
      </c>
      <c r="S1461" s="90"/>
      <c r="T1461" s="89" t="s">
        <v>50</v>
      </c>
      <c r="U1461" s="91">
        <v>10000</v>
      </c>
      <c r="V1461" s="91"/>
      <c r="W1461" s="91">
        <f>V1461+U1461</f>
        <v>10000</v>
      </c>
      <c r="X1461" s="91">
        <v>5000</v>
      </c>
      <c r="Y1461" s="91">
        <f>W1461-X1461</f>
        <v>5000</v>
      </c>
      <c r="Z1461" s="87"/>
    </row>
    <row r="1462" spans="1:26" s="43" customFormat="1" ht="21" customHeight="1" x14ac:dyDescent="0.25">
      <c r="A1462" s="44"/>
      <c r="B1462" s="45" t="s">
        <v>0</v>
      </c>
      <c r="C1462" s="100" t="s">
        <v>144</v>
      </c>
      <c r="D1462" s="45"/>
      <c r="E1462" s="45"/>
      <c r="F1462" s="45"/>
      <c r="G1462" s="45"/>
      <c r="H1462" s="56"/>
      <c r="I1462" s="50"/>
      <c r="J1462" s="45"/>
      <c r="K1462" s="45"/>
      <c r="L1462" s="57"/>
      <c r="M1462" s="187"/>
      <c r="N1462" s="92"/>
      <c r="O1462" s="89" t="s">
        <v>76</v>
      </c>
      <c r="P1462" s="89">
        <v>29</v>
      </c>
      <c r="Q1462" s="89">
        <v>0</v>
      </c>
      <c r="R1462" s="89">
        <v>0</v>
      </c>
      <c r="S1462" s="93"/>
      <c r="T1462" s="89" t="s">
        <v>76</v>
      </c>
      <c r="U1462" s="162">
        <f>IF($J$1="January","",Y1461)</f>
        <v>5000</v>
      </c>
      <c r="V1462" s="91"/>
      <c r="W1462" s="162">
        <f>IF(U1462="","",U1462+V1462)</f>
        <v>5000</v>
      </c>
      <c r="X1462" s="91">
        <v>5000</v>
      </c>
      <c r="Y1462" s="162">
        <f>IF(W1462="","",W1462-X1462)</f>
        <v>0</v>
      </c>
      <c r="Z1462" s="94"/>
    </row>
    <row r="1463" spans="1:26" s="43" customFormat="1" ht="21" customHeight="1" x14ac:dyDescent="0.25">
      <c r="A1463" s="44"/>
      <c r="B1463" s="59" t="s">
        <v>46</v>
      </c>
      <c r="C1463" s="100"/>
      <c r="D1463" s="45"/>
      <c r="E1463" s="45"/>
      <c r="F1463" s="366" t="s">
        <v>48</v>
      </c>
      <c r="G1463" s="366"/>
      <c r="H1463" s="45"/>
      <c r="I1463" s="366" t="s">
        <v>49</v>
      </c>
      <c r="J1463" s="366"/>
      <c r="K1463" s="366"/>
      <c r="L1463" s="61"/>
      <c r="M1463" s="45"/>
      <c r="N1463" s="88"/>
      <c r="O1463" s="89" t="s">
        <v>51</v>
      </c>
      <c r="P1463" s="89">
        <v>31</v>
      </c>
      <c r="Q1463" s="89">
        <v>0</v>
      </c>
      <c r="R1463" s="89">
        <f>IF(Q1463="","",R1462-Q1463)</f>
        <v>0</v>
      </c>
      <c r="S1463" s="93"/>
      <c r="T1463" s="89" t="s">
        <v>51</v>
      </c>
      <c r="U1463" s="162">
        <f>IF($J$1="February","",Y1462)</f>
        <v>0</v>
      </c>
      <c r="V1463" s="91"/>
      <c r="W1463" s="162">
        <f t="shared" ref="W1463:W1472" si="264">IF(U1463="","",U1463+V1463)</f>
        <v>0</v>
      </c>
      <c r="X1463" s="91"/>
      <c r="Y1463" s="162">
        <f t="shared" ref="Y1463:Y1472" si="265">IF(W1463="","",W1463-X1463)</f>
        <v>0</v>
      </c>
      <c r="Z1463" s="94"/>
    </row>
    <row r="1464" spans="1:26" s="43" customFormat="1" ht="21" customHeight="1" x14ac:dyDescent="0.25">
      <c r="A1464" s="44"/>
      <c r="B1464" s="45"/>
      <c r="C1464" s="45"/>
      <c r="D1464" s="45"/>
      <c r="E1464" s="45"/>
      <c r="F1464" s="45"/>
      <c r="G1464" s="45"/>
      <c r="H1464" s="62"/>
      <c r="L1464" s="49"/>
      <c r="M1464" s="45"/>
      <c r="N1464" s="88"/>
      <c r="O1464" s="89" t="s">
        <v>52</v>
      </c>
      <c r="P1464" s="89">
        <v>25</v>
      </c>
      <c r="Q1464" s="89">
        <v>5</v>
      </c>
      <c r="R1464" s="89">
        <v>0</v>
      </c>
      <c r="S1464" s="93"/>
      <c r="T1464" s="89" t="s">
        <v>52</v>
      </c>
      <c r="U1464" s="162">
        <f>IF($J$1="March","",Y1463)</f>
        <v>0</v>
      </c>
      <c r="V1464" s="91"/>
      <c r="W1464" s="162">
        <f t="shared" si="264"/>
        <v>0</v>
      </c>
      <c r="X1464" s="91"/>
      <c r="Y1464" s="162">
        <f t="shared" si="265"/>
        <v>0</v>
      </c>
      <c r="Z1464" s="94"/>
    </row>
    <row r="1465" spans="1:26" s="43" customFormat="1" ht="21" customHeight="1" x14ac:dyDescent="0.25">
      <c r="A1465" s="44"/>
      <c r="B1465" s="367" t="s">
        <v>47</v>
      </c>
      <c r="C1465" s="368"/>
      <c r="D1465" s="45"/>
      <c r="E1465" s="45"/>
      <c r="F1465" s="63" t="s">
        <v>69</v>
      </c>
      <c r="G1465" s="58">
        <f>IF($J$1="January",U1461,IF($J$1="February",U1462,IF($J$1="March",U1463,IF($J$1="April",U1464,IF($J$1="May",U1465,IF($J$1="June",U1466,IF($J$1="July",U1467,IF($J$1="August",U1468,IF($J$1="August",U1468,IF($J$1="September",U1469,IF($J$1="October",U1470,IF($J$1="November",U1471,IF($J$1="December",U1472)))))))))))))</f>
        <v>0</v>
      </c>
      <c r="H1465" s="62"/>
      <c r="I1465" s="64">
        <f>IF(C1469&gt;0,$K$2,C1467)</f>
        <v>29</v>
      </c>
      <c r="J1465" s="65" t="s">
        <v>66</v>
      </c>
      <c r="K1465" s="66">
        <f>K1461/$K$2*I1465</f>
        <v>18709.677419354837</v>
      </c>
      <c r="L1465" s="67"/>
      <c r="M1465" s="45"/>
      <c r="N1465" s="88"/>
      <c r="O1465" s="89" t="s">
        <v>53</v>
      </c>
      <c r="P1465" s="89">
        <v>29</v>
      </c>
      <c r="Q1465" s="89">
        <v>2</v>
      </c>
      <c r="R1465" s="89">
        <f>15-2</f>
        <v>13</v>
      </c>
      <c r="S1465" s="93"/>
      <c r="T1465" s="89" t="s">
        <v>53</v>
      </c>
      <c r="U1465" s="162">
        <f>IF($J$1="April","",Y1464)</f>
        <v>0</v>
      </c>
      <c r="V1465" s="91"/>
      <c r="W1465" s="162">
        <f t="shared" si="264"/>
        <v>0</v>
      </c>
      <c r="X1465" s="91"/>
      <c r="Y1465" s="162">
        <f t="shared" si="265"/>
        <v>0</v>
      </c>
      <c r="Z1465" s="94"/>
    </row>
    <row r="1466" spans="1:26" s="43" customFormat="1" ht="21" customHeight="1" x14ac:dyDescent="0.25">
      <c r="A1466" s="44"/>
      <c r="B1466" s="54"/>
      <c r="C1466" s="54"/>
      <c r="D1466" s="45"/>
      <c r="E1466" s="45"/>
      <c r="F1466" s="63" t="s">
        <v>23</v>
      </c>
      <c r="G1466" s="58">
        <f>IF($J$1="January",V1461,IF($J$1="February",V1462,IF($J$1="March",V1463,IF($J$1="April",V1464,IF($J$1="May",V1465,IF($J$1="June",V1466,IF($J$1="July",V1467,IF($J$1="August",V1468,IF($J$1="August",V1468,IF($J$1="September",V1469,IF($J$1="October",V1470,IF($J$1="November",V1471,IF($J$1="December",V1472)))))))))))))</f>
        <v>0</v>
      </c>
      <c r="H1466" s="62"/>
      <c r="I1466" s="108">
        <v>39</v>
      </c>
      <c r="J1466" s="65" t="s">
        <v>67</v>
      </c>
      <c r="K1466" s="68">
        <f>K1461/$K$2/8*I1466</f>
        <v>3145.1612903225805</v>
      </c>
      <c r="L1466" s="69"/>
      <c r="M1466" s="45"/>
      <c r="N1466" s="88"/>
      <c r="O1466" s="89" t="s">
        <v>54</v>
      </c>
      <c r="P1466" s="89">
        <v>25</v>
      </c>
      <c r="Q1466" s="89">
        <v>5</v>
      </c>
      <c r="R1466" s="89">
        <f>R1465-Q1466</f>
        <v>8</v>
      </c>
      <c r="S1466" s="93"/>
      <c r="T1466" s="89" t="s">
        <v>54</v>
      </c>
      <c r="U1466" s="162">
        <f>IF($J$1="May","",Y1465)</f>
        <v>0</v>
      </c>
      <c r="V1466" s="91"/>
      <c r="W1466" s="162">
        <f t="shared" si="264"/>
        <v>0</v>
      </c>
      <c r="X1466" s="91"/>
      <c r="Y1466" s="162">
        <f t="shared" si="265"/>
        <v>0</v>
      </c>
      <c r="Z1466" s="94"/>
    </row>
    <row r="1467" spans="1:26" s="43" customFormat="1" ht="21" customHeight="1" x14ac:dyDescent="0.25">
      <c r="A1467" s="44"/>
      <c r="B1467" s="63" t="s">
        <v>7</v>
      </c>
      <c r="C1467" s="54">
        <f>IF($J$1="January",P1461,IF($J$1="February",P1462,IF($J$1="March",P1463,IF($J$1="April",P1464,IF($J$1="May",P1465,IF($J$1="June",P1466,IF($J$1="July",P1467,IF($J$1="August",P1468,IF($J$1="August",P1468,IF($J$1="September",P1469,IF($J$1="October",P1470,IF($J$1="November",P1471,IF($J$1="December",P1472)))))))))))))</f>
        <v>29</v>
      </c>
      <c r="D1467" s="45"/>
      <c r="E1467" s="45"/>
      <c r="F1467" s="63" t="s">
        <v>70</v>
      </c>
      <c r="G1467" s="58">
        <f>IF($J$1="January",W1461,IF($J$1="February",W1462,IF($J$1="March",W1463,IF($J$1="April",W1464,IF($J$1="May",W1465,IF($J$1="June",W1466,IF($J$1="July",W1467,IF($J$1="August",W1468,IF($J$1="August",W1468,IF($J$1="September",W1469,IF($J$1="October",W1470,IF($J$1="November",W1471,IF($J$1="December",W1472)))))))))))))</f>
        <v>0</v>
      </c>
      <c r="H1467" s="62"/>
      <c r="I1467" s="361" t="s">
        <v>74</v>
      </c>
      <c r="J1467" s="362"/>
      <c r="K1467" s="68">
        <f>K1465+K1466</f>
        <v>21854.838709677417</v>
      </c>
      <c r="L1467" s="69"/>
      <c r="M1467" s="45"/>
      <c r="N1467" s="88"/>
      <c r="O1467" s="89" t="s">
        <v>55</v>
      </c>
      <c r="P1467" s="89">
        <v>29</v>
      </c>
      <c r="Q1467" s="89">
        <v>2</v>
      </c>
      <c r="R1467" s="89">
        <f>R1466-Q1467</f>
        <v>6</v>
      </c>
      <c r="S1467" s="93"/>
      <c r="T1467" s="89" t="s">
        <v>55</v>
      </c>
      <c r="U1467" s="162">
        <f>IF($J$1="June","",Y1466)</f>
        <v>0</v>
      </c>
      <c r="V1467" s="91">
        <f>170+5000+3000</f>
        <v>8170</v>
      </c>
      <c r="W1467" s="162">
        <f t="shared" si="264"/>
        <v>8170</v>
      </c>
      <c r="X1467" s="91">
        <v>3170</v>
      </c>
      <c r="Y1467" s="162">
        <f t="shared" si="265"/>
        <v>5000</v>
      </c>
      <c r="Z1467" s="94"/>
    </row>
    <row r="1468" spans="1:26" s="43" customFormat="1" ht="21" customHeight="1" x14ac:dyDescent="0.25">
      <c r="A1468" s="44"/>
      <c r="B1468" s="63" t="s">
        <v>6</v>
      </c>
      <c r="C1468" s="54">
        <f>IF($J$1="January",Q1461,IF($J$1="February",Q1462,IF($J$1="March",Q1463,IF($J$1="April",Q1464,IF($J$1="May",Q1465,IF($J$1="June",Q1466,IF($J$1="July",Q1467,IF($J$1="August",Q1468,IF($J$1="August",Q1468,IF($J$1="September",Q1469,IF($J$1="October",Q1470,IF($J$1="November",Q1471,IF($J$1="December",Q1472)))))))))))))</f>
        <v>2</v>
      </c>
      <c r="D1468" s="45"/>
      <c r="E1468" s="45"/>
      <c r="F1468" s="63" t="s">
        <v>24</v>
      </c>
      <c r="G1468" s="58">
        <f>IF($J$1="January",X1461,IF($J$1="February",X1462,IF($J$1="March",X1463,IF($J$1="April",X1464,IF($J$1="May",X1465,IF($J$1="June",X1466,IF($J$1="July",X1467,IF($J$1="August",X1468,IF($J$1="August",X1468,IF($J$1="September",X1469,IF($J$1="October",X1470,IF($J$1="November",X1471,IF($J$1="December",X1472)))))))))))))</f>
        <v>0</v>
      </c>
      <c r="H1468" s="62"/>
      <c r="I1468" s="361" t="s">
        <v>75</v>
      </c>
      <c r="J1468" s="362"/>
      <c r="K1468" s="58">
        <f>G1468</f>
        <v>0</v>
      </c>
      <c r="L1468" s="70"/>
      <c r="M1468" s="45"/>
      <c r="N1468" s="88"/>
      <c r="O1468" s="89" t="s">
        <v>56</v>
      </c>
      <c r="P1468" s="89">
        <v>27</v>
      </c>
      <c r="Q1468" s="89">
        <v>4</v>
      </c>
      <c r="R1468" s="89">
        <f>R1467-Q1468</f>
        <v>2</v>
      </c>
      <c r="S1468" s="93"/>
      <c r="T1468" s="89" t="s">
        <v>56</v>
      </c>
      <c r="U1468" s="162">
        <f>IF($J$1="July","",Y1467)</f>
        <v>5000</v>
      </c>
      <c r="V1468" s="91"/>
      <c r="W1468" s="162">
        <f t="shared" si="264"/>
        <v>5000</v>
      </c>
      <c r="X1468" s="91">
        <v>2500</v>
      </c>
      <c r="Y1468" s="162">
        <f t="shared" si="265"/>
        <v>2500</v>
      </c>
      <c r="Z1468" s="94"/>
    </row>
    <row r="1469" spans="1:26" s="43" customFormat="1" ht="21" customHeight="1" x14ac:dyDescent="0.25">
      <c r="A1469" s="44"/>
      <c r="B1469" s="71" t="s">
        <v>73</v>
      </c>
      <c r="C1469" s="54">
        <f>IF($J$1="January",R1461,IF($J$1="February",R1462,IF($J$1="March",R1463,IF($J$1="April",R1464,IF($J$1="May",R1465,IF($J$1="June",R1466,IF($J$1="July",R1467,IF($J$1="August",R1468,IF($J$1="August",R1468,IF($J$1="September",R1469,IF($J$1="October",R1470,IF($J$1="November",R1471,IF($J$1="December",R1472)))))))))))))</f>
        <v>0</v>
      </c>
      <c r="D1469" s="45"/>
      <c r="E1469" s="45"/>
      <c r="F1469" s="63" t="s">
        <v>72</v>
      </c>
      <c r="G1469" s="58">
        <f>IF($J$1="January",Y1461,IF($J$1="February",Y1462,IF($J$1="March",Y1463,IF($J$1="April",Y1464,IF($J$1="May",Y1465,IF($J$1="June",Y1466,IF($J$1="July",Y1467,IF($J$1="August",Y1468,IF($J$1="August",Y1468,IF($J$1="September",Y1469,IF($J$1="October",Y1470,IF($J$1="November",Y1471,IF($J$1="December",Y1472)))))))))))))</f>
        <v>0</v>
      </c>
      <c r="H1469" s="45"/>
      <c r="I1469" s="363" t="s">
        <v>68</v>
      </c>
      <c r="J1469" s="364"/>
      <c r="K1469" s="72">
        <f>K1467-K1468</f>
        <v>21854.838709677417</v>
      </c>
      <c r="L1469" s="73"/>
      <c r="M1469" s="45"/>
      <c r="N1469" s="88"/>
      <c r="O1469" s="89" t="s">
        <v>61</v>
      </c>
      <c r="P1469" s="89">
        <v>30</v>
      </c>
      <c r="Q1469" s="89">
        <v>0</v>
      </c>
      <c r="R1469" s="89">
        <v>0</v>
      </c>
      <c r="S1469" s="93"/>
      <c r="T1469" s="89" t="s">
        <v>61</v>
      </c>
      <c r="U1469" s="162">
        <f>IF($J$1="August","",Y1468)</f>
        <v>2500</v>
      </c>
      <c r="V1469" s="91">
        <v>65</v>
      </c>
      <c r="W1469" s="162">
        <f t="shared" si="264"/>
        <v>2565</v>
      </c>
      <c r="X1469" s="91">
        <v>2565</v>
      </c>
      <c r="Y1469" s="162">
        <f t="shared" si="265"/>
        <v>0</v>
      </c>
      <c r="Z1469" s="94"/>
    </row>
    <row r="1470" spans="1:26" s="43" customFormat="1" ht="21" customHeight="1" x14ac:dyDescent="0.25">
      <c r="A1470" s="44"/>
      <c r="B1470" s="45"/>
      <c r="C1470" s="45"/>
      <c r="D1470" s="45"/>
      <c r="E1470" s="45"/>
      <c r="F1470" s="45"/>
      <c r="G1470" s="45"/>
      <c r="H1470" s="45"/>
      <c r="I1470" s="45"/>
      <c r="J1470" s="45"/>
      <c r="K1470" s="177"/>
      <c r="L1470" s="61"/>
      <c r="M1470" s="45"/>
      <c r="N1470" s="88"/>
      <c r="O1470" s="89" t="s">
        <v>57</v>
      </c>
      <c r="P1470" s="89">
        <v>29</v>
      </c>
      <c r="Q1470" s="89">
        <v>2</v>
      </c>
      <c r="R1470" s="89">
        <v>0</v>
      </c>
      <c r="S1470" s="93"/>
      <c r="T1470" s="89" t="s">
        <v>57</v>
      </c>
      <c r="U1470" s="162">
        <f>IF($J$1="September","",Y1469)</f>
        <v>0</v>
      </c>
      <c r="V1470" s="91"/>
      <c r="W1470" s="162">
        <f t="shared" si="264"/>
        <v>0</v>
      </c>
      <c r="X1470" s="91"/>
      <c r="Y1470" s="162">
        <f t="shared" si="265"/>
        <v>0</v>
      </c>
      <c r="Z1470" s="94"/>
    </row>
    <row r="1471" spans="1:26" s="43" customFormat="1" ht="21" customHeight="1" x14ac:dyDescent="0.25">
      <c r="A1471" s="44"/>
      <c r="B1471" s="365" t="s">
        <v>103</v>
      </c>
      <c r="C1471" s="365"/>
      <c r="D1471" s="365"/>
      <c r="E1471" s="365"/>
      <c r="F1471" s="365"/>
      <c r="G1471" s="365"/>
      <c r="H1471" s="365"/>
      <c r="I1471" s="365"/>
      <c r="J1471" s="365"/>
      <c r="K1471" s="365"/>
      <c r="L1471" s="61"/>
      <c r="M1471" s="45"/>
      <c r="N1471" s="88"/>
      <c r="O1471" s="89" t="s">
        <v>62</v>
      </c>
      <c r="P1471" s="89"/>
      <c r="Q1471" s="89"/>
      <c r="R1471" s="89">
        <v>0</v>
      </c>
      <c r="S1471" s="93"/>
      <c r="T1471" s="89" t="s">
        <v>62</v>
      </c>
      <c r="U1471" s="162" t="str">
        <f>IF($J$1="October","",Y1470)</f>
        <v/>
      </c>
      <c r="V1471" s="91"/>
      <c r="W1471" s="162" t="str">
        <f t="shared" si="264"/>
        <v/>
      </c>
      <c r="X1471" s="91"/>
      <c r="Y1471" s="162" t="str">
        <f t="shared" si="265"/>
        <v/>
      </c>
      <c r="Z1471" s="94"/>
    </row>
    <row r="1472" spans="1:26" s="43" customFormat="1" ht="21" customHeight="1" x14ac:dyDescent="0.25">
      <c r="A1472" s="44"/>
      <c r="B1472" s="365"/>
      <c r="C1472" s="365"/>
      <c r="D1472" s="365"/>
      <c r="E1472" s="365"/>
      <c r="F1472" s="365"/>
      <c r="G1472" s="365"/>
      <c r="H1472" s="365"/>
      <c r="I1472" s="365"/>
      <c r="J1472" s="365"/>
      <c r="K1472" s="365"/>
      <c r="L1472" s="61"/>
      <c r="M1472" s="45"/>
      <c r="N1472" s="88"/>
      <c r="O1472" s="89" t="s">
        <v>63</v>
      </c>
      <c r="P1472" s="89"/>
      <c r="Q1472" s="89"/>
      <c r="R1472" s="89">
        <v>0</v>
      </c>
      <c r="S1472" s="93"/>
      <c r="T1472" s="89" t="s">
        <v>63</v>
      </c>
      <c r="U1472" s="162" t="str">
        <f>IF($J$1="November","",Y1471)</f>
        <v/>
      </c>
      <c r="V1472" s="91"/>
      <c r="W1472" s="162" t="str">
        <f t="shared" si="264"/>
        <v/>
      </c>
      <c r="X1472" s="91"/>
      <c r="Y1472" s="162" t="str">
        <f t="shared" si="265"/>
        <v/>
      </c>
      <c r="Z1472" s="94"/>
    </row>
    <row r="1473" spans="1:26" s="43" customFormat="1" ht="21" customHeight="1" thickBot="1" x14ac:dyDescent="0.3">
      <c r="A1473" s="74"/>
      <c r="B1473" s="75"/>
      <c r="C1473" s="75"/>
      <c r="D1473" s="75"/>
      <c r="E1473" s="75"/>
      <c r="F1473" s="75"/>
      <c r="G1473" s="75"/>
      <c r="H1473" s="75"/>
      <c r="I1473" s="75"/>
      <c r="J1473" s="75"/>
      <c r="K1473" s="75"/>
      <c r="L1473" s="76"/>
      <c r="N1473" s="95"/>
      <c r="O1473" s="96"/>
      <c r="P1473" s="96"/>
      <c r="Q1473" s="96"/>
      <c r="R1473" s="96"/>
      <c r="S1473" s="96"/>
      <c r="T1473" s="96"/>
      <c r="U1473" s="96"/>
      <c r="V1473" s="96"/>
      <c r="W1473" s="96"/>
      <c r="X1473" s="96"/>
      <c r="Y1473" s="96"/>
      <c r="Z1473" s="97"/>
    </row>
  </sheetData>
  <mergeCells count="1106">
    <mergeCell ref="I1273:K1273"/>
    <mergeCell ref="B1275:C1275"/>
    <mergeCell ref="I1323:J1323"/>
    <mergeCell ref="B1359:K1360"/>
    <mergeCell ref="T1347:Y1347"/>
    <mergeCell ref="C1348:F1348"/>
    <mergeCell ref="H1348:I1348"/>
    <mergeCell ref="F1351:G1351"/>
    <mergeCell ref="I1351:K1351"/>
    <mergeCell ref="B1353:C1353"/>
    <mergeCell ref="I1355:J1355"/>
    <mergeCell ref="I1356:J1356"/>
    <mergeCell ref="I1357:J1357"/>
    <mergeCell ref="F1335:G1335"/>
    <mergeCell ref="I1335:K1335"/>
    <mergeCell ref="B1337:C1337"/>
    <mergeCell ref="I1339:J1339"/>
    <mergeCell ref="I1340:J1340"/>
    <mergeCell ref="I1341:J1341"/>
    <mergeCell ref="B1343:K1344"/>
    <mergeCell ref="A1347:L1347"/>
    <mergeCell ref="O1347:R1347"/>
    <mergeCell ref="I1277:J1277"/>
    <mergeCell ref="I1278:J1278"/>
    <mergeCell ref="T1300:Y1300"/>
    <mergeCell ref="H1238:I1238"/>
    <mergeCell ref="F1241:G1241"/>
    <mergeCell ref="I1241:K1241"/>
    <mergeCell ref="B1243:C1243"/>
    <mergeCell ref="I1245:J1245"/>
    <mergeCell ref="I1324:J1324"/>
    <mergeCell ref="I1325:J1325"/>
    <mergeCell ref="B1327:K1328"/>
    <mergeCell ref="A1331:L1331"/>
    <mergeCell ref="O1331:R1331"/>
    <mergeCell ref="T1331:Y1331"/>
    <mergeCell ref="C1332:F1332"/>
    <mergeCell ref="H1332:I1332"/>
    <mergeCell ref="B1312:K1313"/>
    <mergeCell ref="A1315:L1315"/>
    <mergeCell ref="O1315:R1315"/>
    <mergeCell ref="T1315:Y1315"/>
    <mergeCell ref="C1316:F1316"/>
    <mergeCell ref="H1316:I1316"/>
    <mergeCell ref="F1319:G1319"/>
    <mergeCell ref="I1319:K1319"/>
    <mergeCell ref="B1321:C1321"/>
    <mergeCell ref="H1301:I1301"/>
    <mergeCell ref="F1304:G1304"/>
    <mergeCell ref="I1304:K1304"/>
    <mergeCell ref="B1306:C1306"/>
    <mergeCell ref="I1308:J1308"/>
    <mergeCell ref="I1309:J1309"/>
    <mergeCell ref="I1310:J1310"/>
    <mergeCell ref="F1273:G1273"/>
    <mergeCell ref="B1259:C1259"/>
    <mergeCell ref="I1261:J1261"/>
    <mergeCell ref="I1262:J1262"/>
    <mergeCell ref="I1263:J1263"/>
    <mergeCell ref="B1265:K1266"/>
    <mergeCell ref="A1269:L1269"/>
    <mergeCell ref="O1269:R1269"/>
    <mergeCell ref="T1269:Y1269"/>
    <mergeCell ref="C1270:F1270"/>
    <mergeCell ref="H1270:I1270"/>
    <mergeCell ref="I1246:J1246"/>
    <mergeCell ref="I1247:J1247"/>
    <mergeCell ref="B1249:K1250"/>
    <mergeCell ref="A1253:L1253"/>
    <mergeCell ref="O1253:R1253"/>
    <mergeCell ref="T1253:Y1253"/>
    <mergeCell ref="C1254:F1254"/>
    <mergeCell ref="H1254:I1254"/>
    <mergeCell ref="F1257:G1257"/>
    <mergeCell ref="I1257:K1257"/>
    <mergeCell ref="T1220:Y1220"/>
    <mergeCell ref="O1204:R1204"/>
    <mergeCell ref="T1204:Y1204"/>
    <mergeCell ref="C1205:F1205"/>
    <mergeCell ref="H1221:I1221"/>
    <mergeCell ref="F1224:G1224"/>
    <mergeCell ref="I1224:K1224"/>
    <mergeCell ref="B1226:C1226"/>
    <mergeCell ref="I1228:J1228"/>
    <mergeCell ref="H1205:I1205"/>
    <mergeCell ref="F1208:G1208"/>
    <mergeCell ref="I1208:K1208"/>
    <mergeCell ref="B1210:C1210"/>
    <mergeCell ref="I1212:J1212"/>
    <mergeCell ref="O1220:R1220"/>
    <mergeCell ref="C1221:F1221"/>
    <mergeCell ref="T882:Y882"/>
    <mergeCell ref="I1197:J1197"/>
    <mergeCell ref="O899:R899"/>
    <mergeCell ref="I955:J955"/>
    <mergeCell ref="B1020:K1021"/>
    <mergeCell ref="I1028:K1028"/>
    <mergeCell ref="B1030:C1030"/>
    <mergeCell ref="C1041:F1041"/>
    <mergeCell ref="O1008:R1008"/>
    <mergeCell ref="T1008:Y1008"/>
    <mergeCell ref="O1024:R1024"/>
    <mergeCell ref="T1024:Y1024"/>
    <mergeCell ref="O961:R961"/>
    <mergeCell ref="T961:Y961"/>
    <mergeCell ref="O977:R977"/>
    <mergeCell ref="T977:Y977"/>
    <mergeCell ref="T1395:Y1395"/>
    <mergeCell ref="C1396:F1396"/>
    <mergeCell ref="H1396:I1396"/>
    <mergeCell ref="H1137:I1137"/>
    <mergeCell ref="F1140:G1140"/>
    <mergeCell ref="I1140:K1140"/>
    <mergeCell ref="B1142:C1142"/>
    <mergeCell ref="I1144:J1144"/>
    <mergeCell ref="I1145:J1145"/>
    <mergeCell ref="I472:J472"/>
    <mergeCell ref="I1198:J1198"/>
    <mergeCell ref="B1200:K1201"/>
    <mergeCell ref="A1188:L1188"/>
    <mergeCell ref="I1146:J1146"/>
    <mergeCell ref="I1129:J1129"/>
    <mergeCell ref="A1237:L1237"/>
    <mergeCell ref="O1237:R1237"/>
    <mergeCell ref="T1237:Y1237"/>
    <mergeCell ref="C1238:F1238"/>
    <mergeCell ref="O1188:R1188"/>
    <mergeCell ref="T1188:Y1188"/>
    <mergeCell ref="C1189:F1189"/>
    <mergeCell ref="H1189:I1189"/>
    <mergeCell ref="F1192:G1192"/>
    <mergeCell ref="T866:Y866"/>
    <mergeCell ref="H604:I604"/>
    <mergeCell ref="A496:L496"/>
    <mergeCell ref="A1300:L1300"/>
    <mergeCell ref="O1300:R1300"/>
    <mergeCell ref="C786:F786"/>
    <mergeCell ref="H786:I786"/>
    <mergeCell ref="A1220:L1220"/>
    <mergeCell ref="I128:J128"/>
    <mergeCell ref="I129:J129"/>
    <mergeCell ref="B131:K132"/>
    <mergeCell ref="I222:J222"/>
    <mergeCell ref="I223:J223"/>
    <mergeCell ref="I224:J224"/>
    <mergeCell ref="C215:F215"/>
    <mergeCell ref="H215:I215"/>
    <mergeCell ref="A1121:L1121"/>
    <mergeCell ref="H558:I558"/>
    <mergeCell ref="B563:C563"/>
    <mergeCell ref="I549:J549"/>
    <mergeCell ref="I550:J550"/>
    <mergeCell ref="I551:J551"/>
    <mergeCell ref="A557:L557"/>
    <mergeCell ref="B942:K943"/>
    <mergeCell ref="A930:L930"/>
    <mergeCell ref="C946:F946"/>
    <mergeCell ref="H946:I946"/>
    <mergeCell ref="I876:J876"/>
    <mergeCell ref="A882:L882"/>
    <mergeCell ref="F592:G592"/>
    <mergeCell ref="I592:K592"/>
    <mergeCell ref="B437:C437"/>
    <mergeCell ref="I439:J439"/>
    <mergeCell ref="I891:J891"/>
    <mergeCell ref="C432:F432"/>
    <mergeCell ref="H432:I432"/>
    <mergeCell ref="F435:G435"/>
    <mergeCell ref="I435:K435"/>
    <mergeCell ref="I874:J874"/>
    <mergeCell ref="I870:K870"/>
    <mergeCell ref="A230:L230"/>
    <mergeCell ref="I284:J284"/>
    <mergeCell ref="I285:J285"/>
    <mergeCell ref="I410:J410"/>
    <mergeCell ref="B412:K413"/>
    <mergeCell ref="A416:L416"/>
    <mergeCell ref="I394:J394"/>
    <mergeCell ref="C417:F417"/>
    <mergeCell ref="F1156:G1156"/>
    <mergeCell ref="I1156:K1156"/>
    <mergeCell ref="O1168:R1168"/>
    <mergeCell ref="T1168:Y1168"/>
    <mergeCell ref="I1176:J1176"/>
    <mergeCell ref="I1130:J1130"/>
    <mergeCell ref="I1131:J1131"/>
    <mergeCell ref="B1133:K1134"/>
    <mergeCell ref="A308:L308"/>
    <mergeCell ref="O308:R308"/>
    <mergeCell ref="T308:Y308"/>
    <mergeCell ref="C309:F309"/>
    <mergeCell ref="H309:I309"/>
    <mergeCell ref="F312:G312"/>
    <mergeCell ref="I312:K312"/>
    <mergeCell ref="B894:K895"/>
    <mergeCell ref="I425:J425"/>
    <mergeCell ref="I426:J426"/>
    <mergeCell ref="B888:C888"/>
    <mergeCell ref="I934:K934"/>
    <mergeCell ref="B936:C936"/>
    <mergeCell ref="B428:K429"/>
    <mergeCell ref="O400:R400"/>
    <mergeCell ref="B366:K367"/>
    <mergeCell ref="B1407:K1408"/>
    <mergeCell ref="I597:J597"/>
    <mergeCell ref="I598:J598"/>
    <mergeCell ref="A588:L588"/>
    <mergeCell ref="O588:R588"/>
    <mergeCell ref="T588:Y588"/>
    <mergeCell ref="C589:F589"/>
    <mergeCell ref="H589:I589"/>
    <mergeCell ref="I892:J892"/>
    <mergeCell ref="F1172:G1172"/>
    <mergeCell ref="I1172:K1172"/>
    <mergeCell ref="B1174:C1174"/>
    <mergeCell ref="A1168:L1168"/>
    <mergeCell ref="C1169:F1169"/>
    <mergeCell ref="F1399:G1399"/>
    <mergeCell ref="I1399:K1399"/>
    <mergeCell ref="B1401:C1401"/>
    <mergeCell ref="I1403:J1403"/>
    <mergeCell ref="O1121:R1121"/>
    <mergeCell ref="T1121:Y1121"/>
    <mergeCell ref="C1122:F1122"/>
    <mergeCell ref="H1122:I1122"/>
    <mergeCell ref="B1014:C1014"/>
    <mergeCell ref="I845:J845"/>
    <mergeCell ref="B846:K847"/>
    <mergeCell ref="T801:Y801"/>
    <mergeCell ref="I793:J793"/>
    <mergeCell ref="I1404:J1404"/>
    <mergeCell ref="I1405:J1405"/>
    <mergeCell ref="I1192:K1192"/>
    <mergeCell ref="I1279:J1279"/>
    <mergeCell ref="B1281:K1282"/>
    <mergeCell ref="I456:J456"/>
    <mergeCell ref="I457:J457"/>
    <mergeCell ref="I843:J843"/>
    <mergeCell ref="I844:J844"/>
    <mergeCell ref="C835:F835"/>
    <mergeCell ref="H835:I835"/>
    <mergeCell ref="F838:G838"/>
    <mergeCell ref="B830:K831"/>
    <mergeCell ref="C819:F819"/>
    <mergeCell ref="H819:I819"/>
    <mergeCell ref="C883:F883"/>
    <mergeCell ref="H883:I883"/>
    <mergeCell ref="O801:R801"/>
    <mergeCell ref="T753:Y753"/>
    <mergeCell ref="O735:R735"/>
    <mergeCell ref="I778:J778"/>
    <mergeCell ref="I779:J779"/>
    <mergeCell ref="C770:F770"/>
    <mergeCell ref="O818:R818"/>
    <mergeCell ref="T818:Y818"/>
    <mergeCell ref="B824:C824"/>
    <mergeCell ref="O753:R753"/>
    <mergeCell ref="I838:K838"/>
    <mergeCell ref="I810:J810"/>
    <mergeCell ref="B594:C594"/>
    <mergeCell ref="T557:Y557"/>
    <mergeCell ref="T541:Y541"/>
    <mergeCell ref="F690:G690"/>
    <mergeCell ref="C687:F687"/>
    <mergeCell ref="I694:J694"/>
    <mergeCell ref="I695:J695"/>
    <mergeCell ref="T702:Y702"/>
    <mergeCell ref="F886:G886"/>
    <mergeCell ref="I886:K886"/>
    <mergeCell ref="F467:G467"/>
    <mergeCell ref="I467:K467"/>
    <mergeCell ref="B469:C469"/>
    <mergeCell ref="H355:I355"/>
    <mergeCell ref="I520:J520"/>
    <mergeCell ref="C262:F262"/>
    <mergeCell ref="H262:I262"/>
    <mergeCell ref="F265:G265"/>
    <mergeCell ref="I722:K722"/>
    <mergeCell ref="B724:C724"/>
    <mergeCell ref="F530:G530"/>
    <mergeCell ref="I530:K530"/>
    <mergeCell ref="B532:C532"/>
    <mergeCell ref="I534:J534"/>
    <mergeCell ref="I535:J535"/>
    <mergeCell ref="I286:J286"/>
    <mergeCell ref="I404:K404"/>
    <mergeCell ref="B406:C406"/>
    <mergeCell ref="I473:J473"/>
    <mergeCell ref="B475:K476"/>
    <mergeCell ref="I408:J408"/>
    <mergeCell ref="I332:J332"/>
    <mergeCell ref="I333:J333"/>
    <mergeCell ref="I316:J316"/>
    <mergeCell ref="H385:I385"/>
    <mergeCell ref="B282:C282"/>
    <mergeCell ref="I318:J318"/>
    <mergeCell ref="B320:K321"/>
    <mergeCell ref="A384:L384"/>
    <mergeCell ref="H527:I527"/>
    <mergeCell ref="B267:C267"/>
    <mergeCell ref="B775:C775"/>
    <mergeCell ref="B765:K766"/>
    <mergeCell ref="I1017:J1017"/>
    <mergeCell ref="A977:L977"/>
    <mergeCell ref="I536:J536"/>
    <mergeCell ref="H401:I401"/>
    <mergeCell ref="B335:K336"/>
    <mergeCell ref="F327:G327"/>
    <mergeCell ref="I918:K918"/>
    <mergeCell ref="I890:J890"/>
    <mergeCell ref="H703:I703"/>
    <mergeCell ref="B585:K586"/>
    <mergeCell ref="I583:J583"/>
    <mergeCell ref="I611:J611"/>
    <mergeCell ref="A702:L702"/>
    <mergeCell ref="H770:I770"/>
    <mergeCell ref="F773:G773"/>
    <mergeCell ref="I773:K773"/>
    <mergeCell ref="I761:J761"/>
    <mergeCell ref="B840:C840"/>
    <mergeCell ref="I842:J842"/>
    <mergeCell ref="F822:G822"/>
    <mergeCell ref="I822:K822"/>
    <mergeCell ref="B862:K863"/>
    <mergeCell ref="C867:F867"/>
    <mergeCell ref="H867:I867"/>
    <mergeCell ref="F870:G870"/>
    <mergeCell ref="I794:J794"/>
    <mergeCell ref="I795:J795"/>
    <mergeCell ref="I809:J809"/>
    <mergeCell ref="I409:J409"/>
    <mergeCell ref="B258:K259"/>
    <mergeCell ref="F404:G404"/>
    <mergeCell ref="C931:F931"/>
    <mergeCell ref="F561:G561"/>
    <mergeCell ref="I561:K561"/>
    <mergeCell ref="F545:G545"/>
    <mergeCell ref="B422:C422"/>
    <mergeCell ref="I424:J424"/>
    <mergeCell ref="I954:J954"/>
    <mergeCell ref="B569:K570"/>
    <mergeCell ref="I301:J301"/>
    <mergeCell ref="I302:J302"/>
    <mergeCell ref="C355:F355"/>
    <mergeCell ref="B210:K211"/>
    <mergeCell ref="I317:J317"/>
    <mergeCell ref="A246:L246"/>
    <mergeCell ref="B242:K243"/>
    <mergeCell ref="C277:F277"/>
    <mergeCell ref="H277:I277"/>
    <mergeCell ref="F420:G420"/>
    <mergeCell ref="C247:F247"/>
    <mergeCell ref="H247:I247"/>
    <mergeCell ref="A866:L866"/>
    <mergeCell ref="B797:K798"/>
    <mergeCell ref="F388:G388"/>
    <mergeCell ref="I388:K388"/>
    <mergeCell ref="A479:L479"/>
    <mergeCell ref="A511:L511"/>
    <mergeCell ref="C622:F622"/>
    <mergeCell ref="H622:I622"/>
    <mergeCell ref="A276:L276"/>
    <mergeCell ref="I393:J393"/>
    <mergeCell ref="A119:L119"/>
    <mergeCell ref="O323:R323"/>
    <mergeCell ref="T323:Y323"/>
    <mergeCell ref="O1056:R1056"/>
    <mergeCell ref="T1056:Y1056"/>
    <mergeCell ref="O230:R230"/>
    <mergeCell ref="T230:Y230"/>
    <mergeCell ref="I1050:J1050"/>
    <mergeCell ref="B1052:K1053"/>
    <mergeCell ref="A38:L38"/>
    <mergeCell ref="O38:R38"/>
    <mergeCell ref="I1097:J1097"/>
    <mergeCell ref="A1088:L1088"/>
    <mergeCell ref="O1088:R1088"/>
    <mergeCell ref="O119:R119"/>
    <mergeCell ref="B730:K731"/>
    <mergeCell ref="I726:J726"/>
    <mergeCell ref="I727:J727"/>
    <mergeCell ref="I728:J728"/>
    <mergeCell ref="C719:F719"/>
    <mergeCell ref="H719:I719"/>
    <mergeCell ref="F722:G722"/>
    <mergeCell ref="B329:C329"/>
    <mergeCell ref="I1032:J1032"/>
    <mergeCell ref="I1033:J1033"/>
    <mergeCell ref="I1034:J1034"/>
    <mergeCell ref="C1025:F1025"/>
    <mergeCell ref="H1025:I1025"/>
    <mergeCell ref="F1028:G1028"/>
    <mergeCell ref="B161:K162"/>
    <mergeCell ref="I157:J157"/>
    <mergeCell ref="H324:I324"/>
    <mergeCell ref="O1395:R1395"/>
    <mergeCell ref="C851:F851"/>
    <mergeCell ref="C231:F231"/>
    <mergeCell ref="B1036:K1037"/>
    <mergeCell ref="F1012:G1012"/>
    <mergeCell ref="B1164:K1165"/>
    <mergeCell ref="I1160:J1160"/>
    <mergeCell ref="I1289:K1289"/>
    <mergeCell ref="I987:J987"/>
    <mergeCell ref="C978:F978"/>
    <mergeCell ref="H978:I978"/>
    <mergeCell ref="F981:G981"/>
    <mergeCell ref="I981:K981"/>
    <mergeCell ref="B983:C983"/>
    <mergeCell ref="C1009:F1009"/>
    <mergeCell ref="I971:J971"/>
    <mergeCell ref="I1066:J1066"/>
    <mergeCell ref="B1068:K1069"/>
    <mergeCell ref="B973:K974"/>
    <mergeCell ref="A1056:L1056"/>
    <mergeCell ref="I1048:J1048"/>
    <mergeCell ref="I1049:J1049"/>
    <mergeCell ref="C1057:F1057"/>
    <mergeCell ref="H1057:I1057"/>
    <mergeCell ref="F1044:G1044"/>
    <mergeCell ref="B1046:C1046"/>
    <mergeCell ref="I1012:K1012"/>
    <mergeCell ref="B989:K990"/>
    <mergeCell ref="A992:L992"/>
    <mergeCell ref="I1002:J1002"/>
    <mergeCell ref="B1004:K1005"/>
    <mergeCell ref="I924:J924"/>
    <mergeCell ref="T899:Y899"/>
    <mergeCell ref="I1016:J1016"/>
    <mergeCell ref="A1024:L1024"/>
    <mergeCell ref="H931:I931"/>
    <mergeCell ref="F934:G934"/>
    <mergeCell ref="I599:J599"/>
    <mergeCell ref="I600:J600"/>
    <mergeCell ref="O834:R834"/>
    <mergeCell ref="I596:J596"/>
    <mergeCell ref="A1008:L1008"/>
    <mergeCell ref="B288:K289"/>
    <mergeCell ref="B396:K397"/>
    <mergeCell ref="C639:F639"/>
    <mergeCell ref="H639:I639"/>
    <mergeCell ref="I1018:J1018"/>
    <mergeCell ref="O882:R882"/>
    <mergeCell ref="O431:R431"/>
    <mergeCell ref="O866:R866"/>
    <mergeCell ref="T338:Y338"/>
    <mergeCell ref="O292:R292"/>
    <mergeCell ref="T292:Y292"/>
    <mergeCell ref="B298:C298"/>
    <mergeCell ref="I300:J300"/>
    <mergeCell ref="A323:L323"/>
    <mergeCell ref="B615:K616"/>
    <mergeCell ref="I565:J565"/>
    <mergeCell ref="I566:J566"/>
    <mergeCell ref="B872:C872"/>
    <mergeCell ref="A400:L400"/>
    <mergeCell ref="I969:J969"/>
    <mergeCell ref="B390:C390"/>
    <mergeCell ref="I392:J392"/>
    <mergeCell ref="T1379:Y1379"/>
    <mergeCell ref="B926:K927"/>
    <mergeCell ref="C1380:F1380"/>
    <mergeCell ref="H1380:I1380"/>
    <mergeCell ref="F1383:G1383"/>
    <mergeCell ref="H1041:I1041"/>
    <mergeCell ref="O1040:R1040"/>
    <mergeCell ref="A1072:L1072"/>
    <mergeCell ref="O1072:R1072"/>
    <mergeCell ref="T1072:Y1072"/>
    <mergeCell ref="B1180:K1181"/>
    <mergeCell ref="I1294:J1294"/>
    <mergeCell ref="B1158:C1158"/>
    <mergeCell ref="O1363:R1363"/>
    <mergeCell ref="T1363:Y1363"/>
    <mergeCell ref="C1364:F1364"/>
    <mergeCell ref="H1364:I1364"/>
    <mergeCell ref="F1367:G1367"/>
    <mergeCell ref="I1367:K1367"/>
    <mergeCell ref="B1369:C1369"/>
    <mergeCell ref="I1371:J1371"/>
    <mergeCell ref="I1372:J1372"/>
    <mergeCell ref="I1373:J1373"/>
    <mergeCell ref="B1375:K1376"/>
    <mergeCell ref="B1094:C1094"/>
    <mergeCell ref="I1096:J1096"/>
    <mergeCell ref="I1081:J1081"/>
    <mergeCell ref="I1082:J1082"/>
    <mergeCell ref="F1289:G1289"/>
    <mergeCell ref="A1152:L1152"/>
    <mergeCell ref="B1291:C1291"/>
    <mergeCell ref="A1285:L1285"/>
    <mergeCell ref="T369:Y369"/>
    <mergeCell ref="C370:F370"/>
    <mergeCell ref="H370:I370"/>
    <mergeCell ref="F373:G373"/>
    <mergeCell ref="I373:K373"/>
    <mergeCell ref="A1363:L1363"/>
    <mergeCell ref="B920:C920"/>
    <mergeCell ref="B967:C967"/>
    <mergeCell ref="A961:L961"/>
    <mergeCell ref="I985:J985"/>
    <mergeCell ref="I986:J986"/>
    <mergeCell ref="O369:R369"/>
    <mergeCell ref="I471:J471"/>
    <mergeCell ref="B1148:K1149"/>
    <mergeCell ref="A463:L463"/>
    <mergeCell ref="C1137:F1137"/>
    <mergeCell ref="C1089:F1089"/>
    <mergeCell ref="H1089:I1089"/>
    <mergeCell ref="B1100:K1101"/>
    <mergeCell ref="B1116:K1117"/>
    <mergeCell ref="B1297:K1298"/>
    <mergeCell ref="F1125:G1125"/>
    <mergeCell ref="I1125:K1125"/>
    <mergeCell ref="B1127:C1127"/>
    <mergeCell ref="B1194:C1194"/>
    <mergeCell ref="I1196:J1196"/>
    <mergeCell ref="O1285:R1285"/>
    <mergeCell ref="T1285:Y1285"/>
    <mergeCell ref="I1161:J1161"/>
    <mergeCell ref="O1104:R1104"/>
    <mergeCell ref="T1104:Y1104"/>
    <mergeCell ref="C1073:F1073"/>
    <mergeCell ref="T1040:Y1040"/>
    <mergeCell ref="F903:G903"/>
    <mergeCell ref="I903:K903"/>
    <mergeCell ref="B905:C905"/>
    <mergeCell ref="O945:R945"/>
    <mergeCell ref="T945:Y945"/>
    <mergeCell ref="T914:Y914"/>
    <mergeCell ref="O1136:R1136"/>
    <mergeCell ref="T1136:Y1136"/>
    <mergeCell ref="O992:R992"/>
    <mergeCell ref="T992:Y992"/>
    <mergeCell ref="O1152:R1152"/>
    <mergeCell ref="T1152:Y1152"/>
    <mergeCell ref="O914:R914"/>
    <mergeCell ref="I1001:J1001"/>
    <mergeCell ref="I1293:J1293"/>
    <mergeCell ref="I938:J938"/>
    <mergeCell ref="I939:J939"/>
    <mergeCell ref="A1040:L1040"/>
    <mergeCell ref="T1088:Y1088"/>
    <mergeCell ref="F965:G965"/>
    <mergeCell ref="I965:K965"/>
    <mergeCell ref="O930:R930"/>
    <mergeCell ref="I908:J908"/>
    <mergeCell ref="I909:J909"/>
    <mergeCell ref="I907:J907"/>
    <mergeCell ref="H1073:I1073"/>
    <mergeCell ref="F1076:G1076"/>
    <mergeCell ref="B911:K912"/>
    <mergeCell ref="F918:G918"/>
    <mergeCell ref="B1084:K1085"/>
    <mergeCell ref="I996:K996"/>
    <mergeCell ref="H1169:I1169"/>
    <mergeCell ref="B1078:C1078"/>
    <mergeCell ref="F1092:G1092"/>
    <mergeCell ref="I1092:K1092"/>
    <mergeCell ref="B1423:K1424"/>
    <mergeCell ref="A945:L945"/>
    <mergeCell ref="A1136:L1136"/>
    <mergeCell ref="C993:F993"/>
    <mergeCell ref="H993:I993"/>
    <mergeCell ref="F996:G996"/>
    <mergeCell ref="H1009:I1009"/>
    <mergeCell ref="I1044:K1044"/>
    <mergeCell ref="I1421:J1421"/>
    <mergeCell ref="I1214:J1214"/>
    <mergeCell ref="B1216:K1217"/>
    <mergeCell ref="A1204:L1204"/>
    <mergeCell ref="A369:L369"/>
    <mergeCell ref="C1286:F1286"/>
    <mergeCell ref="H1286:I1286"/>
    <mergeCell ref="I1000:J1000"/>
    <mergeCell ref="I1213:J1213"/>
    <mergeCell ref="I1108:K1108"/>
    <mergeCell ref="I1295:J1295"/>
    <mergeCell ref="I1112:J1112"/>
    <mergeCell ref="B1385:C1385"/>
    <mergeCell ref="I1383:K1383"/>
    <mergeCell ref="B1110:C1110"/>
    <mergeCell ref="I1098:J1098"/>
    <mergeCell ref="A1104:L1104"/>
    <mergeCell ref="B998:C998"/>
    <mergeCell ref="A1395:L1395"/>
    <mergeCell ref="I1064:J1064"/>
    <mergeCell ref="B381:K382"/>
    <mergeCell ref="I970:J970"/>
    <mergeCell ref="B1391:K1392"/>
    <mergeCell ref="I1387:J1387"/>
    <mergeCell ref="I1388:J1388"/>
    <mergeCell ref="I1389:J1389"/>
    <mergeCell ref="B453:C453"/>
    <mergeCell ref="I455:J455"/>
    <mergeCell ref="B375:C375"/>
    <mergeCell ref="T735:Y735"/>
    <mergeCell ref="O261:R261"/>
    <mergeCell ref="T261:Y261"/>
    <mergeCell ref="I269:J269"/>
    <mergeCell ref="A769:L769"/>
    <mergeCell ref="O769:R769"/>
    <mergeCell ref="T769:Y769"/>
    <mergeCell ref="O785:R785"/>
    <mergeCell ref="I762:J762"/>
    <mergeCell ref="I763:J763"/>
    <mergeCell ref="C754:F754"/>
    <mergeCell ref="H754:I754"/>
    <mergeCell ref="F757:G757"/>
    <mergeCell ref="I757:K757"/>
    <mergeCell ref="F805:G805"/>
    <mergeCell ref="I805:K805"/>
    <mergeCell ref="B807:C807"/>
    <mergeCell ref="B781:K782"/>
    <mergeCell ref="I1162:J1162"/>
    <mergeCell ref="C1153:F1153"/>
    <mergeCell ref="H1153:I1153"/>
    <mergeCell ref="I1177:J1177"/>
    <mergeCell ref="I1178:J1178"/>
    <mergeCell ref="I144:J144"/>
    <mergeCell ref="C135:F135"/>
    <mergeCell ref="H135:I135"/>
    <mergeCell ref="F138:G138"/>
    <mergeCell ref="B140:C140"/>
    <mergeCell ref="I202:K202"/>
    <mergeCell ref="B204:C204"/>
    <mergeCell ref="I143:J143"/>
    <mergeCell ref="A292:L292"/>
    <mergeCell ref="I577:K577"/>
    <mergeCell ref="C512:F512"/>
    <mergeCell ref="H512:I512"/>
    <mergeCell ref="F515:G515"/>
    <mergeCell ref="I515:K515"/>
    <mergeCell ref="B517:C517"/>
    <mergeCell ref="I519:J519"/>
    <mergeCell ref="B360:C360"/>
    <mergeCell ref="A354:L354"/>
    <mergeCell ref="C464:F464"/>
    <mergeCell ref="H464:I464"/>
    <mergeCell ref="I521:J521"/>
    <mergeCell ref="I158:J158"/>
    <mergeCell ref="I159:J159"/>
    <mergeCell ref="C150:F150"/>
    <mergeCell ref="H150:I150"/>
    <mergeCell ref="F153:G153"/>
    <mergeCell ref="I153:K153"/>
    <mergeCell ref="B146:K147"/>
    <mergeCell ref="C293:F293"/>
    <mergeCell ref="H293:I293"/>
    <mergeCell ref="F296:G296"/>
    <mergeCell ref="I296:K296"/>
    <mergeCell ref="O338:R338"/>
    <mergeCell ref="B171:C171"/>
    <mergeCell ref="A165:L165"/>
    <mergeCell ref="O165:R165"/>
    <mergeCell ref="T165:Y165"/>
    <mergeCell ref="C166:F166"/>
    <mergeCell ref="H166:I166"/>
    <mergeCell ref="I173:J173"/>
    <mergeCell ref="O354:R354"/>
    <mergeCell ref="T354:Y354"/>
    <mergeCell ref="T198:Y198"/>
    <mergeCell ref="C199:F199"/>
    <mergeCell ref="H199:I199"/>
    <mergeCell ref="F202:G202"/>
    <mergeCell ref="I270:J270"/>
    <mergeCell ref="B273:K274"/>
    <mergeCell ref="I271:J271"/>
    <mergeCell ref="T246:Y246"/>
    <mergeCell ref="C324:F324"/>
    <mergeCell ref="I265:K265"/>
    <mergeCell ref="O246:R246"/>
    <mergeCell ref="I256:J256"/>
    <mergeCell ref="F250:G250"/>
    <mergeCell ref="I250:K250"/>
    <mergeCell ref="I331:J331"/>
    <mergeCell ref="I327:K327"/>
    <mergeCell ref="I254:J254"/>
    <mergeCell ref="I255:J255"/>
    <mergeCell ref="I238:J238"/>
    <mergeCell ref="I239:J239"/>
    <mergeCell ref="I240:J240"/>
    <mergeCell ref="B177:K178"/>
    <mergeCell ref="I174:J174"/>
    <mergeCell ref="I175:J175"/>
    <mergeCell ref="F169:G169"/>
    <mergeCell ref="I169:K169"/>
    <mergeCell ref="I581:J581"/>
    <mergeCell ref="I206:J206"/>
    <mergeCell ref="I207:J207"/>
    <mergeCell ref="I208:J208"/>
    <mergeCell ref="A182:L182"/>
    <mergeCell ref="O182:R182"/>
    <mergeCell ref="T479:Y479"/>
    <mergeCell ref="C480:F480"/>
    <mergeCell ref="H480:I480"/>
    <mergeCell ref="F483:G483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A198:L198"/>
    <mergeCell ref="O198:R198"/>
    <mergeCell ref="B304:K305"/>
    <mergeCell ref="I348:J348"/>
    <mergeCell ref="C339:F339"/>
    <mergeCell ref="I364:J364"/>
    <mergeCell ref="H339:I339"/>
    <mergeCell ref="F342:G342"/>
    <mergeCell ref="I342:K342"/>
    <mergeCell ref="B350:K351"/>
    <mergeCell ref="O214:R214"/>
    <mergeCell ref="B226:K227"/>
    <mergeCell ref="T214:Y214"/>
    <mergeCell ref="A214:L214"/>
    <mergeCell ref="H231:I231"/>
    <mergeCell ref="F234:G234"/>
    <mergeCell ref="I234:K234"/>
    <mergeCell ref="B236:C236"/>
    <mergeCell ref="B252:C252"/>
    <mergeCell ref="T447:Y447"/>
    <mergeCell ref="O511:R511"/>
    <mergeCell ref="T511:Y511"/>
    <mergeCell ref="I362:J362"/>
    <mergeCell ref="I363:J363"/>
    <mergeCell ref="I483:K483"/>
    <mergeCell ref="B485:C485"/>
    <mergeCell ref="I487:J487"/>
    <mergeCell ref="O496:R496"/>
    <mergeCell ref="T496:Y496"/>
    <mergeCell ref="C497:F497"/>
    <mergeCell ref="O479:R479"/>
    <mergeCell ref="T400:Y400"/>
    <mergeCell ref="C401:F401"/>
    <mergeCell ref="O276:R276"/>
    <mergeCell ref="T276:Y276"/>
    <mergeCell ref="O384:R384"/>
    <mergeCell ref="T384:Y384"/>
    <mergeCell ref="C385:F385"/>
    <mergeCell ref="I346:J346"/>
    <mergeCell ref="I347:J347"/>
    <mergeCell ref="A338:L338"/>
    <mergeCell ref="I420:K420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42:J142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38:K138"/>
    <mergeCell ref="O134:R134"/>
    <mergeCell ref="A134:L134"/>
    <mergeCell ref="H120:I120"/>
    <mergeCell ref="F123:G123"/>
    <mergeCell ref="I123:K123"/>
    <mergeCell ref="T134:Y134"/>
    <mergeCell ref="T119:Y119"/>
    <mergeCell ref="C120:F120"/>
    <mergeCell ref="B125:C125"/>
    <mergeCell ref="I127:J127"/>
    <mergeCell ref="A149:L149"/>
    <mergeCell ref="O149:R149"/>
    <mergeCell ref="T149:Y149"/>
    <mergeCell ref="B155:C155"/>
    <mergeCell ref="B114:K115"/>
    <mergeCell ref="I64:J64"/>
    <mergeCell ref="I192:J192"/>
    <mergeCell ref="B194:K195"/>
    <mergeCell ref="B108:C108"/>
    <mergeCell ref="I110:J110"/>
    <mergeCell ref="I111:J111"/>
    <mergeCell ref="I112:J112"/>
    <mergeCell ref="A102:L102"/>
    <mergeCell ref="I582:J582"/>
    <mergeCell ref="F500:G500"/>
    <mergeCell ref="B547:C547"/>
    <mergeCell ref="A541:L541"/>
    <mergeCell ref="F358:G358"/>
    <mergeCell ref="I358:K358"/>
    <mergeCell ref="A261:L261"/>
    <mergeCell ref="F218:G218"/>
    <mergeCell ref="I218:K218"/>
    <mergeCell ref="B220:C220"/>
    <mergeCell ref="O102:R102"/>
    <mergeCell ref="T102:Y102"/>
    <mergeCell ref="C103:F103"/>
    <mergeCell ref="H103:I103"/>
    <mergeCell ref="F106:G106"/>
    <mergeCell ref="I106:K106"/>
    <mergeCell ref="O526:R526"/>
    <mergeCell ref="T526:Y526"/>
    <mergeCell ref="A526:L52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O416:R416"/>
    <mergeCell ref="T416:Y416"/>
    <mergeCell ref="H417:I417"/>
    <mergeCell ref="H497:I497"/>
    <mergeCell ref="C527:F527"/>
    <mergeCell ref="T463:Y463"/>
    <mergeCell ref="T431:Y431"/>
    <mergeCell ref="O463:R463"/>
    <mergeCell ref="O638:R638"/>
    <mergeCell ref="O686:R686"/>
    <mergeCell ref="O654:R654"/>
    <mergeCell ref="T654:Y654"/>
    <mergeCell ref="I646:J646"/>
    <mergeCell ref="O447:R447"/>
    <mergeCell ref="I506:J506"/>
    <mergeCell ref="B508:K509"/>
    <mergeCell ref="O557:R557"/>
    <mergeCell ref="I567:J567"/>
    <mergeCell ref="I612:J612"/>
    <mergeCell ref="I613:J613"/>
    <mergeCell ref="T638:Y638"/>
    <mergeCell ref="T603:Y603"/>
    <mergeCell ref="F607:G607"/>
    <mergeCell ref="I607:K607"/>
    <mergeCell ref="A638:L638"/>
    <mergeCell ref="I647:J647"/>
    <mergeCell ref="I648:J648"/>
    <mergeCell ref="B609:C609"/>
    <mergeCell ref="O541:R541"/>
    <mergeCell ref="I663:J663"/>
    <mergeCell ref="I664:J664"/>
    <mergeCell ref="A686:L686"/>
    <mergeCell ref="C542:F542"/>
    <mergeCell ref="H542:I542"/>
    <mergeCell ref="C558:F558"/>
    <mergeCell ref="A603:L603"/>
    <mergeCell ref="T686:Y686"/>
    <mergeCell ref="T621:Y621"/>
    <mergeCell ref="O670:R670"/>
    <mergeCell ref="I545:K545"/>
    <mergeCell ref="O603:R603"/>
    <mergeCell ref="T670:Y670"/>
    <mergeCell ref="C671:F671"/>
    <mergeCell ref="H671:I671"/>
    <mergeCell ref="F674:G674"/>
    <mergeCell ref="I674:K674"/>
    <mergeCell ref="B650:K651"/>
    <mergeCell ref="O621:R621"/>
    <mergeCell ref="B692:C692"/>
    <mergeCell ref="H655:I655"/>
    <mergeCell ref="B579:C579"/>
    <mergeCell ref="A573:L573"/>
    <mergeCell ref="O573:R573"/>
    <mergeCell ref="T573:Y573"/>
    <mergeCell ref="C574:F574"/>
    <mergeCell ref="I451:K451"/>
    <mergeCell ref="B538:K539"/>
    <mergeCell ref="A447:L447"/>
    <mergeCell ref="F658:G658"/>
    <mergeCell ref="I658:K658"/>
    <mergeCell ref="F642:G642"/>
    <mergeCell ref="I642:K642"/>
    <mergeCell ref="B644:C644"/>
    <mergeCell ref="H687:I687"/>
    <mergeCell ref="I504:J504"/>
    <mergeCell ref="I505:J505"/>
    <mergeCell ref="I826:J826"/>
    <mergeCell ref="I827:J827"/>
    <mergeCell ref="I828:J828"/>
    <mergeCell ref="B666:K667"/>
    <mergeCell ref="I712:J712"/>
    <mergeCell ref="C703:F703"/>
    <mergeCell ref="A718:L718"/>
    <mergeCell ref="I706:K706"/>
    <mergeCell ref="B708:C708"/>
    <mergeCell ref="H574:I574"/>
    <mergeCell ref="F577:G577"/>
    <mergeCell ref="B523:K524"/>
    <mergeCell ref="C655:F655"/>
    <mergeCell ref="I690:K690"/>
    <mergeCell ref="F706:G706"/>
    <mergeCell ref="B759:C759"/>
    <mergeCell ref="F739:G739"/>
    <mergeCell ref="I739:K739"/>
    <mergeCell ref="I777:J777"/>
    <mergeCell ref="A621:L621"/>
    <mergeCell ref="F625:G625"/>
    <mergeCell ref="A1427:L1427"/>
    <mergeCell ref="B1232:K1233"/>
    <mergeCell ref="A753:L753"/>
    <mergeCell ref="O702:R702"/>
    <mergeCell ref="O1379:R1379"/>
    <mergeCell ref="O1411:R1411"/>
    <mergeCell ref="I953:J953"/>
    <mergeCell ref="A914:L914"/>
    <mergeCell ref="A818:L818"/>
    <mergeCell ref="A834:L834"/>
    <mergeCell ref="C900:F900"/>
    <mergeCell ref="H900:I900"/>
    <mergeCell ref="I859:J859"/>
    <mergeCell ref="I860:J860"/>
    <mergeCell ref="H851:I851"/>
    <mergeCell ref="T930:Y930"/>
    <mergeCell ref="B714:K715"/>
    <mergeCell ref="F789:G789"/>
    <mergeCell ref="I789:K789"/>
    <mergeCell ref="B791:C791"/>
    <mergeCell ref="A1379:L1379"/>
    <mergeCell ref="I811:J811"/>
    <mergeCell ref="C802:F802"/>
    <mergeCell ref="H802:I802"/>
    <mergeCell ref="I1229:J1229"/>
    <mergeCell ref="I1230:J1230"/>
    <mergeCell ref="C1301:F1301"/>
    <mergeCell ref="O718:R718"/>
    <mergeCell ref="T718:Y718"/>
    <mergeCell ref="T1411:Y1411"/>
    <mergeCell ref="A1411:L1411"/>
    <mergeCell ref="C962:F962"/>
    <mergeCell ref="T834:Y834"/>
    <mergeCell ref="B813:K814"/>
    <mergeCell ref="O850:R850"/>
    <mergeCell ref="T850:Y850"/>
    <mergeCell ref="T785:Y785"/>
    <mergeCell ref="A801:L801"/>
    <mergeCell ref="C1428:F1428"/>
    <mergeCell ref="H1428:I1428"/>
    <mergeCell ref="H1412:I1412"/>
    <mergeCell ref="F1415:G1415"/>
    <mergeCell ref="I1415:K1415"/>
    <mergeCell ref="B1417:C1417"/>
    <mergeCell ref="I1419:J1419"/>
    <mergeCell ref="I377:J377"/>
    <mergeCell ref="I378:J378"/>
    <mergeCell ref="I379:J379"/>
    <mergeCell ref="I940:J940"/>
    <mergeCell ref="A785:L785"/>
    <mergeCell ref="I922:J922"/>
    <mergeCell ref="I923:J923"/>
    <mergeCell ref="B957:K958"/>
    <mergeCell ref="F949:G949"/>
    <mergeCell ref="F1060:G1060"/>
    <mergeCell ref="H1105:I1105"/>
    <mergeCell ref="O1427:R1427"/>
    <mergeCell ref="T1427:Y1427"/>
    <mergeCell ref="I1420:J1420"/>
    <mergeCell ref="C1412:F1412"/>
    <mergeCell ref="I1113:J1113"/>
    <mergeCell ref="I1114:J1114"/>
    <mergeCell ref="C1105:F1105"/>
    <mergeCell ref="I1060:K1060"/>
    <mergeCell ref="F280:G280"/>
    <mergeCell ref="I280:K280"/>
    <mergeCell ref="B314:C314"/>
    <mergeCell ref="B344:C344"/>
    <mergeCell ref="A431:L431"/>
    <mergeCell ref="B676:C676"/>
    <mergeCell ref="I678:J678"/>
    <mergeCell ref="I679:J679"/>
    <mergeCell ref="I680:J680"/>
    <mergeCell ref="B682:K683"/>
    <mergeCell ref="B627:C627"/>
    <mergeCell ref="I696:J696"/>
    <mergeCell ref="B698:K699"/>
    <mergeCell ref="I710:J710"/>
    <mergeCell ref="I711:J711"/>
    <mergeCell ref="B878:K879"/>
    <mergeCell ref="A899:L899"/>
    <mergeCell ref="B741:C741"/>
    <mergeCell ref="A735:L735"/>
    <mergeCell ref="I744:J744"/>
    <mergeCell ref="I745:J745"/>
    <mergeCell ref="B747:K748"/>
    <mergeCell ref="C736:F736"/>
    <mergeCell ref="H736:I736"/>
    <mergeCell ref="C604:F604"/>
    <mergeCell ref="I440:J440"/>
    <mergeCell ref="I441:J441"/>
    <mergeCell ref="B443:K444"/>
    <mergeCell ref="I662:J662"/>
    <mergeCell ref="C448:F448"/>
    <mergeCell ref="H448:I448"/>
    <mergeCell ref="F451:G451"/>
    <mergeCell ref="F1108:G1108"/>
    <mergeCell ref="F854:G854"/>
    <mergeCell ref="I854:K854"/>
    <mergeCell ref="B856:C856"/>
    <mergeCell ref="A850:L850"/>
    <mergeCell ref="I858:J858"/>
    <mergeCell ref="I488:J488"/>
    <mergeCell ref="I489:J489"/>
    <mergeCell ref="B491:K492"/>
    <mergeCell ref="I500:K500"/>
    <mergeCell ref="B502:C502"/>
    <mergeCell ref="I1076:K1076"/>
    <mergeCell ref="I1080:J1080"/>
    <mergeCell ref="B459:K460"/>
    <mergeCell ref="A670:L670"/>
    <mergeCell ref="I949:K949"/>
    <mergeCell ref="B951:C951"/>
    <mergeCell ref="I629:J629"/>
    <mergeCell ref="I630:J630"/>
    <mergeCell ref="I631:J631"/>
    <mergeCell ref="C915:F915"/>
    <mergeCell ref="H915:I915"/>
    <mergeCell ref="B660:C660"/>
    <mergeCell ref="B633:K634"/>
    <mergeCell ref="B553:K554"/>
    <mergeCell ref="B1062:C1062"/>
    <mergeCell ref="H962:I962"/>
    <mergeCell ref="I875:J875"/>
    <mergeCell ref="I1065:J1065"/>
    <mergeCell ref="I625:K625"/>
    <mergeCell ref="I743:J743"/>
    <mergeCell ref="A654:L654"/>
    <mergeCell ref="I1467:J1467"/>
    <mergeCell ref="I1468:J1468"/>
    <mergeCell ref="I1469:J1469"/>
    <mergeCell ref="B1471:K1472"/>
    <mergeCell ref="F1431:G1431"/>
    <mergeCell ref="I1431:K1431"/>
    <mergeCell ref="B1433:C1433"/>
    <mergeCell ref="I1435:J1435"/>
    <mergeCell ref="I1436:J1436"/>
    <mergeCell ref="I1437:J1437"/>
    <mergeCell ref="B1439:K1440"/>
    <mergeCell ref="A1443:L1443"/>
    <mergeCell ref="O1443:R1443"/>
    <mergeCell ref="T1443:Y1443"/>
    <mergeCell ref="C1444:F1444"/>
    <mergeCell ref="H1444:I1444"/>
    <mergeCell ref="F1447:G1447"/>
    <mergeCell ref="I1447:K1447"/>
    <mergeCell ref="B1449:C1449"/>
    <mergeCell ref="I1451:J1451"/>
    <mergeCell ref="F1463:G1463"/>
    <mergeCell ref="I1463:K1463"/>
    <mergeCell ref="B1465:C1465"/>
    <mergeCell ref="I1452:J1452"/>
    <mergeCell ref="I1453:J1453"/>
    <mergeCell ref="B1455:K1456"/>
    <mergeCell ref="A1459:L1459"/>
    <mergeCell ref="O1459:R1459"/>
    <mergeCell ref="T1459:Y1459"/>
    <mergeCell ref="C1460:F1460"/>
    <mergeCell ref="H1460:I1460"/>
  </mergeCells>
  <phoneticPr fontId="5" type="noConversion"/>
  <printOptions horizontalCentered="1"/>
  <pageMargins left="0" right="0" top="0" bottom="0" header="0.5" footer="0.5"/>
  <pageSetup paperSize="9" scale="83" fitToHeight="0" orientation="portrait" r:id="rId1"/>
  <headerFooter alignWithMargins="0"/>
  <rowBreaks count="14" manualBreakCount="14">
    <brk id="274" max="11" man="1"/>
    <brk id="352" max="11" man="1"/>
    <brk id="398" max="11" man="1"/>
    <brk id="477" max="11" man="1"/>
    <brk id="525" max="11" man="1"/>
    <brk id="571" max="11" man="1"/>
    <brk id="617" max="11" man="1"/>
    <brk id="668" max="11" man="1"/>
    <brk id="716" max="11" man="1"/>
    <brk id="880" max="11" man="1"/>
    <brk id="928" max="11" man="1"/>
    <brk id="1119" max="11" man="1"/>
    <brk id="1329" max="11" man="1"/>
    <brk id="1377" max="11" man="1"/>
  </rowBreaks>
  <colBreaks count="1" manualBreakCount="1">
    <brk id="12" min="164" max="1450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3"/>
  <sheetViews>
    <sheetView workbookViewId="0">
      <selection activeCell="F12" sqref="F12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2" customWidth="1"/>
    <col min="7" max="7" width="13.44140625" customWidth="1"/>
  </cols>
  <sheetData>
    <row r="3" spans="1:7" ht="25.8" x14ac:dyDescent="0.5">
      <c r="A3" s="431">
        <v>44105</v>
      </c>
      <c r="B3" s="431"/>
      <c r="C3" s="431"/>
      <c r="D3" s="431"/>
      <c r="E3" s="431"/>
      <c r="F3" s="431"/>
      <c r="G3" s="431"/>
    </row>
    <row r="4" spans="1:7" ht="21" x14ac:dyDescent="0.4">
      <c r="A4" s="432" t="s">
        <v>151</v>
      </c>
      <c r="B4" s="432"/>
      <c r="C4" s="432"/>
      <c r="D4" s="432"/>
      <c r="E4" s="432"/>
      <c r="F4" s="432"/>
      <c r="G4" s="432"/>
    </row>
    <row r="5" spans="1:7" ht="14.4" x14ac:dyDescent="0.3">
      <c r="A5" s="227" t="s">
        <v>0</v>
      </c>
      <c r="B5" s="227" t="s">
        <v>1</v>
      </c>
      <c r="C5" s="227" t="s">
        <v>152</v>
      </c>
      <c r="D5" s="227" t="s">
        <v>153</v>
      </c>
      <c r="E5" s="227" t="s">
        <v>154</v>
      </c>
      <c r="F5" s="227" t="s">
        <v>155</v>
      </c>
      <c r="G5" s="227" t="s">
        <v>156</v>
      </c>
    </row>
    <row r="6" spans="1:7" x14ac:dyDescent="0.25">
      <c r="A6" s="194" t="s">
        <v>157</v>
      </c>
      <c r="B6" s="192">
        <v>30000</v>
      </c>
      <c r="C6" s="192">
        <v>20</v>
      </c>
      <c r="D6" s="192"/>
      <c r="E6" s="192">
        <f>B6/31*C6</f>
        <v>19354.83870967742</v>
      </c>
      <c r="F6" s="192">
        <v>0</v>
      </c>
      <c r="G6" s="192">
        <f>E6+F6</f>
        <v>19354.83870967742</v>
      </c>
    </row>
    <row r="7" spans="1:7" x14ac:dyDescent="0.25">
      <c r="A7" s="194" t="s">
        <v>158</v>
      </c>
      <c r="B7" s="192">
        <v>800</v>
      </c>
      <c r="C7" s="192">
        <v>17</v>
      </c>
      <c r="D7" s="192"/>
      <c r="E7" s="192">
        <f>B7*C7</f>
        <v>13600</v>
      </c>
      <c r="F7" s="192">
        <f>B7/8*D7</f>
        <v>0</v>
      </c>
      <c r="G7" s="192">
        <f>E7+F7</f>
        <v>13600</v>
      </c>
    </row>
    <row r="8" spans="1:7" x14ac:dyDescent="0.25">
      <c r="A8" s="194" t="s">
        <v>160</v>
      </c>
      <c r="B8" s="192">
        <v>800</v>
      </c>
      <c r="C8" s="192">
        <v>17</v>
      </c>
      <c r="D8" s="192"/>
      <c r="E8" s="192">
        <f t="shared" ref="E8" si="0">B8*C8</f>
        <v>13600</v>
      </c>
      <c r="F8" s="192">
        <f t="shared" ref="F8" si="1">B8/8*D8</f>
        <v>0</v>
      </c>
      <c r="G8" s="192">
        <f t="shared" ref="G8" si="2">E8+F8</f>
        <v>13600</v>
      </c>
    </row>
    <row r="9" spans="1:7" ht="18" x14ac:dyDescent="0.35">
      <c r="A9" s="433" t="s">
        <v>156</v>
      </c>
      <c r="B9" s="433"/>
      <c r="C9" s="433"/>
      <c r="D9" s="433"/>
      <c r="E9" s="433"/>
      <c r="F9" s="433"/>
      <c r="G9" s="228">
        <f>SUM(G6:G8)</f>
        <v>46554.838709677424</v>
      </c>
    </row>
    <row r="17" spans="1:9" ht="25.8" x14ac:dyDescent="0.5">
      <c r="A17" s="431">
        <v>43862</v>
      </c>
      <c r="B17" s="431"/>
      <c r="C17" s="431"/>
      <c r="D17" s="431"/>
      <c r="E17" s="431"/>
      <c r="F17" s="431"/>
      <c r="G17" s="431"/>
    </row>
    <row r="18" spans="1:9" ht="21" x14ac:dyDescent="0.4">
      <c r="A18" s="432" t="s">
        <v>151</v>
      </c>
      <c r="B18" s="432"/>
      <c r="C18" s="432"/>
      <c r="D18" s="432"/>
      <c r="E18" s="432"/>
      <c r="F18" s="432"/>
      <c r="G18" s="432"/>
      <c r="H18" s="246"/>
      <c r="I18" s="246"/>
    </row>
    <row r="19" spans="1:9" ht="14.4" x14ac:dyDescent="0.3">
      <c r="A19" s="227" t="s">
        <v>0</v>
      </c>
      <c r="B19" s="227" t="s">
        <v>1</v>
      </c>
      <c r="C19" s="227" t="s">
        <v>152</v>
      </c>
      <c r="D19" s="227" t="s">
        <v>153</v>
      </c>
      <c r="E19" s="227" t="s">
        <v>154</v>
      </c>
      <c r="F19" s="227" t="s">
        <v>155</v>
      </c>
      <c r="G19" s="227" t="s">
        <v>156</v>
      </c>
    </row>
    <row r="20" spans="1:9" x14ac:dyDescent="0.25">
      <c r="A20" s="194" t="s">
        <v>157</v>
      </c>
      <c r="B20" s="192">
        <v>30000</v>
      </c>
      <c r="C20" s="192">
        <v>21</v>
      </c>
      <c r="D20" s="192">
        <v>1</v>
      </c>
      <c r="E20" s="192">
        <f>B20/31*C20</f>
        <v>20322.580645161292</v>
      </c>
      <c r="F20" s="192">
        <f>B20/30/8*D20</f>
        <v>125</v>
      </c>
      <c r="G20" s="192">
        <f>E20+F20</f>
        <v>20447.580645161292</v>
      </c>
    </row>
    <row r="21" spans="1:9" x14ac:dyDescent="0.25">
      <c r="A21" s="194" t="s">
        <v>158</v>
      </c>
      <c r="B21" s="192">
        <v>800</v>
      </c>
      <c r="C21" s="192">
        <v>14</v>
      </c>
      <c r="D21" s="192">
        <v>1</v>
      </c>
      <c r="E21" s="192">
        <f>B21*C21</f>
        <v>11200</v>
      </c>
      <c r="F21" s="192">
        <f>B21/8*D21</f>
        <v>100</v>
      </c>
      <c r="G21" s="192">
        <f>E21+F21</f>
        <v>11300</v>
      </c>
    </row>
    <row r="22" spans="1:9" x14ac:dyDescent="0.25">
      <c r="A22" s="194" t="s">
        <v>160</v>
      </c>
      <c r="B22" s="192">
        <v>800</v>
      </c>
      <c r="C22" s="192">
        <v>13</v>
      </c>
      <c r="D22" s="192">
        <v>1</v>
      </c>
      <c r="E22" s="192">
        <f t="shared" ref="E22" si="3">B22*C22</f>
        <v>10400</v>
      </c>
      <c r="F22" s="192">
        <f t="shared" ref="F22" si="4">B22/8*D22</f>
        <v>100</v>
      </c>
      <c r="G22" s="192">
        <f t="shared" ref="G22" si="5">E22+F22</f>
        <v>10500</v>
      </c>
    </row>
    <row r="23" spans="1:9" ht="18" x14ac:dyDescent="0.35">
      <c r="A23" s="433" t="s">
        <v>156</v>
      </c>
      <c r="B23" s="433"/>
      <c r="C23" s="433"/>
      <c r="D23" s="433"/>
      <c r="E23" s="433"/>
      <c r="F23" s="433"/>
      <c r="G23" s="228">
        <f>SUM(G20:G22)</f>
        <v>42247.580645161288</v>
      </c>
    </row>
    <row r="24" spans="1:9" ht="18" x14ac:dyDescent="0.35">
      <c r="A24" s="251"/>
      <c r="B24" s="251"/>
      <c r="C24" s="251"/>
      <c r="D24" s="251"/>
      <c r="E24" s="251"/>
      <c r="F24" s="251"/>
      <c r="G24" s="252"/>
    </row>
    <row r="25" spans="1:9" ht="25.8" x14ac:dyDescent="0.5">
      <c r="A25" s="431">
        <v>43831</v>
      </c>
      <c r="B25" s="431"/>
      <c r="C25" s="431"/>
      <c r="D25" s="431"/>
      <c r="E25" s="431"/>
      <c r="F25" s="431"/>
      <c r="G25" s="431"/>
    </row>
    <row r="26" spans="1:9" ht="21" x14ac:dyDescent="0.4">
      <c r="A26" s="432" t="s">
        <v>151</v>
      </c>
      <c r="B26" s="432"/>
      <c r="C26" s="432"/>
      <c r="D26" s="432"/>
      <c r="E26" s="432"/>
      <c r="F26" s="432"/>
      <c r="G26" s="432"/>
      <c r="H26" s="246" t="s">
        <v>171</v>
      </c>
      <c r="I26" s="246">
        <v>5000</v>
      </c>
    </row>
    <row r="27" spans="1:9" ht="14.4" x14ac:dyDescent="0.3">
      <c r="A27" s="227" t="s">
        <v>0</v>
      </c>
      <c r="B27" s="227" t="s">
        <v>1</v>
      </c>
      <c r="C27" s="227" t="s">
        <v>152</v>
      </c>
      <c r="D27" s="227" t="s">
        <v>153</v>
      </c>
      <c r="E27" s="227" t="s">
        <v>154</v>
      </c>
      <c r="F27" s="227" t="s">
        <v>155</v>
      </c>
      <c r="G27" s="227" t="s">
        <v>156</v>
      </c>
    </row>
    <row r="28" spans="1:9" x14ac:dyDescent="0.25">
      <c r="A28" s="194" t="s">
        <v>157</v>
      </c>
      <c r="B28" s="192">
        <v>30000</v>
      </c>
      <c r="C28" s="192">
        <f>31-3</f>
        <v>28</v>
      </c>
      <c r="D28" s="192">
        <v>-6</v>
      </c>
      <c r="E28" s="192">
        <f>B28/31*C28</f>
        <v>27096.774193548386</v>
      </c>
      <c r="F28" s="192">
        <f>B28/30/8*D28</f>
        <v>-750</v>
      </c>
      <c r="G28" s="192">
        <f>E28+F28</f>
        <v>26346.774193548386</v>
      </c>
    </row>
    <row r="29" spans="1:9" x14ac:dyDescent="0.25">
      <c r="A29" s="194" t="s">
        <v>158</v>
      </c>
      <c r="B29" s="192">
        <v>800</v>
      </c>
      <c r="C29" s="192">
        <v>23</v>
      </c>
      <c r="D29" s="192">
        <v>-22</v>
      </c>
      <c r="E29" s="192">
        <f>B29*C29</f>
        <v>18400</v>
      </c>
      <c r="F29" s="192">
        <f>B29/8*D29</f>
        <v>-2200</v>
      </c>
      <c r="G29" s="192">
        <f>E29+F29</f>
        <v>16200</v>
      </c>
      <c r="H29">
        <v>2</v>
      </c>
    </row>
    <row r="30" spans="1:9" x14ac:dyDescent="0.25">
      <c r="A30" s="194" t="s">
        <v>160</v>
      </c>
      <c r="B30" s="192">
        <v>800</v>
      </c>
      <c r="C30" s="192">
        <v>24</v>
      </c>
      <c r="D30" s="192">
        <v>-11</v>
      </c>
      <c r="E30" s="192">
        <f t="shared" ref="E30" si="6">B30*C30</f>
        <v>19200</v>
      </c>
      <c r="F30" s="192">
        <f t="shared" ref="F30" si="7">B30/8*D30</f>
        <v>-1100</v>
      </c>
      <c r="G30" s="192">
        <f t="shared" ref="G30" si="8">E30+F30</f>
        <v>18100</v>
      </c>
    </row>
    <row r="31" spans="1:9" ht="18" x14ac:dyDescent="0.35">
      <c r="A31" s="433" t="s">
        <v>156</v>
      </c>
      <c r="B31" s="433"/>
      <c r="C31" s="433"/>
      <c r="D31" s="433"/>
      <c r="E31" s="433"/>
      <c r="F31" s="433"/>
      <c r="G31" s="228">
        <f>SUM(G28:G30)</f>
        <v>60646.774193548386</v>
      </c>
    </row>
    <row r="32" spans="1:9" ht="18" x14ac:dyDescent="0.35">
      <c r="A32" s="433" t="s">
        <v>172</v>
      </c>
      <c r="B32" s="433"/>
      <c r="C32" s="433"/>
      <c r="D32" s="433"/>
      <c r="E32" s="433"/>
      <c r="F32" s="433"/>
      <c r="G32" s="228">
        <v>5000</v>
      </c>
    </row>
    <row r="33" spans="1:10" ht="18" x14ac:dyDescent="0.35">
      <c r="A33" s="433" t="s">
        <v>156</v>
      </c>
      <c r="B33" s="433"/>
      <c r="C33" s="433"/>
      <c r="D33" s="433"/>
      <c r="E33" s="433"/>
      <c r="F33" s="433"/>
      <c r="G33" s="228">
        <f>G31-G32</f>
        <v>55646.774193548386</v>
      </c>
    </row>
    <row r="34" spans="1:10" ht="18" x14ac:dyDescent="0.35">
      <c r="A34" s="433"/>
      <c r="B34" s="433"/>
      <c r="C34" s="433"/>
      <c r="D34" s="433"/>
      <c r="E34" s="433"/>
      <c r="F34" s="433"/>
      <c r="G34" s="228"/>
      <c r="H34" s="19"/>
      <c r="J34" s="245"/>
    </row>
    <row r="35" spans="1:10" ht="25.8" x14ac:dyDescent="0.5">
      <c r="A35" s="431" t="s">
        <v>168</v>
      </c>
      <c r="B35" s="431"/>
      <c r="C35" s="431"/>
      <c r="D35" s="431"/>
      <c r="E35" s="431"/>
      <c r="F35" s="431"/>
      <c r="G35" s="431"/>
    </row>
    <row r="36" spans="1:10" ht="21" x14ac:dyDescent="0.4">
      <c r="A36" s="432" t="s">
        <v>151</v>
      </c>
      <c r="B36" s="432"/>
      <c r="C36" s="432"/>
      <c r="D36" s="432"/>
      <c r="E36" s="432"/>
      <c r="F36" s="432"/>
      <c r="G36" s="432"/>
    </row>
    <row r="37" spans="1:10" ht="14.4" x14ac:dyDescent="0.3">
      <c r="A37" s="227" t="s">
        <v>0</v>
      </c>
      <c r="B37" s="227" t="s">
        <v>1</v>
      </c>
      <c r="C37" s="227" t="s">
        <v>152</v>
      </c>
      <c r="D37" s="227" t="s">
        <v>153</v>
      </c>
      <c r="E37" s="227" t="s">
        <v>154</v>
      </c>
      <c r="F37" s="227" t="s">
        <v>155</v>
      </c>
      <c r="G37" s="227" t="s">
        <v>156</v>
      </c>
    </row>
    <row r="38" spans="1:10" x14ac:dyDescent="0.25">
      <c r="A38" s="194" t="s">
        <v>157</v>
      </c>
      <c r="B38" s="192">
        <v>30000</v>
      </c>
      <c r="C38" s="192">
        <v>27</v>
      </c>
      <c r="D38" s="192">
        <v>-14</v>
      </c>
      <c r="E38" s="192">
        <f>B38/31*C38</f>
        <v>26129.032258064515</v>
      </c>
      <c r="F38" s="192">
        <f>B38/30/8*D38</f>
        <v>-1750</v>
      </c>
      <c r="G38" s="192">
        <f>E38+F38</f>
        <v>24379.032258064515</v>
      </c>
    </row>
    <row r="39" spans="1:10" x14ac:dyDescent="0.25">
      <c r="A39" s="194" t="s">
        <v>158</v>
      </c>
      <c r="B39" s="192">
        <v>800</v>
      </c>
      <c r="C39" s="192">
        <v>19</v>
      </c>
      <c r="D39" s="192">
        <v>-25</v>
      </c>
      <c r="E39" s="192">
        <f>B39*C39</f>
        <v>15200</v>
      </c>
      <c r="F39" s="192">
        <f>B39/8*D39</f>
        <v>-2500</v>
      </c>
      <c r="G39" s="192">
        <f>E39+F39</f>
        <v>12700</v>
      </c>
      <c r="H39">
        <v>2</v>
      </c>
    </row>
    <row r="40" spans="1:10" x14ac:dyDescent="0.25">
      <c r="A40" s="194" t="s">
        <v>160</v>
      </c>
      <c r="B40" s="192">
        <v>800</v>
      </c>
      <c r="C40" s="192">
        <v>21</v>
      </c>
      <c r="D40" s="192">
        <v>-15.5</v>
      </c>
      <c r="E40" s="192">
        <f t="shared" ref="E40" si="9">B40*C40</f>
        <v>16800</v>
      </c>
      <c r="F40" s="192">
        <f t="shared" ref="F40" si="10">B40/8*D40</f>
        <v>-1550</v>
      </c>
      <c r="G40" s="192">
        <f t="shared" ref="G40" si="11">E40+F40</f>
        <v>15250</v>
      </c>
    </row>
    <row r="41" spans="1:10" ht="18" x14ac:dyDescent="0.35">
      <c r="A41" s="433" t="s">
        <v>156</v>
      </c>
      <c r="B41" s="433"/>
      <c r="C41" s="433"/>
      <c r="D41" s="433"/>
      <c r="E41" s="433"/>
      <c r="F41" s="433"/>
      <c r="G41" s="228">
        <f>SUM(G38:G40)</f>
        <v>52329.032258064515</v>
      </c>
    </row>
    <row r="42" spans="1:10" ht="18" x14ac:dyDescent="0.35">
      <c r="A42" s="433" t="s">
        <v>162</v>
      </c>
      <c r="B42" s="433"/>
      <c r="C42" s="433"/>
      <c r="D42" s="433"/>
      <c r="E42" s="433"/>
      <c r="F42" s="433"/>
      <c r="G42" s="228"/>
      <c r="I42" s="10" t="e">
        <f>F38+F39+#REF!+F40+#REF!</f>
        <v>#REF!</v>
      </c>
      <c r="J42">
        <v>3605</v>
      </c>
    </row>
    <row r="43" spans="1:10" ht="18" x14ac:dyDescent="0.35">
      <c r="A43" s="433" t="s">
        <v>156</v>
      </c>
      <c r="B43" s="433"/>
      <c r="C43" s="433"/>
      <c r="D43" s="433"/>
      <c r="E43" s="433"/>
      <c r="F43" s="433"/>
      <c r="G43" s="228">
        <f>G41+G42</f>
        <v>52329.032258064515</v>
      </c>
      <c r="H43" s="19" t="s">
        <v>170</v>
      </c>
      <c r="J43" s="245">
        <v>43844</v>
      </c>
    </row>
    <row r="44" spans="1:10" ht="25.8" x14ac:dyDescent="0.5">
      <c r="A44" s="431" t="s">
        <v>167</v>
      </c>
      <c r="B44" s="431"/>
      <c r="C44" s="431"/>
      <c r="D44" s="431"/>
      <c r="E44" s="431"/>
      <c r="F44" s="431"/>
      <c r="G44" s="431"/>
    </row>
    <row r="45" spans="1:10" ht="21" x14ac:dyDescent="0.4">
      <c r="A45" s="432" t="s">
        <v>151</v>
      </c>
      <c r="B45" s="432"/>
      <c r="C45" s="432"/>
      <c r="D45" s="432"/>
      <c r="E45" s="432"/>
      <c r="F45" s="432"/>
      <c r="G45" s="432"/>
    </row>
    <row r="46" spans="1:10" ht="14.4" x14ac:dyDescent="0.3">
      <c r="A46" s="227" t="s">
        <v>0</v>
      </c>
      <c r="B46" s="227" t="s">
        <v>1</v>
      </c>
      <c r="C46" s="227" t="s">
        <v>152</v>
      </c>
      <c r="D46" s="227" t="s">
        <v>153</v>
      </c>
      <c r="E46" s="227" t="s">
        <v>154</v>
      </c>
      <c r="F46" s="227" t="s">
        <v>155</v>
      </c>
      <c r="G46" s="227" t="s">
        <v>156</v>
      </c>
    </row>
    <row r="47" spans="1:10" x14ac:dyDescent="0.25">
      <c r="A47" s="194" t="s">
        <v>157</v>
      </c>
      <c r="B47" s="192">
        <v>30000</v>
      </c>
      <c r="C47" s="192">
        <v>20</v>
      </c>
      <c r="D47" s="192">
        <v>-5</v>
      </c>
      <c r="E47" s="192">
        <f>B47/31*C47</f>
        <v>19354.83870967742</v>
      </c>
      <c r="F47" s="192">
        <f>B47/30/8*D47</f>
        <v>-625</v>
      </c>
      <c r="G47" s="192">
        <f>E47+F47</f>
        <v>18729.83870967742</v>
      </c>
    </row>
    <row r="48" spans="1:10" x14ac:dyDescent="0.25">
      <c r="A48" s="194" t="s">
        <v>158</v>
      </c>
      <c r="B48" s="192">
        <v>800</v>
      </c>
      <c r="C48" s="192">
        <v>5</v>
      </c>
      <c r="D48" s="192">
        <v>-8</v>
      </c>
      <c r="E48" s="192">
        <f>B48*C48</f>
        <v>4000</v>
      </c>
      <c r="F48" s="192">
        <f>B48/8*D48</f>
        <v>-800</v>
      </c>
      <c r="G48" s="192">
        <f>E48+F48</f>
        <v>3200</v>
      </c>
      <c r="H48">
        <v>2</v>
      </c>
    </row>
    <row r="49" spans="1:10" x14ac:dyDescent="0.25">
      <c r="A49" s="194" t="s">
        <v>159</v>
      </c>
      <c r="B49" s="192">
        <v>800</v>
      </c>
      <c r="C49" s="192">
        <v>5</v>
      </c>
      <c r="D49" s="192">
        <v>-8</v>
      </c>
      <c r="E49" s="192">
        <f t="shared" ref="E49:E51" si="12">B49*C49</f>
        <v>4000</v>
      </c>
      <c r="F49" s="192">
        <f t="shared" ref="F49:F51" si="13">B49/8*D49</f>
        <v>-800</v>
      </c>
      <c r="G49" s="192">
        <f t="shared" ref="G49:G51" si="14">E49+F49</f>
        <v>3200</v>
      </c>
      <c r="H49">
        <v>2</v>
      </c>
    </row>
    <row r="50" spans="1:10" x14ac:dyDescent="0.25">
      <c r="A50" s="194" t="s">
        <v>160</v>
      </c>
      <c r="B50" s="192">
        <v>800</v>
      </c>
      <c r="C50" s="192">
        <v>19</v>
      </c>
      <c r="D50" s="192">
        <v>-7</v>
      </c>
      <c r="E50" s="192">
        <f t="shared" si="12"/>
        <v>15200</v>
      </c>
      <c r="F50" s="192">
        <f t="shared" si="13"/>
        <v>-700</v>
      </c>
      <c r="G50" s="192">
        <f t="shared" si="14"/>
        <v>14500</v>
      </c>
    </row>
    <row r="51" spans="1:10" x14ac:dyDescent="0.25">
      <c r="A51" s="194" t="s">
        <v>161</v>
      </c>
      <c r="B51" s="192">
        <v>800</v>
      </c>
      <c r="C51" s="192">
        <v>19</v>
      </c>
      <c r="D51" s="192">
        <v>-7</v>
      </c>
      <c r="E51" s="192">
        <f t="shared" si="12"/>
        <v>15200</v>
      </c>
      <c r="F51" s="192">
        <f t="shared" si="13"/>
        <v>-700</v>
      </c>
      <c r="G51" s="192">
        <f t="shared" si="14"/>
        <v>14500</v>
      </c>
    </row>
    <row r="52" spans="1:10" ht="18" x14ac:dyDescent="0.35">
      <c r="A52" s="433" t="s">
        <v>156</v>
      </c>
      <c r="B52" s="433"/>
      <c r="C52" s="433"/>
      <c r="D52" s="433"/>
      <c r="E52" s="433"/>
      <c r="F52" s="433"/>
      <c r="G52" s="228">
        <f>SUM(G47:G51)</f>
        <v>54129.838709677424</v>
      </c>
    </row>
    <row r="53" spans="1:10" ht="18" x14ac:dyDescent="0.35">
      <c r="A53" s="433" t="s">
        <v>162</v>
      </c>
      <c r="B53" s="433"/>
      <c r="C53" s="433"/>
      <c r="D53" s="433"/>
      <c r="E53" s="433"/>
      <c r="F53" s="433"/>
      <c r="G53" s="228">
        <f>J53/2</f>
        <v>1802.5</v>
      </c>
      <c r="I53" s="10">
        <f>F47+F48+F49+F50+F51</f>
        <v>-3625</v>
      </c>
      <c r="J53">
        <v>3605</v>
      </c>
    </row>
    <row r="54" spans="1:10" ht="18" x14ac:dyDescent="0.35">
      <c r="A54" s="433" t="s">
        <v>156</v>
      </c>
      <c r="B54" s="433"/>
      <c r="C54" s="433"/>
      <c r="D54" s="433"/>
      <c r="E54" s="433"/>
      <c r="F54" s="433"/>
      <c r="G54" s="228">
        <f>G52+G53</f>
        <v>55932.338709677424</v>
      </c>
      <c r="H54" s="19"/>
    </row>
    <row r="55" spans="1:10" ht="25.8" x14ac:dyDescent="0.5">
      <c r="A55" s="431" t="s">
        <v>57</v>
      </c>
      <c r="B55" s="431"/>
      <c r="C55" s="431"/>
      <c r="D55" s="431"/>
      <c r="E55" s="431"/>
      <c r="F55" s="431"/>
      <c r="G55" s="431"/>
    </row>
    <row r="56" spans="1:10" ht="21" x14ac:dyDescent="0.4">
      <c r="A56" s="432" t="s">
        <v>151</v>
      </c>
      <c r="B56" s="432"/>
      <c r="C56" s="432"/>
      <c r="D56" s="432"/>
      <c r="E56" s="432"/>
      <c r="F56" s="432"/>
      <c r="G56" s="432"/>
    </row>
    <row r="57" spans="1:10" ht="14.4" x14ac:dyDescent="0.3">
      <c r="A57" s="227" t="s">
        <v>0</v>
      </c>
      <c r="B57" s="227" t="s">
        <v>1</v>
      </c>
      <c r="C57" s="227" t="s">
        <v>152</v>
      </c>
      <c r="D57" s="227" t="s">
        <v>153</v>
      </c>
      <c r="E57" s="227" t="s">
        <v>154</v>
      </c>
      <c r="F57" s="227" t="s">
        <v>155</v>
      </c>
      <c r="G57" s="227" t="s">
        <v>156</v>
      </c>
    </row>
    <row r="58" spans="1:10" x14ac:dyDescent="0.25">
      <c r="A58" s="194" t="s">
        <v>157</v>
      </c>
      <c r="B58" s="192">
        <v>30000</v>
      </c>
      <c r="C58" s="192">
        <v>30</v>
      </c>
      <c r="D58" s="192">
        <v>-22</v>
      </c>
      <c r="E58" s="192">
        <f>B58/31*C58</f>
        <v>29032.258064516129</v>
      </c>
      <c r="F58" s="192">
        <f>B58/31/8*D58</f>
        <v>-2661.2903225806454</v>
      </c>
      <c r="G58" s="192">
        <f>E58+F58</f>
        <v>26370.967741935485</v>
      </c>
    </row>
    <row r="59" spans="1:10" x14ac:dyDescent="0.25">
      <c r="A59" s="194" t="s">
        <v>158</v>
      </c>
      <c r="B59" s="192">
        <v>800</v>
      </c>
      <c r="C59" s="192">
        <v>28</v>
      </c>
      <c r="D59" s="192">
        <v>-42</v>
      </c>
      <c r="E59" s="192">
        <f>B59*C59</f>
        <v>22400</v>
      </c>
      <c r="F59" s="192">
        <f>B59/8*D59</f>
        <v>-4200</v>
      </c>
      <c r="G59" s="192">
        <f>E59+F59</f>
        <v>18200</v>
      </c>
      <c r="H59">
        <v>2</v>
      </c>
    </row>
    <row r="60" spans="1:10" x14ac:dyDescent="0.25">
      <c r="A60" s="194" t="s">
        <v>159</v>
      </c>
      <c r="B60" s="192">
        <v>800</v>
      </c>
      <c r="C60" s="192">
        <v>24</v>
      </c>
      <c r="D60" s="192">
        <v>-38.5</v>
      </c>
      <c r="E60" s="192">
        <f t="shared" ref="E60:E62" si="15">B60*C60</f>
        <v>19200</v>
      </c>
      <c r="F60" s="192">
        <f t="shared" ref="F60:F62" si="16">B60/8*D60</f>
        <v>-3850</v>
      </c>
      <c r="G60" s="192">
        <f t="shared" ref="G60:G62" si="17">E60+F60</f>
        <v>15350</v>
      </c>
      <c r="H60">
        <v>2</v>
      </c>
    </row>
    <row r="61" spans="1:10" x14ac:dyDescent="0.25">
      <c r="A61" s="194" t="s">
        <v>160</v>
      </c>
      <c r="B61" s="192">
        <v>800</v>
      </c>
      <c r="C61" s="192">
        <v>20</v>
      </c>
      <c r="D61" s="192">
        <v>-18</v>
      </c>
      <c r="E61" s="192">
        <f t="shared" si="15"/>
        <v>16000</v>
      </c>
      <c r="F61" s="192">
        <f t="shared" si="16"/>
        <v>-1800</v>
      </c>
      <c r="G61" s="192">
        <f t="shared" si="17"/>
        <v>14200</v>
      </c>
    </row>
    <row r="62" spans="1:10" x14ac:dyDescent="0.25">
      <c r="A62" s="194" t="s">
        <v>161</v>
      </c>
      <c r="B62" s="192">
        <v>800</v>
      </c>
      <c r="C62" s="192">
        <v>22</v>
      </c>
      <c r="D62" s="192">
        <v>-19</v>
      </c>
      <c r="E62" s="192">
        <f t="shared" si="15"/>
        <v>17600</v>
      </c>
      <c r="F62" s="192">
        <f t="shared" si="16"/>
        <v>-1900</v>
      </c>
      <c r="G62" s="192">
        <f t="shared" si="17"/>
        <v>15700</v>
      </c>
    </row>
    <row r="63" spans="1:10" ht="18" x14ac:dyDescent="0.35">
      <c r="A63" s="433" t="s">
        <v>156</v>
      </c>
      <c r="B63" s="433"/>
      <c r="C63" s="433"/>
      <c r="D63" s="433"/>
      <c r="E63" s="433"/>
      <c r="F63" s="433"/>
      <c r="G63" s="228">
        <f>SUM(G58:G62)</f>
        <v>89820.967741935485</v>
      </c>
    </row>
    <row r="64" spans="1:10" ht="18" x14ac:dyDescent="0.35">
      <c r="A64" s="433" t="s">
        <v>162</v>
      </c>
      <c r="B64" s="433"/>
      <c r="C64" s="433"/>
      <c r="D64" s="433"/>
      <c r="E64" s="433"/>
      <c r="F64" s="433"/>
      <c r="G64" s="228">
        <f>J64/2</f>
        <v>7205.5</v>
      </c>
      <c r="I64" s="10">
        <f>F58+F59+F60+F61+F62</f>
        <v>-14411.290322580646</v>
      </c>
      <c r="J64">
        <v>14411</v>
      </c>
    </row>
    <row r="65" spans="1:11" ht="18" x14ac:dyDescent="0.35">
      <c r="A65" s="433" t="s">
        <v>156</v>
      </c>
      <c r="B65" s="433"/>
      <c r="C65" s="433"/>
      <c r="D65" s="433"/>
      <c r="E65" s="433"/>
      <c r="F65" s="433"/>
      <c r="G65" s="228">
        <f>G63+G64</f>
        <v>97026.467741935485</v>
      </c>
      <c r="H65" s="19" t="s">
        <v>165</v>
      </c>
    </row>
    <row r="66" spans="1:11" ht="18" x14ac:dyDescent="0.35">
      <c r="A66" s="229"/>
      <c r="B66" s="229"/>
      <c r="C66" s="229"/>
      <c r="D66" s="229"/>
      <c r="E66" s="229"/>
      <c r="F66" s="229"/>
      <c r="G66" s="228"/>
    </row>
    <row r="67" spans="1:11" ht="18" x14ac:dyDescent="0.35">
      <c r="A67" s="229"/>
      <c r="B67" s="229"/>
      <c r="C67" s="229"/>
      <c r="D67" s="229"/>
      <c r="E67" s="229"/>
      <c r="F67" s="229"/>
      <c r="G67" s="228"/>
    </row>
    <row r="68" spans="1:11" ht="18" x14ac:dyDescent="0.35">
      <c r="A68" s="229"/>
      <c r="B68" s="229"/>
      <c r="C68" s="229"/>
      <c r="D68" s="229"/>
      <c r="E68" s="229"/>
      <c r="F68" s="229"/>
      <c r="G68" s="228"/>
    </row>
    <row r="69" spans="1:11" ht="21" x14ac:dyDescent="0.4">
      <c r="A69" s="432" t="s">
        <v>151</v>
      </c>
      <c r="B69" s="432"/>
      <c r="C69" s="432"/>
      <c r="D69" s="432"/>
      <c r="E69" s="432"/>
      <c r="F69" s="432"/>
      <c r="G69" s="432"/>
    </row>
    <row r="70" spans="1:11" ht="14.4" x14ac:dyDescent="0.3">
      <c r="A70" s="227" t="s">
        <v>0</v>
      </c>
      <c r="B70" s="227" t="s">
        <v>1</v>
      </c>
      <c r="C70" s="227" t="s">
        <v>152</v>
      </c>
      <c r="D70" s="227" t="s">
        <v>153</v>
      </c>
      <c r="E70" s="227" t="s">
        <v>154</v>
      </c>
      <c r="F70" s="227" t="s">
        <v>155</v>
      </c>
      <c r="G70" s="227" t="s">
        <v>156</v>
      </c>
    </row>
    <row r="71" spans="1:11" x14ac:dyDescent="0.25">
      <c r="A71" s="194" t="s">
        <v>157</v>
      </c>
      <c r="B71" s="192"/>
      <c r="C71" s="192">
        <v>10</v>
      </c>
      <c r="D71" s="192">
        <v>-7.5</v>
      </c>
      <c r="E71" s="192">
        <f>B71/30*C71</f>
        <v>0</v>
      </c>
      <c r="F71" s="192"/>
      <c r="G71" s="192">
        <f>E71+F71</f>
        <v>0</v>
      </c>
    </row>
    <row r="72" spans="1:11" x14ac:dyDescent="0.25">
      <c r="A72" s="194" t="s">
        <v>158</v>
      </c>
      <c r="B72" s="192">
        <v>800</v>
      </c>
      <c r="C72" s="192">
        <v>16</v>
      </c>
      <c r="D72" s="192">
        <v>-23</v>
      </c>
      <c r="E72" s="192">
        <f>B72*C72</f>
        <v>12800</v>
      </c>
      <c r="F72" s="192">
        <f>B72/8*D72</f>
        <v>-2300</v>
      </c>
      <c r="G72" s="192">
        <f>E72+F72</f>
        <v>10500</v>
      </c>
    </row>
    <row r="73" spans="1:11" x14ac:dyDescent="0.25">
      <c r="A73" s="194" t="s">
        <v>159</v>
      </c>
      <c r="B73" s="192">
        <v>800</v>
      </c>
      <c r="C73" s="192">
        <v>14</v>
      </c>
      <c r="D73" s="192">
        <v>-21</v>
      </c>
      <c r="E73" s="192">
        <f>B73*C73</f>
        <v>11200</v>
      </c>
      <c r="F73" s="192">
        <f>B73/8*D73</f>
        <v>-2100</v>
      </c>
      <c r="G73" s="192">
        <f>E73+F73</f>
        <v>9100</v>
      </c>
    </row>
    <row r="74" spans="1:11" x14ac:dyDescent="0.25">
      <c r="A74" s="194" t="s">
        <v>160</v>
      </c>
      <c r="B74" s="192">
        <v>800</v>
      </c>
      <c r="C74" s="192">
        <v>10</v>
      </c>
      <c r="D74" s="192">
        <v>-7.5</v>
      </c>
      <c r="E74" s="192">
        <f>B74*C74</f>
        <v>8000</v>
      </c>
      <c r="F74" s="192">
        <f>B74/8*D74</f>
        <v>-750</v>
      </c>
      <c r="G74" s="192">
        <f>E74+F74</f>
        <v>7250</v>
      </c>
    </row>
    <row r="75" spans="1:11" x14ac:dyDescent="0.25">
      <c r="A75" s="194" t="s">
        <v>163</v>
      </c>
      <c r="B75" s="192">
        <v>650</v>
      </c>
      <c r="C75" s="192">
        <v>1</v>
      </c>
      <c r="D75" s="192"/>
      <c r="E75" s="192">
        <f>B75*C75</f>
        <v>650</v>
      </c>
      <c r="F75" s="192">
        <f>B75/8*D75</f>
        <v>0</v>
      </c>
      <c r="G75" s="192">
        <f>E75+F75</f>
        <v>650</v>
      </c>
    </row>
    <row r="76" spans="1:11" ht="18" x14ac:dyDescent="0.35">
      <c r="A76" s="433" t="s">
        <v>156</v>
      </c>
      <c r="B76" s="433"/>
      <c r="C76" s="433"/>
      <c r="D76" s="433"/>
      <c r="E76" s="433"/>
      <c r="F76" s="433"/>
      <c r="G76" s="228">
        <f>SUM(G71:G75)</f>
        <v>27500</v>
      </c>
    </row>
    <row r="77" spans="1:11" x14ac:dyDescent="0.25">
      <c r="G77" s="10">
        <v>2575</v>
      </c>
    </row>
    <row r="78" spans="1:11" x14ac:dyDescent="0.25">
      <c r="G78" s="10">
        <f>G77+G76</f>
        <v>30075</v>
      </c>
      <c r="H78" s="19" t="s">
        <v>166</v>
      </c>
      <c r="K78" s="10">
        <f>F72+F73+F74</f>
        <v>-5150</v>
      </c>
    </row>
    <row r="79" spans="1:11" x14ac:dyDescent="0.25">
      <c r="K79" s="10">
        <f>K78/2</f>
        <v>-2575</v>
      </c>
    </row>
    <row r="80" spans="1:11" ht="25.8" x14ac:dyDescent="0.5">
      <c r="A80" s="429" t="s">
        <v>164</v>
      </c>
      <c r="B80" s="430"/>
      <c r="C80" s="430"/>
      <c r="D80" s="430"/>
      <c r="E80" s="430"/>
      <c r="F80" s="430"/>
      <c r="G80" s="430"/>
    </row>
    <row r="81" spans="1:7" x14ac:dyDescent="0.25">
      <c r="A81" s="194" t="s">
        <v>157</v>
      </c>
      <c r="B81" s="192">
        <v>30000</v>
      </c>
      <c r="C81" s="192">
        <v>10</v>
      </c>
      <c r="D81" s="192">
        <v>-8</v>
      </c>
      <c r="E81" s="192">
        <f>B81/30*C81</f>
        <v>10000</v>
      </c>
      <c r="F81" s="192"/>
      <c r="G81" s="192">
        <f>E81+F81</f>
        <v>10000</v>
      </c>
    </row>
    <row r="83" spans="1:7" ht="25.8" x14ac:dyDescent="0.5">
      <c r="A83" s="429" t="s">
        <v>56</v>
      </c>
      <c r="B83" s="430"/>
      <c r="C83" s="430"/>
      <c r="D83" s="430"/>
      <c r="E83" s="430"/>
      <c r="F83" s="430"/>
      <c r="G83" s="430"/>
    </row>
    <row r="84" spans="1:7" x14ac:dyDescent="0.25">
      <c r="A84" s="194" t="s">
        <v>157</v>
      </c>
      <c r="B84" s="192">
        <v>30000</v>
      </c>
      <c r="C84" s="192">
        <v>22</v>
      </c>
      <c r="D84" s="192"/>
      <c r="E84" s="192">
        <f>B84/30*C84</f>
        <v>22000</v>
      </c>
      <c r="F84" s="192"/>
      <c r="G84" s="192">
        <f>E84+F84</f>
        <v>22000</v>
      </c>
    </row>
    <row r="87" spans="1:7" ht="25.8" x14ac:dyDescent="0.5">
      <c r="A87" s="429" t="s">
        <v>55</v>
      </c>
      <c r="B87" s="430"/>
      <c r="C87" s="430"/>
      <c r="D87" s="430"/>
      <c r="E87" s="430"/>
      <c r="F87" s="430"/>
      <c r="G87" s="430"/>
    </row>
    <row r="88" spans="1:7" x14ac:dyDescent="0.25">
      <c r="A88" s="194" t="s">
        <v>157</v>
      </c>
      <c r="B88" s="192">
        <v>30000</v>
      </c>
      <c r="C88" s="192">
        <v>26</v>
      </c>
      <c r="D88" s="192"/>
      <c r="E88" s="192">
        <f>B88/30*C88</f>
        <v>26000</v>
      </c>
      <c r="F88" s="192"/>
      <c r="G88" s="192">
        <f>E88+F88</f>
        <v>26000</v>
      </c>
    </row>
    <row r="93" spans="1:7" x14ac:dyDescent="0.25">
      <c r="G93" s="10">
        <f>G88+G84+G81</f>
        <v>58000</v>
      </c>
    </row>
  </sheetData>
  <mergeCells count="32">
    <mergeCell ref="A3:G3"/>
    <mergeCell ref="A4:G4"/>
    <mergeCell ref="A9:F9"/>
    <mergeCell ref="A17:G17"/>
    <mergeCell ref="A18:G18"/>
    <mergeCell ref="A23:F23"/>
    <mergeCell ref="A35:G35"/>
    <mergeCell ref="A36:G36"/>
    <mergeCell ref="A25:G25"/>
    <mergeCell ref="A26:G26"/>
    <mergeCell ref="A31:F31"/>
    <mergeCell ref="A32:F32"/>
    <mergeCell ref="A34:F34"/>
    <mergeCell ref="A33:F33"/>
    <mergeCell ref="A41:F41"/>
    <mergeCell ref="A42:F42"/>
    <mergeCell ref="A43:F43"/>
    <mergeCell ref="A44:G44"/>
    <mergeCell ref="A45:G45"/>
    <mergeCell ref="A52:F52"/>
    <mergeCell ref="A53:F53"/>
    <mergeCell ref="A54:F54"/>
    <mergeCell ref="A76:F76"/>
    <mergeCell ref="A80:G80"/>
    <mergeCell ref="A83:G83"/>
    <mergeCell ref="A87:G87"/>
    <mergeCell ref="A55:G55"/>
    <mergeCell ref="A56:G56"/>
    <mergeCell ref="A63:F63"/>
    <mergeCell ref="A64:F64"/>
    <mergeCell ref="A65:F65"/>
    <mergeCell ref="A69:G6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34" t="s">
        <v>126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280"/>
      <c r="R1" s="280"/>
    </row>
    <row r="2" spans="1:19" ht="15.6" x14ac:dyDescent="0.25">
      <c r="A2" s="281" t="s">
        <v>181</v>
      </c>
      <c r="B2" s="281" t="s">
        <v>0</v>
      </c>
      <c r="C2" s="281" t="s">
        <v>182</v>
      </c>
      <c r="D2" s="281" t="s">
        <v>7</v>
      </c>
      <c r="E2" s="281" t="s">
        <v>6</v>
      </c>
      <c r="F2" s="281"/>
      <c r="G2" s="281"/>
      <c r="H2" s="281"/>
      <c r="I2" s="281"/>
      <c r="J2" s="281" t="s">
        <v>183</v>
      </c>
      <c r="K2" s="281"/>
      <c r="L2" s="281"/>
      <c r="M2" s="281" t="s">
        <v>24</v>
      </c>
      <c r="N2" s="281"/>
      <c r="O2" s="281" t="s">
        <v>184</v>
      </c>
      <c r="P2" s="282">
        <v>0.75</v>
      </c>
      <c r="Q2" s="283"/>
      <c r="R2" s="283"/>
    </row>
    <row r="3" spans="1:19" x14ac:dyDescent="0.25">
      <c r="A3" s="192">
        <v>1</v>
      </c>
      <c r="B3" s="192" t="s">
        <v>98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284"/>
      <c r="R3" s="284"/>
    </row>
    <row r="4" spans="1:19" x14ac:dyDescent="0.25">
      <c r="A4" s="192">
        <v>2</v>
      </c>
      <c r="B4" s="192" t="s">
        <v>145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284"/>
      <c r="R4" s="284"/>
    </row>
    <row r="5" spans="1:19" x14ac:dyDescent="0.25">
      <c r="A5" s="192">
        <v>3</v>
      </c>
      <c r="B5" s="192" t="s">
        <v>146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284"/>
      <c r="R5" s="284"/>
    </row>
    <row r="6" spans="1:19" x14ac:dyDescent="0.25">
      <c r="A6" s="192">
        <v>4</v>
      </c>
      <c r="B6" s="192" t="s">
        <v>34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284">
        <f>P6+12000</f>
        <v>23491.935483870966</v>
      </c>
      <c r="R6" s="284"/>
    </row>
    <row r="7" spans="1:19" x14ac:dyDescent="0.25">
      <c r="A7" s="192">
        <v>5</v>
      </c>
      <c r="B7" s="192" t="s">
        <v>185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284">
        <v>11492</v>
      </c>
      <c r="R7" s="284"/>
    </row>
    <row r="8" spans="1:19" x14ac:dyDescent="0.25">
      <c r="A8" s="192">
        <v>6</v>
      </c>
      <c r="B8" s="192" t="s">
        <v>186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284">
        <f>Q6-Q7</f>
        <v>11999.935483870966</v>
      </c>
      <c r="R8" s="284"/>
    </row>
    <row r="9" spans="1:19" x14ac:dyDescent="0.25">
      <c r="A9" s="192">
        <v>7</v>
      </c>
      <c r="B9" s="192" t="s">
        <v>187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284"/>
      <c r="R9" s="284"/>
    </row>
    <row r="10" spans="1:19" ht="18" x14ac:dyDescent="0.35">
      <c r="A10" s="435" t="s">
        <v>2</v>
      </c>
      <c r="B10" s="436"/>
      <c r="C10" s="436"/>
      <c r="D10" s="436"/>
      <c r="E10" s="436"/>
      <c r="F10" s="436"/>
      <c r="G10" s="436"/>
      <c r="H10" s="436"/>
      <c r="I10" s="436"/>
      <c r="J10" s="436"/>
      <c r="K10" s="436"/>
      <c r="L10" s="436"/>
      <c r="M10" s="436"/>
      <c r="N10" s="437"/>
      <c r="O10" s="285">
        <v>139612.90322580643</v>
      </c>
      <c r="P10" s="192">
        <f>SUM(P3:P9)</f>
        <v>104709.67741935482</v>
      </c>
      <c r="Q10" s="284"/>
      <c r="R10" s="284"/>
      <c r="S10" s="10">
        <f>P9+P8+P7+P6+P5+P4</f>
        <v>75677.419354838712</v>
      </c>
    </row>
    <row r="14" spans="1:19" ht="23.4" x14ac:dyDescent="0.45">
      <c r="A14" s="434" t="s">
        <v>124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280"/>
      <c r="R14" s="280"/>
    </row>
    <row r="15" spans="1:19" ht="15.6" x14ac:dyDescent="0.25">
      <c r="A15" s="281" t="s">
        <v>181</v>
      </c>
      <c r="B15" s="281" t="s">
        <v>0</v>
      </c>
      <c r="C15" s="281" t="s">
        <v>182</v>
      </c>
      <c r="D15" s="281" t="s">
        <v>7</v>
      </c>
      <c r="E15" s="281" t="s">
        <v>6</v>
      </c>
      <c r="F15" s="281"/>
      <c r="G15" s="281"/>
      <c r="H15" s="281"/>
      <c r="I15" s="281"/>
      <c r="J15" s="281" t="s">
        <v>183</v>
      </c>
      <c r="K15" s="281"/>
      <c r="L15" s="281"/>
      <c r="M15" s="281" t="s">
        <v>24</v>
      </c>
      <c r="N15" s="281"/>
      <c r="O15" s="281" t="s">
        <v>184</v>
      </c>
      <c r="P15" s="282">
        <v>0.75</v>
      </c>
      <c r="Q15" s="283"/>
      <c r="R15" s="283"/>
    </row>
    <row r="16" spans="1:19" x14ac:dyDescent="0.25">
      <c r="A16">
        <v>1</v>
      </c>
      <c r="B16" t="s">
        <v>125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105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188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169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174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147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144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35"/>
      <c r="B23" s="436"/>
      <c r="C23" s="436"/>
      <c r="D23" s="436"/>
      <c r="E23" s="436"/>
      <c r="F23" s="436"/>
      <c r="G23" s="436"/>
      <c r="H23" s="436"/>
      <c r="I23" s="436"/>
      <c r="J23" s="436"/>
      <c r="K23" s="436"/>
      <c r="L23" s="436"/>
      <c r="M23" s="436"/>
      <c r="N23" s="437"/>
      <c r="O23" s="285">
        <f>SUM(O16:O22)</f>
        <v>113935.48387096776</v>
      </c>
      <c r="P23" s="192">
        <f>SUM(P15:P22)</f>
        <v>63387.846774193546</v>
      </c>
      <c r="Q23" s="284"/>
      <c r="R23" s="284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86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189</v>
      </c>
      <c r="M27" s="2" t="s">
        <v>190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81" t="s">
        <v>181</v>
      </c>
      <c r="B36" s="281" t="s">
        <v>0</v>
      </c>
      <c r="C36" s="281" t="s">
        <v>182</v>
      </c>
      <c r="D36" s="281" t="s">
        <v>7</v>
      </c>
      <c r="E36" s="281" t="s">
        <v>6</v>
      </c>
      <c r="F36" s="281"/>
      <c r="G36" s="281"/>
      <c r="H36" s="281"/>
      <c r="I36" s="281"/>
      <c r="J36" s="281" t="s">
        <v>183</v>
      </c>
      <c r="K36" s="281"/>
      <c r="L36" s="281"/>
      <c r="M36" s="281" t="s">
        <v>24</v>
      </c>
      <c r="N36" s="281"/>
      <c r="O36" s="281" t="s">
        <v>184</v>
      </c>
      <c r="P36" s="282">
        <v>0.75</v>
      </c>
      <c r="Q36" s="287" t="s">
        <v>191</v>
      </c>
      <c r="R36" s="283" t="s">
        <v>192</v>
      </c>
    </row>
    <row r="37" spans="1:20" x14ac:dyDescent="0.25">
      <c r="A37">
        <v>1</v>
      </c>
      <c r="B37" t="s">
        <v>125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125</v>
      </c>
    </row>
    <row r="38" spans="1:20" x14ac:dyDescent="0.25">
      <c r="A38">
        <v>2</v>
      </c>
      <c r="B38" t="s">
        <v>105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105</v>
      </c>
    </row>
    <row r="39" spans="1:20" ht="14.4" x14ac:dyDescent="0.3">
      <c r="A39">
        <v>3</v>
      </c>
      <c r="B39" t="s">
        <v>188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88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188</v>
      </c>
    </row>
    <row r="40" spans="1:20" x14ac:dyDescent="0.25">
      <c r="A40">
        <v>4</v>
      </c>
      <c r="B40" t="s">
        <v>169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169</v>
      </c>
    </row>
    <row r="41" spans="1:20" x14ac:dyDescent="0.25">
      <c r="A41">
        <v>5</v>
      </c>
      <c r="B41" t="s">
        <v>174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174</v>
      </c>
    </row>
    <row r="42" spans="1:20" x14ac:dyDescent="0.25">
      <c r="A42">
        <v>6</v>
      </c>
      <c r="B42" t="s">
        <v>147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147</v>
      </c>
    </row>
    <row r="43" spans="1:20" x14ac:dyDescent="0.25">
      <c r="A43">
        <v>7</v>
      </c>
      <c r="B43" t="s">
        <v>144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144</v>
      </c>
    </row>
    <row r="44" spans="1:20" ht="18" x14ac:dyDescent="0.35">
      <c r="A44" s="435"/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7"/>
      <c r="O44" s="285">
        <f>SUM(O37:O43)</f>
        <v>118032.25806451614</v>
      </c>
      <c r="P44" s="192">
        <f>SUM(P36:P43)</f>
        <v>66460.427419354834</v>
      </c>
      <c r="Q44" s="284"/>
      <c r="R44" s="284">
        <f>R41+R40+R38+R37</f>
        <v>3072.5806451612916</v>
      </c>
    </row>
    <row r="49" spans="2:19" x14ac:dyDescent="0.25">
      <c r="B49" t="s">
        <v>193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2020-11-17T09:51:00Z</cp:lastPrinted>
  <dcterms:created xsi:type="dcterms:W3CDTF">2007-01-04T05:01:09Z</dcterms:created>
  <dcterms:modified xsi:type="dcterms:W3CDTF">2020-11-21T06:09:09Z</dcterms:modified>
</cp:coreProperties>
</file>